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embeddings/oleObject1.bin" ContentType="application/vnd.openxmlformats-officedocument.oleObject"/>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xml"/>
  <Override PartName="/xl/charts/chart18.xml" ContentType="application/vnd.openxmlformats-officedocument.drawingml.chart+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20" yWindow="225" windowWidth="18195" windowHeight="11955" tabRatio="772"/>
  </bookViews>
  <sheets>
    <sheet name="UserGuide" sheetId="1" r:id="rId1"/>
    <sheet name="Findings" sheetId="2" r:id="rId2"/>
    <sheet name="Recommendations" sheetId="3" r:id="rId3"/>
    <sheet name="Captions" sheetId="4" r:id="rId4"/>
    <sheet name="Glossary" sheetId="5" r:id="rId5"/>
    <sheet name="1" sheetId="6" r:id="rId6"/>
    <sheet name="1D" sheetId="7" state="hidden" r:id="rId7"/>
    <sheet name="2" sheetId="8" r:id="rId8"/>
    <sheet name="2D" sheetId="9" state="hidden" r:id="rId9"/>
    <sheet name="3" sheetId="10" r:id="rId10"/>
    <sheet name="3D" sheetId="11" state="hidden" r:id="rId11"/>
    <sheet name="4" sheetId="12" r:id="rId12"/>
    <sheet name="4D" sheetId="13" state="hidden" r:id="rId13"/>
    <sheet name="5" sheetId="14" r:id="rId14"/>
    <sheet name="5D" sheetId="15" state="hidden" r:id="rId15"/>
    <sheet name="6" sheetId="16" r:id="rId16"/>
    <sheet name="6D" sheetId="17" state="hidden" r:id="rId17"/>
    <sheet name="7" sheetId="18" r:id="rId18"/>
    <sheet name="7D" sheetId="19" state="hidden" r:id="rId19"/>
    <sheet name="8" sheetId="20" r:id="rId20"/>
    <sheet name="8D" sheetId="21" state="hidden" r:id="rId21"/>
    <sheet name="9" sheetId="22" r:id="rId22"/>
    <sheet name="9D" sheetId="23" state="hidden" r:id="rId23"/>
    <sheet name="10" sheetId="24" r:id="rId24"/>
    <sheet name="11" sheetId="25" r:id="rId25"/>
    <sheet name="11D" sheetId="26" state="hidden" r:id="rId26"/>
    <sheet name="12" sheetId="27" r:id="rId27"/>
    <sheet name="12D" sheetId="28" state="hidden" r:id="rId28"/>
    <sheet name="13" sheetId="29" r:id="rId29"/>
    <sheet name="13D" sheetId="30" state="hidden" r:id="rId30"/>
    <sheet name="14" sheetId="31" r:id="rId31"/>
    <sheet name="14D" sheetId="32" state="hidden" r:id="rId32"/>
    <sheet name="15" sheetId="33" r:id="rId33"/>
    <sheet name="15D" sheetId="34" state="hidden" r:id="rId34"/>
    <sheet name="16" sheetId="35" r:id="rId35"/>
    <sheet name="16D" sheetId="36" state="hidden" r:id="rId36"/>
    <sheet name="17" sheetId="37" r:id="rId37"/>
    <sheet name="17D" sheetId="38" state="hidden" r:id="rId38"/>
    <sheet name="19" sheetId="39" r:id="rId39"/>
    <sheet name="20" sheetId="40" r:id="rId40"/>
    <sheet name="20D" sheetId="41" state="hidden" r:id="rId41"/>
    <sheet name="21" sheetId="42" r:id="rId42"/>
    <sheet name="21D" sheetId="43" state="hidden" r:id="rId43"/>
    <sheet name="22" sheetId="44" r:id="rId44"/>
    <sheet name="22D" sheetId="45" state="hidden" r:id="rId45"/>
    <sheet name="23" sheetId="46" r:id="rId46"/>
    <sheet name="23D" sheetId="47" state="hidden" r:id="rId47"/>
    <sheet name="24" sheetId="48" r:id="rId48"/>
    <sheet name="25" sheetId="49" r:id="rId49"/>
    <sheet name="25D" sheetId="50" state="hidden" r:id="rId50"/>
    <sheet name="26" sheetId="51" r:id="rId51"/>
    <sheet name="26D" sheetId="52" state="hidden" r:id="rId52"/>
    <sheet name="27" sheetId="53" r:id="rId53"/>
    <sheet name="28" sheetId="54" r:id="rId54"/>
    <sheet name="28D" sheetId="55" state="hidden" r:id="rId55"/>
    <sheet name="29" sheetId="56" r:id="rId56"/>
    <sheet name="29D" sheetId="57" state="hidden" r:id="rId57"/>
    <sheet name="30" sheetId="58" r:id="rId58"/>
    <sheet name="31" sheetId="59" r:id="rId59"/>
    <sheet name="32" sheetId="60" r:id="rId60"/>
    <sheet name="32D" sheetId="61" state="hidden" r:id="rId61"/>
    <sheet name="33" sheetId="62" r:id="rId62"/>
    <sheet name="33D" sheetId="63" state="hidden" r:id="rId63"/>
    <sheet name="34" sheetId="64" r:id="rId64"/>
    <sheet name="35" sheetId="65" r:id="rId65"/>
    <sheet name="36" sheetId="66" r:id="rId66"/>
    <sheet name="37" sheetId="67" r:id="rId67"/>
    <sheet name="39" sheetId="68" r:id="rId68"/>
    <sheet name="40" sheetId="69" r:id="rId69"/>
    <sheet name="41" sheetId="70" r:id="rId70"/>
    <sheet name="42" sheetId="71" r:id="rId71"/>
    <sheet name="43" sheetId="72" r:id="rId72"/>
    <sheet name="44d" sheetId="73" state="hidden" r:id="rId73"/>
    <sheet name="44" sheetId="74" r:id="rId74"/>
    <sheet name="45" sheetId="75" r:id="rId75"/>
    <sheet name="46" sheetId="76" r:id="rId76"/>
    <sheet name="47" sheetId="77" r:id="rId77"/>
    <sheet name="48" sheetId="78" r:id="rId78"/>
    <sheet name="49" sheetId="79" r:id="rId79"/>
    <sheet name="50" sheetId="80" r:id="rId80"/>
    <sheet name="51" sheetId="81" r:id="rId81"/>
    <sheet name="52" sheetId="82" r:id="rId82"/>
    <sheet name="53" sheetId="83" r:id="rId83"/>
    <sheet name="54" sheetId="84" r:id="rId84"/>
    <sheet name="55" sheetId="85" r:id="rId85"/>
    <sheet name="56" sheetId="86" r:id="rId86"/>
    <sheet name="57" sheetId="87" r:id="rId87"/>
    <sheet name="58" sheetId="88" r:id="rId88"/>
    <sheet name="59" sheetId="89" r:id="rId89"/>
    <sheet name="60" sheetId="90" r:id="rId90"/>
    <sheet name="61" sheetId="91" r:id="rId91"/>
    <sheet name="62" sheetId="92" r:id="rId92"/>
    <sheet name="63" sheetId="93" r:id="rId93"/>
    <sheet name="64" sheetId="94" r:id="rId94"/>
    <sheet name="65" sheetId="95" r:id="rId95"/>
    <sheet name="66" sheetId="96" r:id="rId96"/>
    <sheet name="67" sheetId="97" r:id="rId97"/>
    <sheet name="68" sheetId="98" r:id="rId98"/>
    <sheet name="69" sheetId="99" r:id="rId99"/>
    <sheet name="70" sheetId="100" r:id="rId100"/>
    <sheet name="71" sheetId="101" r:id="rId101"/>
    <sheet name="72" sheetId="102" r:id="rId102"/>
    <sheet name="ChtInst" sheetId="103" state="hidden" r:id="rId103"/>
    <sheet name="ChtL" sheetId="104" state="hidden" r:id="rId104"/>
    <sheet name="ChtLd" sheetId="105" state="hidden" r:id="rId105"/>
    <sheet name="ChtLM" sheetId="106" state="hidden" r:id="rId106"/>
    <sheet name="ChtLMd" sheetId="107" state="hidden" r:id="rId107"/>
    <sheet name="ChtCC" sheetId="108" state="hidden" r:id="rId108"/>
    <sheet name="ChtCCd" sheetId="109" state="hidden" r:id="rId109"/>
    <sheet name="ChtSC" sheetId="110" state="hidden" r:id="rId110"/>
    <sheet name="ChtSCd" sheetId="111" state="hidden" r:id="rId111"/>
    <sheet name="ChtP" sheetId="112" state="hidden" r:id="rId112"/>
    <sheet name="ChtPd" sheetId="113" state="hidden" r:id="rId113"/>
    <sheet name="ChtXY" sheetId="114" state="hidden" r:id="rId114"/>
    <sheet name="ChtXYd" sheetId="115" state="hidden" r:id="rId115"/>
    <sheet name="ChtB&amp;W" sheetId="116" state="hidden" r:id="rId116"/>
    <sheet name="ChtB&amp;Wd" sheetId="117" state="hidden" r:id="rId117"/>
    <sheet name="TblStyles" sheetId="118" state="hidden" r:id="rId118"/>
    <sheet name="TblStylesInst" sheetId="119" state="hidden" r:id="rId119"/>
    <sheet name="CntrFrameW12" sheetId="120" state="hidden" r:id="rId120"/>
    <sheet name="PartFrameW12" sheetId="121" state="hidden" r:id="rId121"/>
    <sheet name="WrkShopAttendW12" sheetId="122" state="hidden" r:id="rId122"/>
    <sheet name="CntrSurveyW12" sheetId="123" state="hidden" r:id="rId123"/>
    <sheet name="PartSurveyW12" sheetId="124" state="hidden" r:id="rId124"/>
    <sheet name="MESurveyW12" sheetId="125" state="hidden" r:id="rId125"/>
    <sheet name="FileReviewW12" sheetId="126" state="hidden" r:id="rId126"/>
    <sheet name="73" sheetId="127" r:id="rId127"/>
    <sheet name="73d" sheetId="128" state="hidden" r:id="rId128"/>
    <sheet name="ConstantsLists" sheetId="129" state="hidden" r:id="rId129"/>
    <sheet name="74" sheetId="130" r:id="rId130"/>
  </sheets>
  <externalReferences>
    <externalReference r:id="rId131"/>
    <externalReference r:id="rId132"/>
  </externalReferences>
  <definedNames>
    <definedName name="_xlnm._FilterDatabase" localSheetId="3" hidden="1">Captions!$A$1:$C$73</definedName>
    <definedName name="_xlnm._FilterDatabase" localSheetId="125" hidden="1">FileReviewW12!$A$1:$EN$75</definedName>
    <definedName name="_xlnm._FilterDatabase" localSheetId="1" hidden="1">Findings!$A$2:$O$80</definedName>
    <definedName name="_xlnm._FilterDatabase" localSheetId="4" hidden="1">Glossary!$A$1:$B$80</definedName>
    <definedName name="_xlnm._FilterDatabase" localSheetId="120" hidden="1">PartFrameW12!$A$1:$AH$353</definedName>
    <definedName name="_xlnm._FilterDatabase" localSheetId="2" hidden="1">Recommendations!$A$2:$W$26</definedName>
    <definedName name="_xlnm._FilterDatabase" localSheetId="121" hidden="1">WrkShopAttendW12!$A$1:$AD$795</definedName>
    <definedName name="Activity" localSheetId="3">[1]ConstantsLists!$D$2:$D$8</definedName>
    <definedName name="Activity">ConstantsLists!$D$2:$D$8</definedName>
    <definedName name="Area" localSheetId="3">[1]ConstantsLists!$B$2:$B$5</definedName>
    <definedName name="Area">ConstantsLists!$B$2:$B$5</definedName>
    <definedName name="Barriers" localSheetId="3">[1]ConstantsLists!$K$2:$K$10</definedName>
    <definedName name="Barriers">ConstantsLists!$K$2:$K$10</definedName>
    <definedName name="DataSource" localSheetId="3">[1]ConstantsLists!$L$2:$L$10</definedName>
    <definedName name="DataSource">ConstantsLists!$L$2:$L$10</definedName>
    <definedName name="ListUpgradeType">'[2]Validation lists'!$E$3:$E$4</definedName>
    <definedName name="MeasureNames">'[2]Validation lists'!$B$3:$B$20</definedName>
    <definedName name="PGEActors" localSheetId="3">[1]ConstantsLists!$L$2:$L$7</definedName>
    <definedName name="PGEActors">ConstantsLists!$M$2:$M$8</definedName>
    <definedName name="SCEActors" localSheetId="3">[1]ConstantsLists!$M$2:$M$8</definedName>
    <definedName name="SCEActors">ConstantsLists!$N$2:$N$9</definedName>
    <definedName name="Scope" localSheetId="3">[1]ConstantsLists!$J$2:$J$4</definedName>
    <definedName name="Scope">ConstantsLists!$J$2:$J$4</definedName>
    <definedName name="Z_679A3195_3DEA_4AC2_A535_82AAF5B552BC_.wvu.Cols" localSheetId="5" hidden="1">'1'!$A:$B</definedName>
    <definedName name="Z_679A3195_3DEA_4AC2_A535_82AAF5B552BC_.wvu.Cols" localSheetId="23" hidden="1">'10'!$A:$B</definedName>
    <definedName name="Z_679A3195_3DEA_4AC2_A535_82AAF5B552BC_.wvu.Cols" localSheetId="24" hidden="1">'11'!$A:$B</definedName>
    <definedName name="Z_679A3195_3DEA_4AC2_A535_82AAF5B552BC_.wvu.Cols" localSheetId="26" hidden="1">'12'!$A:$B</definedName>
    <definedName name="Z_679A3195_3DEA_4AC2_A535_82AAF5B552BC_.wvu.Cols" localSheetId="28" hidden="1">'13'!$A:$B</definedName>
    <definedName name="Z_679A3195_3DEA_4AC2_A535_82AAF5B552BC_.wvu.Cols" localSheetId="30" hidden="1">'14'!$A:$B</definedName>
    <definedName name="Z_679A3195_3DEA_4AC2_A535_82AAF5B552BC_.wvu.Cols" localSheetId="32" hidden="1">'15'!$A:$B</definedName>
    <definedName name="Z_679A3195_3DEA_4AC2_A535_82AAF5B552BC_.wvu.Cols" localSheetId="34" hidden="1">'16'!$A:$B</definedName>
    <definedName name="Z_679A3195_3DEA_4AC2_A535_82AAF5B552BC_.wvu.Cols" localSheetId="36" hidden="1">'17'!$A:$B</definedName>
    <definedName name="Z_679A3195_3DEA_4AC2_A535_82AAF5B552BC_.wvu.Cols" localSheetId="38" hidden="1">'19'!$A:$B</definedName>
    <definedName name="Z_679A3195_3DEA_4AC2_A535_82AAF5B552BC_.wvu.Cols" localSheetId="7" hidden="1">'2'!$A:$B</definedName>
    <definedName name="Z_679A3195_3DEA_4AC2_A535_82AAF5B552BC_.wvu.Cols" localSheetId="39" hidden="1">'20'!$A:$B</definedName>
    <definedName name="Z_679A3195_3DEA_4AC2_A535_82AAF5B552BC_.wvu.Cols" localSheetId="40" hidden="1">'20D'!$IZ:$JA,'20D'!$JC:$JE,'20D'!$SV:$SW,'20D'!$SY:$TA,'20D'!$ACR:$ACS,'20D'!$ACU:$ACW,'20D'!$AMN:$AMO,'20D'!$AMQ:$AMS,'20D'!$AWJ:$AWK,'20D'!$AWM:$AWO,'20D'!$BGF:$BGG,'20D'!$BGI:$BGK,'20D'!$BQB:$BQC,'20D'!$BQE:$BQG,'20D'!$BZX:$BZY,'20D'!$CAA:$CAC,'20D'!$CJT:$CJU,'20D'!$CJW:$CJY,'20D'!$CTP:$CTQ,'20D'!$CTS:$CTU,'20D'!$DDL:$DDM,'20D'!$DDO:$DDQ,'20D'!$DNH:$DNI,'20D'!$DNK:$DNM,'20D'!$DXD:$DXE,'20D'!$DXG:$DXI,'20D'!$EGZ:$EHA,'20D'!$EHC:$EHE,'20D'!$EQV:$EQW,'20D'!$EQY:$ERA,'20D'!$FAR:$FAS,'20D'!$FAU:$FAW,'20D'!$FKN:$FKO,'20D'!$FKQ:$FKS,'20D'!$FUJ:$FUK,'20D'!$FUM:$FUO,'20D'!$GEF:$GEG,'20D'!$GEI:$GEK,'20D'!$GOB:$GOC,'20D'!$GOE:$GOG,'20D'!$GXX:$GXY,'20D'!$GYA:$GYC,'20D'!$HHT:$HHU,'20D'!$HHW:$HHY,'20D'!$HRP:$HRQ,'20D'!$HRS:$HRU,'20D'!$IBL:$IBM,'20D'!$IBO:$IBQ,'20D'!$ILH:$ILI,'20D'!$ILK:$ILM,'20D'!$IVD:$IVE,'20D'!$IVG:$IVI,'20D'!$JEZ:$JFA,'20D'!$JFC:$JFE,'20D'!$JOV:$JOW,'20D'!$JOY:$JPA,'20D'!$JYR:$JYS,'20D'!$JYU:$JYW,'20D'!$KIN:$KIO,'20D'!$KIQ:$KIS,'20D'!$KSJ:$KSK,'20D'!$KSM:$KSO,'20D'!$LCF:$LCG,'20D'!$LCI:$LCK,'20D'!$LMB:$LMC,'20D'!$LME:$LMG,'20D'!$LVX:$LVY,'20D'!$LWA:$LWC,'20D'!$MFT:$MFU,'20D'!$MFW:$MFY,'20D'!$MPP:$MPQ,'20D'!$MPS:$MPU,'20D'!$MZL:$MZM,'20D'!$MZO:$MZQ,'20D'!$NJH:$NJI,'20D'!$NJK:$NJM,'20D'!$NTD:$NTE,'20D'!$NTG:$NTI,'20D'!$OCZ:$ODA,'20D'!$ODC:$ODE,'20D'!$OMV:$OMW,'20D'!$OMY:$ONA,'20D'!$OWR:$OWS,'20D'!$OWU:$OWW,'20D'!$PGN:$PGO,'20D'!$PGQ:$PGS,'20D'!$PQJ:$PQK,'20D'!$PQM:$PQO,'20D'!$QAF:$QAG,'20D'!$QAI:$QAK,'20D'!$QKB:$QKC,'20D'!$QKE:$QKG,'20D'!$QTX:$QTY,'20D'!$QUA:$QUC,'20D'!$RDT:$RDU,'20D'!$RDW:$RDY,'20D'!$RNP:$RNQ,'20D'!$RNS:$RNU,'20D'!$RXL:$RXM,'20D'!$RXO:$RXQ,'20D'!$SHH:$SHI,'20D'!$SHK:$SHM,'20D'!$SRD:$SRE,'20D'!$SRG:$SRI,'20D'!$TAZ:$TBA,'20D'!$TBC:$TBE,'20D'!$TKV:$TKW,'20D'!$TKY:$TLA,'20D'!$TUR:$TUS,'20D'!$TUU:$TUW,'20D'!$UEN:$UEO,'20D'!$UEQ:$UES,'20D'!$UOJ:$UOK,'20D'!$UOM:$UOO,'20D'!$UYF:$UYG,'20D'!$UYI:$UYK,'20D'!$VIB:$VIC,'20D'!$VIE:$VIG,'20D'!$VRX:$VRY,'20D'!$VSA:$VSC,'20D'!$WBT:$WBU,'20D'!$WBW:$WBY,'20D'!$WLP:$WLQ,'20D'!$WLS:$WLU,'20D'!$WVL:$WVM,'20D'!$WVO:$WVQ</definedName>
    <definedName name="Z_679A3195_3DEA_4AC2_A535_82AAF5B552BC_.wvu.Cols" localSheetId="41" hidden="1">'21'!$A:$B</definedName>
    <definedName name="Z_679A3195_3DEA_4AC2_A535_82AAF5B552BC_.wvu.Cols" localSheetId="42" hidden="1">'21D'!$IZ:$JA,'21D'!$JC:$JE,'21D'!$SV:$SW,'21D'!$SY:$TA,'21D'!$ACR:$ACS,'21D'!$ACU:$ACW,'21D'!$AMN:$AMO,'21D'!$AMQ:$AMS,'21D'!$AWJ:$AWK,'21D'!$AWM:$AWO,'21D'!$BGF:$BGG,'21D'!$BGI:$BGK,'21D'!$BQB:$BQC,'21D'!$BQE:$BQG,'21D'!$BZX:$BZY,'21D'!$CAA:$CAC,'21D'!$CJT:$CJU,'21D'!$CJW:$CJY,'21D'!$CTP:$CTQ,'21D'!$CTS:$CTU,'21D'!$DDL:$DDM,'21D'!$DDO:$DDQ,'21D'!$DNH:$DNI,'21D'!$DNK:$DNM,'21D'!$DXD:$DXE,'21D'!$DXG:$DXI,'21D'!$EGZ:$EHA,'21D'!$EHC:$EHE,'21D'!$EQV:$EQW,'21D'!$EQY:$ERA,'21D'!$FAR:$FAS,'21D'!$FAU:$FAW,'21D'!$FKN:$FKO,'21D'!$FKQ:$FKS,'21D'!$FUJ:$FUK,'21D'!$FUM:$FUO,'21D'!$GEF:$GEG,'21D'!$GEI:$GEK,'21D'!$GOB:$GOC,'21D'!$GOE:$GOG,'21D'!$GXX:$GXY,'21D'!$GYA:$GYC,'21D'!$HHT:$HHU,'21D'!$HHW:$HHY,'21D'!$HRP:$HRQ,'21D'!$HRS:$HRU,'21D'!$IBL:$IBM,'21D'!$IBO:$IBQ,'21D'!$ILH:$ILI,'21D'!$ILK:$ILM,'21D'!$IVD:$IVE,'21D'!$IVG:$IVI,'21D'!$JEZ:$JFA,'21D'!$JFC:$JFE,'21D'!$JOV:$JOW,'21D'!$JOY:$JPA,'21D'!$JYR:$JYS,'21D'!$JYU:$JYW,'21D'!$KIN:$KIO,'21D'!$KIQ:$KIS,'21D'!$KSJ:$KSK,'21D'!$KSM:$KSO,'21D'!$LCF:$LCG,'21D'!$LCI:$LCK,'21D'!$LMB:$LMC,'21D'!$LME:$LMG,'21D'!$LVX:$LVY,'21D'!$LWA:$LWC,'21D'!$MFT:$MFU,'21D'!$MFW:$MFY,'21D'!$MPP:$MPQ,'21D'!$MPS:$MPU,'21D'!$MZL:$MZM,'21D'!$MZO:$MZQ,'21D'!$NJH:$NJI,'21D'!$NJK:$NJM,'21D'!$NTD:$NTE,'21D'!$NTG:$NTI,'21D'!$OCZ:$ODA,'21D'!$ODC:$ODE,'21D'!$OMV:$OMW,'21D'!$OMY:$ONA,'21D'!$OWR:$OWS,'21D'!$OWU:$OWW,'21D'!$PGN:$PGO,'21D'!$PGQ:$PGS,'21D'!$PQJ:$PQK,'21D'!$PQM:$PQO,'21D'!$QAF:$QAG,'21D'!$QAI:$QAK,'21D'!$QKB:$QKC,'21D'!$QKE:$QKG,'21D'!$QTX:$QTY,'21D'!$QUA:$QUC,'21D'!$RDT:$RDU,'21D'!$RDW:$RDY,'21D'!$RNP:$RNQ,'21D'!$RNS:$RNU,'21D'!$RXL:$RXM,'21D'!$RXO:$RXQ,'21D'!$SHH:$SHI,'21D'!$SHK:$SHM,'21D'!$SRD:$SRE,'21D'!$SRG:$SRI,'21D'!$TAZ:$TBA,'21D'!$TBC:$TBE,'21D'!$TKV:$TKW,'21D'!$TKY:$TLA,'21D'!$TUR:$TUS,'21D'!$TUU:$TUW,'21D'!$UEN:$UEO,'21D'!$UEQ:$UES,'21D'!$UOJ:$UOK,'21D'!$UOM:$UOO,'21D'!$UYF:$UYG,'21D'!$UYI:$UYK,'21D'!$VIB:$VIC,'21D'!$VIE:$VIG,'21D'!$VRX:$VRY,'21D'!$VSA:$VSC,'21D'!$WBT:$WBU,'21D'!$WBW:$WBY,'21D'!$WLP:$WLQ,'21D'!$WLS:$WLU,'21D'!$WVL:$WVM,'21D'!$WVO:$WVQ</definedName>
    <definedName name="Z_679A3195_3DEA_4AC2_A535_82AAF5B552BC_.wvu.Cols" localSheetId="43" hidden="1">'22'!$A:$B</definedName>
    <definedName name="Z_679A3195_3DEA_4AC2_A535_82AAF5B552BC_.wvu.Cols" localSheetId="45" hidden="1">'23'!$A:$B</definedName>
    <definedName name="Z_679A3195_3DEA_4AC2_A535_82AAF5B552BC_.wvu.Cols" localSheetId="47" hidden="1">'24'!$A:$B</definedName>
    <definedName name="Z_679A3195_3DEA_4AC2_A535_82AAF5B552BC_.wvu.Cols" localSheetId="48" hidden="1">'25'!$A:$B</definedName>
    <definedName name="Z_679A3195_3DEA_4AC2_A535_82AAF5B552BC_.wvu.Cols" localSheetId="50" hidden="1">'26'!$A:$B</definedName>
    <definedName name="Z_679A3195_3DEA_4AC2_A535_82AAF5B552BC_.wvu.Cols" localSheetId="52" hidden="1">'27'!$A:$B</definedName>
    <definedName name="Z_679A3195_3DEA_4AC2_A535_82AAF5B552BC_.wvu.Cols" localSheetId="53" hidden="1">'28'!$A:$B</definedName>
    <definedName name="Z_679A3195_3DEA_4AC2_A535_82AAF5B552BC_.wvu.Cols" localSheetId="55" hidden="1">'29'!$A:$B</definedName>
    <definedName name="Z_679A3195_3DEA_4AC2_A535_82AAF5B552BC_.wvu.Cols" localSheetId="9" hidden="1">'3'!$A:$B</definedName>
    <definedName name="Z_679A3195_3DEA_4AC2_A535_82AAF5B552BC_.wvu.Cols" localSheetId="57" hidden="1">'30'!$A:$B</definedName>
    <definedName name="Z_679A3195_3DEA_4AC2_A535_82AAF5B552BC_.wvu.Cols" localSheetId="58" hidden="1">'31'!$A:$B</definedName>
    <definedName name="Z_679A3195_3DEA_4AC2_A535_82AAF5B552BC_.wvu.Cols" localSheetId="59" hidden="1">'32'!$A:$B</definedName>
    <definedName name="Z_679A3195_3DEA_4AC2_A535_82AAF5B552BC_.wvu.Cols" localSheetId="61" hidden="1">'33'!$A:$B</definedName>
    <definedName name="Z_679A3195_3DEA_4AC2_A535_82AAF5B552BC_.wvu.Cols" localSheetId="63" hidden="1">'34'!$A:$B</definedName>
    <definedName name="Z_679A3195_3DEA_4AC2_A535_82AAF5B552BC_.wvu.Cols" localSheetId="64" hidden="1">'35'!$A:$B</definedName>
    <definedName name="Z_679A3195_3DEA_4AC2_A535_82AAF5B552BC_.wvu.Cols" localSheetId="65" hidden="1">'36'!$A:$B</definedName>
    <definedName name="Z_679A3195_3DEA_4AC2_A535_82AAF5B552BC_.wvu.Cols" localSheetId="66" hidden="1">'37'!$A:$B</definedName>
    <definedName name="Z_679A3195_3DEA_4AC2_A535_82AAF5B552BC_.wvu.Cols" localSheetId="67" hidden="1">'39'!$A:$B</definedName>
    <definedName name="Z_679A3195_3DEA_4AC2_A535_82AAF5B552BC_.wvu.Cols" localSheetId="11" hidden="1">'4'!$A:$B</definedName>
    <definedName name="Z_679A3195_3DEA_4AC2_A535_82AAF5B552BC_.wvu.Cols" localSheetId="68" hidden="1">'40'!$A:$B</definedName>
    <definedName name="Z_679A3195_3DEA_4AC2_A535_82AAF5B552BC_.wvu.Cols" localSheetId="69" hidden="1">'41'!$A:$B</definedName>
    <definedName name="Z_679A3195_3DEA_4AC2_A535_82AAF5B552BC_.wvu.Cols" localSheetId="70" hidden="1">'42'!$A:$B</definedName>
    <definedName name="Z_679A3195_3DEA_4AC2_A535_82AAF5B552BC_.wvu.Cols" localSheetId="71" hidden="1">'43'!$A:$B</definedName>
    <definedName name="Z_679A3195_3DEA_4AC2_A535_82AAF5B552BC_.wvu.Cols" localSheetId="73" hidden="1">'44'!$A:$B</definedName>
    <definedName name="Z_679A3195_3DEA_4AC2_A535_82AAF5B552BC_.wvu.Cols" localSheetId="74" hidden="1">'45'!$A:$B</definedName>
    <definedName name="Z_679A3195_3DEA_4AC2_A535_82AAF5B552BC_.wvu.Cols" localSheetId="75" hidden="1">'46'!$A:$B</definedName>
    <definedName name="Z_679A3195_3DEA_4AC2_A535_82AAF5B552BC_.wvu.Cols" localSheetId="76" hidden="1">'47'!$A:$B</definedName>
    <definedName name="Z_679A3195_3DEA_4AC2_A535_82AAF5B552BC_.wvu.Cols" localSheetId="77" hidden="1">'48'!$A:$B</definedName>
    <definedName name="Z_679A3195_3DEA_4AC2_A535_82AAF5B552BC_.wvu.Cols" localSheetId="78" hidden="1">'49'!$A:$B</definedName>
    <definedName name="Z_679A3195_3DEA_4AC2_A535_82AAF5B552BC_.wvu.Cols" localSheetId="13" hidden="1">'5'!$A:$B</definedName>
    <definedName name="Z_679A3195_3DEA_4AC2_A535_82AAF5B552BC_.wvu.Cols" localSheetId="79" hidden="1">'50'!$A:$B</definedName>
    <definedName name="Z_679A3195_3DEA_4AC2_A535_82AAF5B552BC_.wvu.Cols" localSheetId="80" hidden="1">'51'!$A:$B</definedName>
    <definedName name="Z_679A3195_3DEA_4AC2_A535_82AAF5B552BC_.wvu.Cols" localSheetId="81" hidden="1">'52'!$A:$B</definedName>
    <definedName name="Z_679A3195_3DEA_4AC2_A535_82AAF5B552BC_.wvu.Cols" localSheetId="82" hidden="1">'53'!$A:$B</definedName>
    <definedName name="Z_679A3195_3DEA_4AC2_A535_82AAF5B552BC_.wvu.Cols" localSheetId="83" hidden="1">'54'!$A:$B</definedName>
    <definedName name="Z_679A3195_3DEA_4AC2_A535_82AAF5B552BC_.wvu.Cols" localSheetId="84" hidden="1">'55'!$A:$B</definedName>
    <definedName name="Z_679A3195_3DEA_4AC2_A535_82AAF5B552BC_.wvu.Cols" localSheetId="85" hidden="1">'56'!$A:$B</definedName>
    <definedName name="Z_679A3195_3DEA_4AC2_A535_82AAF5B552BC_.wvu.Cols" localSheetId="86" hidden="1">'57'!$A:$B</definedName>
    <definedName name="Z_679A3195_3DEA_4AC2_A535_82AAF5B552BC_.wvu.Cols" localSheetId="87" hidden="1">'58'!$A:$B</definedName>
    <definedName name="Z_679A3195_3DEA_4AC2_A535_82AAF5B552BC_.wvu.Cols" localSheetId="88" hidden="1">'59'!$A:$B</definedName>
    <definedName name="Z_679A3195_3DEA_4AC2_A535_82AAF5B552BC_.wvu.Cols" localSheetId="15" hidden="1">'6'!$A:$B</definedName>
    <definedName name="Z_679A3195_3DEA_4AC2_A535_82AAF5B552BC_.wvu.Cols" localSheetId="89" hidden="1">'60'!$A:$B</definedName>
    <definedName name="Z_679A3195_3DEA_4AC2_A535_82AAF5B552BC_.wvu.Cols" localSheetId="90" hidden="1">'61'!$A:$B</definedName>
    <definedName name="Z_679A3195_3DEA_4AC2_A535_82AAF5B552BC_.wvu.Cols" localSheetId="91" hidden="1">'62'!$A:$B</definedName>
    <definedName name="Z_679A3195_3DEA_4AC2_A535_82AAF5B552BC_.wvu.Cols" localSheetId="92" hidden="1">'63'!$A:$B</definedName>
    <definedName name="Z_679A3195_3DEA_4AC2_A535_82AAF5B552BC_.wvu.Cols" localSheetId="93" hidden="1">'64'!$A:$B</definedName>
    <definedName name="Z_679A3195_3DEA_4AC2_A535_82AAF5B552BC_.wvu.Cols" localSheetId="94" hidden="1">'65'!$A:$B</definedName>
    <definedName name="Z_679A3195_3DEA_4AC2_A535_82AAF5B552BC_.wvu.Cols" localSheetId="95" hidden="1">'66'!$A:$B</definedName>
    <definedName name="Z_679A3195_3DEA_4AC2_A535_82AAF5B552BC_.wvu.Cols" localSheetId="96" hidden="1">'67'!$A:$B</definedName>
    <definedName name="Z_679A3195_3DEA_4AC2_A535_82AAF5B552BC_.wvu.Cols" localSheetId="97" hidden="1">'68'!$A:$B</definedName>
    <definedName name="Z_679A3195_3DEA_4AC2_A535_82AAF5B552BC_.wvu.Cols" localSheetId="98" hidden="1">'69'!$A:$B</definedName>
    <definedName name="Z_679A3195_3DEA_4AC2_A535_82AAF5B552BC_.wvu.Cols" localSheetId="17" hidden="1">'7'!$A:$B</definedName>
    <definedName name="Z_679A3195_3DEA_4AC2_A535_82AAF5B552BC_.wvu.Cols" localSheetId="99" hidden="1">'70'!$A:$B</definedName>
    <definedName name="Z_679A3195_3DEA_4AC2_A535_82AAF5B552BC_.wvu.Cols" localSheetId="100" hidden="1">'71'!$A:$B</definedName>
    <definedName name="Z_679A3195_3DEA_4AC2_A535_82AAF5B552BC_.wvu.Cols" localSheetId="101" hidden="1">'72'!$A:$B</definedName>
    <definedName name="Z_679A3195_3DEA_4AC2_A535_82AAF5B552BC_.wvu.Cols" localSheetId="126" hidden="1">'73'!$A:$B</definedName>
    <definedName name="Z_679A3195_3DEA_4AC2_A535_82AAF5B552BC_.wvu.Cols" localSheetId="129" hidden="1">'74'!$A:$B</definedName>
    <definedName name="Z_679A3195_3DEA_4AC2_A535_82AAF5B552BC_.wvu.Cols" localSheetId="19" hidden="1">'8'!$A:$B</definedName>
    <definedName name="Z_679A3195_3DEA_4AC2_A535_82AAF5B552BC_.wvu.Cols" localSheetId="21" hidden="1">'9'!$A:$B</definedName>
    <definedName name="Z_679A3195_3DEA_4AC2_A535_82AAF5B552BC_.wvu.Cols" localSheetId="106" hidden="1">ChtLMd!$IZ:$JA,ChtLMd!$JC:$JE,ChtLMd!$SV:$SW,ChtLMd!$SY:$TA,ChtLMd!$ACR:$ACS,ChtLMd!$ACU:$ACW,ChtLMd!$AMN:$AMO,ChtLMd!$AMQ:$AMS,ChtLMd!$AWJ:$AWK,ChtLMd!$AWM:$AWO,ChtLMd!$BGF:$BGG,ChtLMd!$BGI:$BGK,ChtLMd!$BQB:$BQC,ChtLMd!$BQE:$BQG,ChtLMd!$BZX:$BZY,ChtLMd!$CAA:$CAC,ChtLMd!$CJT:$CJU,ChtLMd!$CJW:$CJY,ChtLMd!$CTP:$CTQ,ChtLMd!$CTS:$CTU,ChtLMd!$DDL:$DDM,ChtLMd!$DDO:$DDQ,ChtLMd!$DNH:$DNI,ChtLMd!$DNK:$DNM,ChtLMd!$DXD:$DXE,ChtLMd!$DXG:$DXI,ChtLMd!$EGZ:$EHA,ChtLMd!$EHC:$EHE,ChtLMd!$EQV:$EQW,ChtLMd!$EQY:$ERA,ChtLMd!$FAR:$FAS,ChtLMd!$FAU:$FAW,ChtLMd!$FKN:$FKO,ChtLMd!$FKQ:$FKS,ChtLMd!$FUJ:$FUK,ChtLMd!$FUM:$FUO,ChtLMd!$GEF:$GEG,ChtLMd!$GEI:$GEK,ChtLMd!$GOB:$GOC,ChtLMd!$GOE:$GOG,ChtLMd!$GXX:$GXY,ChtLMd!$GYA:$GYC,ChtLMd!$HHT:$HHU,ChtLMd!$HHW:$HHY,ChtLMd!$HRP:$HRQ,ChtLMd!$HRS:$HRU,ChtLMd!$IBL:$IBM,ChtLMd!$IBO:$IBQ,ChtLMd!$ILH:$ILI,ChtLMd!$ILK:$ILM,ChtLMd!$IVD:$IVE,ChtLMd!$IVG:$IVI,ChtLMd!$JEZ:$JFA,ChtLMd!$JFC:$JFE,ChtLMd!$JOV:$JOW,ChtLMd!$JOY:$JPA,ChtLMd!$JYR:$JYS,ChtLMd!$JYU:$JYW,ChtLMd!$KIN:$KIO,ChtLMd!$KIQ:$KIS,ChtLMd!$KSJ:$KSK,ChtLMd!$KSM:$KSO,ChtLMd!$LCF:$LCG,ChtLMd!$LCI:$LCK,ChtLMd!$LMB:$LMC,ChtLMd!$LME:$LMG,ChtLMd!$LVX:$LVY,ChtLMd!$LWA:$LWC,ChtLMd!$MFT:$MFU,ChtLMd!$MFW:$MFY,ChtLMd!$MPP:$MPQ,ChtLMd!$MPS:$MPU,ChtLMd!$MZL:$MZM,ChtLMd!$MZO:$MZQ,ChtLMd!$NJH:$NJI,ChtLMd!$NJK:$NJM,ChtLMd!$NTD:$NTE,ChtLMd!$NTG:$NTI,ChtLMd!$OCZ:$ODA,ChtLMd!$ODC:$ODE,ChtLMd!$OMV:$OMW,ChtLMd!$OMY:$ONA,ChtLMd!$OWR:$OWS,ChtLMd!$OWU:$OWW,ChtLMd!$PGN:$PGO,ChtLMd!$PGQ:$PGS,ChtLMd!$PQJ:$PQK,ChtLMd!$PQM:$PQO,ChtLMd!$QAF:$QAG,ChtLMd!$QAI:$QAK,ChtLMd!$QKB:$QKC,ChtLMd!$QKE:$QKG,ChtLMd!$QTX:$QTY,ChtLMd!$QUA:$QUC,ChtLMd!$RDT:$RDU,ChtLMd!$RDW:$RDY,ChtLMd!$RNP:$RNQ,ChtLMd!$RNS:$RNU,ChtLMd!$RXL:$RXM,ChtLMd!$RXO:$RXQ,ChtLMd!$SHH:$SHI,ChtLMd!$SHK:$SHM,ChtLMd!$SRD:$SRE,ChtLMd!$SRG:$SRI,ChtLMd!$TAZ:$TBA,ChtLMd!$TBC:$TBE,ChtLMd!$TKV:$TKW,ChtLMd!$TKY:$TLA,ChtLMd!$TUR:$TUS,ChtLMd!$TUU:$TUW,ChtLMd!$UEN:$UEO,ChtLMd!$UEQ:$UES,ChtLMd!$UOJ:$UOK,ChtLMd!$UOM:$UOO,ChtLMd!$UYF:$UYG,ChtLMd!$UYI:$UYK,ChtLMd!$VIB:$VIC,ChtLMd!$VIE:$VIG,ChtLMd!$VRX:$VRY,ChtLMd!$VSA:$VSC,ChtLMd!$WBT:$WBU,ChtLMd!$WBW:$WBY,ChtLMd!$WLP:$WLQ,ChtLMd!$WLS:$WLU,ChtLMd!$WVL:$WVM,ChtLMd!$WVO:$WVQ</definedName>
    <definedName name="Z_679A3195_3DEA_4AC2_A535_82AAF5B552BC_.wvu.Cols" localSheetId="1" hidden="1">Findings!$E:$E</definedName>
    <definedName name="Z_679A3195_3DEA_4AC2_A535_82AAF5B552BC_.wvu.Cols" localSheetId="2" hidden="1">Recommendations!$E:$G</definedName>
    <definedName name="Z_679A3195_3DEA_4AC2_A535_82AAF5B552BC_.wvu.FilterData" localSheetId="3" hidden="1">Captions!$A$1:$C$73</definedName>
    <definedName name="Z_679A3195_3DEA_4AC2_A535_82AAF5B552BC_.wvu.FilterData" localSheetId="125" hidden="1">FileReviewW12!$A$1:$EN$75</definedName>
    <definedName name="Z_679A3195_3DEA_4AC2_A535_82AAF5B552BC_.wvu.FilterData" localSheetId="1" hidden="1">Findings!$A$2:$O$80</definedName>
    <definedName name="Z_679A3195_3DEA_4AC2_A535_82AAF5B552BC_.wvu.FilterData" localSheetId="4" hidden="1">Glossary!$A$1:$B$80</definedName>
    <definedName name="Z_679A3195_3DEA_4AC2_A535_82AAF5B552BC_.wvu.FilterData" localSheetId="120" hidden="1">PartFrameW12!$A$1:$AH$353</definedName>
    <definedName name="Z_679A3195_3DEA_4AC2_A535_82AAF5B552BC_.wvu.FilterData" localSheetId="2" hidden="1">Recommendations!$A$2:$W$26</definedName>
    <definedName name="Z_679A3195_3DEA_4AC2_A535_82AAF5B552BC_.wvu.FilterData" localSheetId="121" hidden="1">WrkShopAttendW12!$A$1:$AD$795</definedName>
    <definedName name="Z_679A3195_3DEA_4AC2_A535_82AAF5B552BC_.wvu.Rows" localSheetId="28" hidden="1">'13'!$32:$32</definedName>
    <definedName name="Z_6D63B10B_E1E6_452A_80EB_4B2C7D61CF66_.wvu.Cols" localSheetId="5" hidden="1">'1'!$A:$B</definedName>
    <definedName name="Z_6D63B10B_E1E6_452A_80EB_4B2C7D61CF66_.wvu.Cols" localSheetId="23" hidden="1">'10'!$A:$B</definedName>
    <definedName name="Z_6D63B10B_E1E6_452A_80EB_4B2C7D61CF66_.wvu.Cols" localSheetId="24" hidden="1">'11'!$A:$B</definedName>
    <definedName name="Z_6D63B10B_E1E6_452A_80EB_4B2C7D61CF66_.wvu.Cols" localSheetId="26" hidden="1">'12'!$A:$B</definedName>
    <definedName name="Z_6D63B10B_E1E6_452A_80EB_4B2C7D61CF66_.wvu.Cols" localSheetId="28" hidden="1">'13'!$A:$B</definedName>
    <definedName name="Z_6D63B10B_E1E6_452A_80EB_4B2C7D61CF66_.wvu.Cols" localSheetId="30" hidden="1">'14'!$A:$B</definedName>
    <definedName name="Z_6D63B10B_E1E6_452A_80EB_4B2C7D61CF66_.wvu.Cols" localSheetId="32" hidden="1">'15'!$A:$B</definedName>
    <definedName name="Z_6D63B10B_E1E6_452A_80EB_4B2C7D61CF66_.wvu.Cols" localSheetId="34" hidden="1">'16'!$A:$B</definedName>
    <definedName name="Z_6D63B10B_E1E6_452A_80EB_4B2C7D61CF66_.wvu.Cols" localSheetId="36" hidden="1">'17'!$A:$B</definedName>
    <definedName name="Z_6D63B10B_E1E6_452A_80EB_4B2C7D61CF66_.wvu.Cols" localSheetId="38" hidden="1">'19'!$A:$B</definedName>
    <definedName name="Z_6D63B10B_E1E6_452A_80EB_4B2C7D61CF66_.wvu.Cols" localSheetId="7" hidden="1">'2'!$A:$B</definedName>
    <definedName name="Z_6D63B10B_E1E6_452A_80EB_4B2C7D61CF66_.wvu.Cols" localSheetId="39" hidden="1">'20'!$A:$B</definedName>
    <definedName name="Z_6D63B10B_E1E6_452A_80EB_4B2C7D61CF66_.wvu.Cols" localSheetId="40" hidden="1">'20D'!$IZ:$JA,'20D'!$JC:$JE,'20D'!$SV:$SW,'20D'!$SY:$TA,'20D'!$ACR:$ACS,'20D'!$ACU:$ACW,'20D'!$AMN:$AMO,'20D'!$AMQ:$AMS,'20D'!$AWJ:$AWK,'20D'!$AWM:$AWO,'20D'!$BGF:$BGG,'20D'!$BGI:$BGK,'20D'!$BQB:$BQC,'20D'!$BQE:$BQG,'20D'!$BZX:$BZY,'20D'!$CAA:$CAC,'20D'!$CJT:$CJU,'20D'!$CJW:$CJY,'20D'!$CTP:$CTQ,'20D'!$CTS:$CTU,'20D'!$DDL:$DDM,'20D'!$DDO:$DDQ,'20D'!$DNH:$DNI,'20D'!$DNK:$DNM,'20D'!$DXD:$DXE,'20D'!$DXG:$DXI,'20D'!$EGZ:$EHA,'20D'!$EHC:$EHE,'20D'!$EQV:$EQW,'20D'!$EQY:$ERA,'20D'!$FAR:$FAS,'20D'!$FAU:$FAW,'20D'!$FKN:$FKO,'20D'!$FKQ:$FKS,'20D'!$FUJ:$FUK,'20D'!$FUM:$FUO,'20D'!$GEF:$GEG,'20D'!$GEI:$GEK,'20D'!$GOB:$GOC,'20D'!$GOE:$GOG,'20D'!$GXX:$GXY,'20D'!$GYA:$GYC,'20D'!$HHT:$HHU,'20D'!$HHW:$HHY,'20D'!$HRP:$HRQ,'20D'!$HRS:$HRU,'20D'!$IBL:$IBM,'20D'!$IBO:$IBQ,'20D'!$ILH:$ILI,'20D'!$ILK:$ILM,'20D'!$IVD:$IVE,'20D'!$IVG:$IVI,'20D'!$JEZ:$JFA,'20D'!$JFC:$JFE,'20D'!$JOV:$JOW,'20D'!$JOY:$JPA,'20D'!$JYR:$JYS,'20D'!$JYU:$JYW,'20D'!$KIN:$KIO,'20D'!$KIQ:$KIS,'20D'!$KSJ:$KSK,'20D'!$KSM:$KSO,'20D'!$LCF:$LCG,'20D'!$LCI:$LCK,'20D'!$LMB:$LMC,'20D'!$LME:$LMG,'20D'!$LVX:$LVY,'20D'!$LWA:$LWC,'20D'!$MFT:$MFU,'20D'!$MFW:$MFY,'20D'!$MPP:$MPQ,'20D'!$MPS:$MPU,'20D'!$MZL:$MZM,'20D'!$MZO:$MZQ,'20D'!$NJH:$NJI,'20D'!$NJK:$NJM,'20D'!$NTD:$NTE,'20D'!$NTG:$NTI,'20D'!$OCZ:$ODA,'20D'!$ODC:$ODE,'20D'!$OMV:$OMW,'20D'!$OMY:$ONA,'20D'!$OWR:$OWS,'20D'!$OWU:$OWW,'20D'!$PGN:$PGO,'20D'!$PGQ:$PGS,'20D'!$PQJ:$PQK,'20D'!$PQM:$PQO,'20D'!$QAF:$QAG,'20D'!$QAI:$QAK,'20D'!$QKB:$QKC,'20D'!$QKE:$QKG,'20D'!$QTX:$QTY,'20D'!$QUA:$QUC,'20D'!$RDT:$RDU,'20D'!$RDW:$RDY,'20D'!$RNP:$RNQ,'20D'!$RNS:$RNU,'20D'!$RXL:$RXM,'20D'!$RXO:$RXQ,'20D'!$SHH:$SHI,'20D'!$SHK:$SHM,'20D'!$SRD:$SRE,'20D'!$SRG:$SRI,'20D'!$TAZ:$TBA,'20D'!$TBC:$TBE,'20D'!$TKV:$TKW,'20D'!$TKY:$TLA,'20D'!$TUR:$TUS,'20D'!$TUU:$TUW,'20D'!$UEN:$UEO,'20D'!$UEQ:$UES,'20D'!$UOJ:$UOK,'20D'!$UOM:$UOO,'20D'!$UYF:$UYG,'20D'!$UYI:$UYK,'20D'!$VIB:$VIC,'20D'!$VIE:$VIG,'20D'!$VRX:$VRY,'20D'!$VSA:$VSC,'20D'!$WBT:$WBU,'20D'!$WBW:$WBY,'20D'!$WLP:$WLQ,'20D'!$WLS:$WLU,'20D'!$WVL:$WVM,'20D'!$WVO:$WVQ</definedName>
    <definedName name="Z_6D63B10B_E1E6_452A_80EB_4B2C7D61CF66_.wvu.Cols" localSheetId="41" hidden="1">'21'!$A:$B</definedName>
    <definedName name="Z_6D63B10B_E1E6_452A_80EB_4B2C7D61CF66_.wvu.Cols" localSheetId="42" hidden="1">'21D'!$IZ:$JA,'21D'!$JC:$JE,'21D'!$SV:$SW,'21D'!$SY:$TA,'21D'!$ACR:$ACS,'21D'!$ACU:$ACW,'21D'!$AMN:$AMO,'21D'!$AMQ:$AMS,'21D'!$AWJ:$AWK,'21D'!$AWM:$AWO,'21D'!$BGF:$BGG,'21D'!$BGI:$BGK,'21D'!$BQB:$BQC,'21D'!$BQE:$BQG,'21D'!$BZX:$BZY,'21D'!$CAA:$CAC,'21D'!$CJT:$CJU,'21D'!$CJW:$CJY,'21D'!$CTP:$CTQ,'21D'!$CTS:$CTU,'21D'!$DDL:$DDM,'21D'!$DDO:$DDQ,'21D'!$DNH:$DNI,'21D'!$DNK:$DNM,'21D'!$DXD:$DXE,'21D'!$DXG:$DXI,'21D'!$EGZ:$EHA,'21D'!$EHC:$EHE,'21D'!$EQV:$EQW,'21D'!$EQY:$ERA,'21D'!$FAR:$FAS,'21D'!$FAU:$FAW,'21D'!$FKN:$FKO,'21D'!$FKQ:$FKS,'21D'!$FUJ:$FUK,'21D'!$FUM:$FUO,'21D'!$GEF:$GEG,'21D'!$GEI:$GEK,'21D'!$GOB:$GOC,'21D'!$GOE:$GOG,'21D'!$GXX:$GXY,'21D'!$GYA:$GYC,'21D'!$HHT:$HHU,'21D'!$HHW:$HHY,'21D'!$HRP:$HRQ,'21D'!$HRS:$HRU,'21D'!$IBL:$IBM,'21D'!$IBO:$IBQ,'21D'!$ILH:$ILI,'21D'!$ILK:$ILM,'21D'!$IVD:$IVE,'21D'!$IVG:$IVI,'21D'!$JEZ:$JFA,'21D'!$JFC:$JFE,'21D'!$JOV:$JOW,'21D'!$JOY:$JPA,'21D'!$JYR:$JYS,'21D'!$JYU:$JYW,'21D'!$KIN:$KIO,'21D'!$KIQ:$KIS,'21D'!$KSJ:$KSK,'21D'!$KSM:$KSO,'21D'!$LCF:$LCG,'21D'!$LCI:$LCK,'21D'!$LMB:$LMC,'21D'!$LME:$LMG,'21D'!$LVX:$LVY,'21D'!$LWA:$LWC,'21D'!$MFT:$MFU,'21D'!$MFW:$MFY,'21D'!$MPP:$MPQ,'21D'!$MPS:$MPU,'21D'!$MZL:$MZM,'21D'!$MZO:$MZQ,'21D'!$NJH:$NJI,'21D'!$NJK:$NJM,'21D'!$NTD:$NTE,'21D'!$NTG:$NTI,'21D'!$OCZ:$ODA,'21D'!$ODC:$ODE,'21D'!$OMV:$OMW,'21D'!$OMY:$ONA,'21D'!$OWR:$OWS,'21D'!$OWU:$OWW,'21D'!$PGN:$PGO,'21D'!$PGQ:$PGS,'21D'!$PQJ:$PQK,'21D'!$PQM:$PQO,'21D'!$QAF:$QAG,'21D'!$QAI:$QAK,'21D'!$QKB:$QKC,'21D'!$QKE:$QKG,'21D'!$QTX:$QTY,'21D'!$QUA:$QUC,'21D'!$RDT:$RDU,'21D'!$RDW:$RDY,'21D'!$RNP:$RNQ,'21D'!$RNS:$RNU,'21D'!$RXL:$RXM,'21D'!$RXO:$RXQ,'21D'!$SHH:$SHI,'21D'!$SHK:$SHM,'21D'!$SRD:$SRE,'21D'!$SRG:$SRI,'21D'!$TAZ:$TBA,'21D'!$TBC:$TBE,'21D'!$TKV:$TKW,'21D'!$TKY:$TLA,'21D'!$TUR:$TUS,'21D'!$TUU:$TUW,'21D'!$UEN:$UEO,'21D'!$UEQ:$UES,'21D'!$UOJ:$UOK,'21D'!$UOM:$UOO,'21D'!$UYF:$UYG,'21D'!$UYI:$UYK,'21D'!$VIB:$VIC,'21D'!$VIE:$VIG,'21D'!$VRX:$VRY,'21D'!$VSA:$VSC,'21D'!$WBT:$WBU,'21D'!$WBW:$WBY,'21D'!$WLP:$WLQ,'21D'!$WLS:$WLU,'21D'!$WVL:$WVM,'21D'!$WVO:$WVQ</definedName>
    <definedName name="Z_6D63B10B_E1E6_452A_80EB_4B2C7D61CF66_.wvu.Cols" localSheetId="43" hidden="1">'22'!$A:$B</definedName>
    <definedName name="Z_6D63B10B_E1E6_452A_80EB_4B2C7D61CF66_.wvu.Cols" localSheetId="45" hidden="1">'23'!$A:$B</definedName>
    <definedName name="Z_6D63B10B_E1E6_452A_80EB_4B2C7D61CF66_.wvu.Cols" localSheetId="47" hidden="1">'24'!$A:$B</definedName>
    <definedName name="Z_6D63B10B_E1E6_452A_80EB_4B2C7D61CF66_.wvu.Cols" localSheetId="48" hidden="1">'25'!$A:$B</definedName>
    <definedName name="Z_6D63B10B_E1E6_452A_80EB_4B2C7D61CF66_.wvu.Cols" localSheetId="50" hidden="1">'26'!$A:$B</definedName>
    <definedName name="Z_6D63B10B_E1E6_452A_80EB_4B2C7D61CF66_.wvu.Cols" localSheetId="52" hidden="1">'27'!$A:$B</definedName>
    <definedName name="Z_6D63B10B_E1E6_452A_80EB_4B2C7D61CF66_.wvu.Cols" localSheetId="53" hidden="1">'28'!$A:$B</definedName>
    <definedName name="Z_6D63B10B_E1E6_452A_80EB_4B2C7D61CF66_.wvu.Cols" localSheetId="55" hidden="1">'29'!$A:$B</definedName>
    <definedName name="Z_6D63B10B_E1E6_452A_80EB_4B2C7D61CF66_.wvu.Cols" localSheetId="9" hidden="1">'3'!$A:$B</definedName>
    <definedName name="Z_6D63B10B_E1E6_452A_80EB_4B2C7D61CF66_.wvu.Cols" localSheetId="57" hidden="1">'30'!$A:$B</definedName>
    <definedName name="Z_6D63B10B_E1E6_452A_80EB_4B2C7D61CF66_.wvu.Cols" localSheetId="58" hidden="1">'31'!$A:$B</definedName>
    <definedName name="Z_6D63B10B_E1E6_452A_80EB_4B2C7D61CF66_.wvu.Cols" localSheetId="59" hidden="1">'32'!$A:$B</definedName>
    <definedName name="Z_6D63B10B_E1E6_452A_80EB_4B2C7D61CF66_.wvu.Cols" localSheetId="61" hidden="1">'33'!$A:$B</definedName>
    <definedName name="Z_6D63B10B_E1E6_452A_80EB_4B2C7D61CF66_.wvu.Cols" localSheetId="63" hidden="1">'34'!$A:$B</definedName>
    <definedName name="Z_6D63B10B_E1E6_452A_80EB_4B2C7D61CF66_.wvu.Cols" localSheetId="64" hidden="1">'35'!$A:$B</definedName>
    <definedName name="Z_6D63B10B_E1E6_452A_80EB_4B2C7D61CF66_.wvu.Cols" localSheetId="65" hidden="1">'36'!$A:$B</definedName>
    <definedName name="Z_6D63B10B_E1E6_452A_80EB_4B2C7D61CF66_.wvu.Cols" localSheetId="66" hidden="1">'37'!$A:$B</definedName>
    <definedName name="Z_6D63B10B_E1E6_452A_80EB_4B2C7D61CF66_.wvu.Cols" localSheetId="67" hidden="1">'39'!$A:$B</definedName>
    <definedName name="Z_6D63B10B_E1E6_452A_80EB_4B2C7D61CF66_.wvu.Cols" localSheetId="11" hidden="1">'4'!$A:$B</definedName>
    <definedName name="Z_6D63B10B_E1E6_452A_80EB_4B2C7D61CF66_.wvu.Cols" localSheetId="68" hidden="1">'40'!$A:$B</definedName>
    <definedName name="Z_6D63B10B_E1E6_452A_80EB_4B2C7D61CF66_.wvu.Cols" localSheetId="69" hidden="1">'41'!$A:$B</definedName>
    <definedName name="Z_6D63B10B_E1E6_452A_80EB_4B2C7D61CF66_.wvu.Cols" localSheetId="70" hidden="1">'42'!$A:$B</definedName>
    <definedName name="Z_6D63B10B_E1E6_452A_80EB_4B2C7D61CF66_.wvu.Cols" localSheetId="71" hidden="1">'43'!$A:$B</definedName>
    <definedName name="Z_6D63B10B_E1E6_452A_80EB_4B2C7D61CF66_.wvu.Cols" localSheetId="73" hidden="1">'44'!$A:$B</definedName>
    <definedName name="Z_6D63B10B_E1E6_452A_80EB_4B2C7D61CF66_.wvu.Cols" localSheetId="74" hidden="1">'45'!$A:$B</definedName>
    <definedName name="Z_6D63B10B_E1E6_452A_80EB_4B2C7D61CF66_.wvu.Cols" localSheetId="75" hidden="1">'46'!$A:$B</definedName>
    <definedName name="Z_6D63B10B_E1E6_452A_80EB_4B2C7D61CF66_.wvu.Cols" localSheetId="76" hidden="1">'47'!$A:$B</definedName>
    <definedName name="Z_6D63B10B_E1E6_452A_80EB_4B2C7D61CF66_.wvu.Cols" localSheetId="77" hidden="1">'48'!$A:$B</definedName>
    <definedName name="Z_6D63B10B_E1E6_452A_80EB_4B2C7D61CF66_.wvu.Cols" localSheetId="78" hidden="1">'49'!$A:$B</definedName>
    <definedName name="Z_6D63B10B_E1E6_452A_80EB_4B2C7D61CF66_.wvu.Cols" localSheetId="13" hidden="1">'5'!$A:$B</definedName>
    <definedName name="Z_6D63B10B_E1E6_452A_80EB_4B2C7D61CF66_.wvu.Cols" localSheetId="79" hidden="1">'50'!$A:$B</definedName>
    <definedName name="Z_6D63B10B_E1E6_452A_80EB_4B2C7D61CF66_.wvu.Cols" localSheetId="80" hidden="1">'51'!$A:$B</definedName>
    <definedName name="Z_6D63B10B_E1E6_452A_80EB_4B2C7D61CF66_.wvu.Cols" localSheetId="81" hidden="1">'52'!$A:$B</definedName>
    <definedName name="Z_6D63B10B_E1E6_452A_80EB_4B2C7D61CF66_.wvu.Cols" localSheetId="82" hidden="1">'53'!$A:$B</definedName>
    <definedName name="Z_6D63B10B_E1E6_452A_80EB_4B2C7D61CF66_.wvu.Cols" localSheetId="83" hidden="1">'54'!$A:$B</definedName>
    <definedName name="Z_6D63B10B_E1E6_452A_80EB_4B2C7D61CF66_.wvu.Cols" localSheetId="84" hidden="1">'55'!$A:$B</definedName>
    <definedName name="Z_6D63B10B_E1E6_452A_80EB_4B2C7D61CF66_.wvu.Cols" localSheetId="85" hidden="1">'56'!$A:$B</definedName>
    <definedName name="Z_6D63B10B_E1E6_452A_80EB_4B2C7D61CF66_.wvu.Cols" localSheetId="86" hidden="1">'57'!$A:$B</definedName>
    <definedName name="Z_6D63B10B_E1E6_452A_80EB_4B2C7D61CF66_.wvu.Cols" localSheetId="87" hidden="1">'58'!$A:$B</definedName>
    <definedName name="Z_6D63B10B_E1E6_452A_80EB_4B2C7D61CF66_.wvu.Cols" localSheetId="88" hidden="1">'59'!$A:$B</definedName>
    <definedName name="Z_6D63B10B_E1E6_452A_80EB_4B2C7D61CF66_.wvu.Cols" localSheetId="15" hidden="1">'6'!$A:$B</definedName>
    <definedName name="Z_6D63B10B_E1E6_452A_80EB_4B2C7D61CF66_.wvu.Cols" localSheetId="89" hidden="1">'60'!$A:$B</definedName>
    <definedName name="Z_6D63B10B_E1E6_452A_80EB_4B2C7D61CF66_.wvu.Cols" localSheetId="90" hidden="1">'61'!$A:$B</definedName>
    <definedName name="Z_6D63B10B_E1E6_452A_80EB_4B2C7D61CF66_.wvu.Cols" localSheetId="91" hidden="1">'62'!$A:$B</definedName>
    <definedName name="Z_6D63B10B_E1E6_452A_80EB_4B2C7D61CF66_.wvu.Cols" localSheetId="92" hidden="1">'63'!$A:$B</definedName>
    <definedName name="Z_6D63B10B_E1E6_452A_80EB_4B2C7D61CF66_.wvu.Cols" localSheetId="93" hidden="1">'64'!$A:$B</definedName>
    <definedName name="Z_6D63B10B_E1E6_452A_80EB_4B2C7D61CF66_.wvu.Cols" localSheetId="94" hidden="1">'65'!$A:$B</definedName>
    <definedName name="Z_6D63B10B_E1E6_452A_80EB_4B2C7D61CF66_.wvu.Cols" localSheetId="95" hidden="1">'66'!$A:$B</definedName>
    <definedName name="Z_6D63B10B_E1E6_452A_80EB_4B2C7D61CF66_.wvu.Cols" localSheetId="96" hidden="1">'67'!$A:$B</definedName>
    <definedName name="Z_6D63B10B_E1E6_452A_80EB_4B2C7D61CF66_.wvu.Cols" localSheetId="97" hidden="1">'68'!$A:$B</definedName>
    <definedName name="Z_6D63B10B_E1E6_452A_80EB_4B2C7D61CF66_.wvu.Cols" localSheetId="98" hidden="1">'69'!$A:$B</definedName>
    <definedName name="Z_6D63B10B_E1E6_452A_80EB_4B2C7D61CF66_.wvu.Cols" localSheetId="17" hidden="1">'7'!$A:$B</definedName>
    <definedName name="Z_6D63B10B_E1E6_452A_80EB_4B2C7D61CF66_.wvu.Cols" localSheetId="99" hidden="1">'70'!$A:$B</definedName>
    <definedName name="Z_6D63B10B_E1E6_452A_80EB_4B2C7D61CF66_.wvu.Cols" localSheetId="100" hidden="1">'71'!$A:$B</definedName>
    <definedName name="Z_6D63B10B_E1E6_452A_80EB_4B2C7D61CF66_.wvu.Cols" localSheetId="101" hidden="1">'72'!$A:$B</definedName>
    <definedName name="Z_6D63B10B_E1E6_452A_80EB_4B2C7D61CF66_.wvu.Cols" localSheetId="126" hidden="1">'73'!$A:$B</definedName>
    <definedName name="Z_6D63B10B_E1E6_452A_80EB_4B2C7D61CF66_.wvu.Cols" localSheetId="129" hidden="1">'74'!$A:$B</definedName>
    <definedName name="Z_6D63B10B_E1E6_452A_80EB_4B2C7D61CF66_.wvu.Cols" localSheetId="19" hidden="1">'8'!$A:$B</definedName>
    <definedName name="Z_6D63B10B_E1E6_452A_80EB_4B2C7D61CF66_.wvu.Cols" localSheetId="21" hidden="1">'9'!$A:$B</definedName>
    <definedName name="Z_6D63B10B_E1E6_452A_80EB_4B2C7D61CF66_.wvu.Cols" localSheetId="106" hidden="1">ChtLMd!$IZ:$JA,ChtLMd!$JC:$JE,ChtLMd!$SV:$SW,ChtLMd!$SY:$TA,ChtLMd!$ACR:$ACS,ChtLMd!$ACU:$ACW,ChtLMd!$AMN:$AMO,ChtLMd!$AMQ:$AMS,ChtLMd!$AWJ:$AWK,ChtLMd!$AWM:$AWO,ChtLMd!$BGF:$BGG,ChtLMd!$BGI:$BGK,ChtLMd!$BQB:$BQC,ChtLMd!$BQE:$BQG,ChtLMd!$BZX:$BZY,ChtLMd!$CAA:$CAC,ChtLMd!$CJT:$CJU,ChtLMd!$CJW:$CJY,ChtLMd!$CTP:$CTQ,ChtLMd!$CTS:$CTU,ChtLMd!$DDL:$DDM,ChtLMd!$DDO:$DDQ,ChtLMd!$DNH:$DNI,ChtLMd!$DNK:$DNM,ChtLMd!$DXD:$DXE,ChtLMd!$DXG:$DXI,ChtLMd!$EGZ:$EHA,ChtLMd!$EHC:$EHE,ChtLMd!$EQV:$EQW,ChtLMd!$EQY:$ERA,ChtLMd!$FAR:$FAS,ChtLMd!$FAU:$FAW,ChtLMd!$FKN:$FKO,ChtLMd!$FKQ:$FKS,ChtLMd!$FUJ:$FUK,ChtLMd!$FUM:$FUO,ChtLMd!$GEF:$GEG,ChtLMd!$GEI:$GEK,ChtLMd!$GOB:$GOC,ChtLMd!$GOE:$GOG,ChtLMd!$GXX:$GXY,ChtLMd!$GYA:$GYC,ChtLMd!$HHT:$HHU,ChtLMd!$HHW:$HHY,ChtLMd!$HRP:$HRQ,ChtLMd!$HRS:$HRU,ChtLMd!$IBL:$IBM,ChtLMd!$IBO:$IBQ,ChtLMd!$ILH:$ILI,ChtLMd!$ILK:$ILM,ChtLMd!$IVD:$IVE,ChtLMd!$IVG:$IVI,ChtLMd!$JEZ:$JFA,ChtLMd!$JFC:$JFE,ChtLMd!$JOV:$JOW,ChtLMd!$JOY:$JPA,ChtLMd!$JYR:$JYS,ChtLMd!$JYU:$JYW,ChtLMd!$KIN:$KIO,ChtLMd!$KIQ:$KIS,ChtLMd!$KSJ:$KSK,ChtLMd!$KSM:$KSO,ChtLMd!$LCF:$LCG,ChtLMd!$LCI:$LCK,ChtLMd!$LMB:$LMC,ChtLMd!$LME:$LMG,ChtLMd!$LVX:$LVY,ChtLMd!$LWA:$LWC,ChtLMd!$MFT:$MFU,ChtLMd!$MFW:$MFY,ChtLMd!$MPP:$MPQ,ChtLMd!$MPS:$MPU,ChtLMd!$MZL:$MZM,ChtLMd!$MZO:$MZQ,ChtLMd!$NJH:$NJI,ChtLMd!$NJK:$NJM,ChtLMd!$NTD:$NTE,ChtLMd!$NTG:$NTI,ChtLMd!$OCZ:$ODA,ChtLMd!$ODC:$ODE,ChtLMd!$OMV:$OMW,ChtLMd!$OMY:$ONA,ChtLMd!$OWR:$OWS,ChtLMd!$OWU:$OWW,ChtLMd!$PGN:$PGO,ChtLMd!$PGQ:$PGS,ChtLMd!$PQJ:$PQK,ChtLMd!$PQM:$PQO,ChtLMd!$QAF:$QAG,ChtLMd!$QAI:$QAK,ChtLMd!$QKB:$QKC,ChtLMd!$QKE:$QKG,ChtLMd!$QTX:$QTY,ChtLMd!$QUA:$QUC,ChtLMd!$RDT:$RDU,ChtLMd!$RDW:$RDY,ChtLMd!$RNP:$RNQ,ChtLMd!$RNS:$RNU,ChtLMd!$RXL:$RXM,ChtLMd!$RXO:$RXQ,ChtLMd!$SHH:$SHI,ChtLMd!$SHK:$SHM,ChtLMd!$SRD:$SRE,ChtLMd!$SRG:$SRI,ChtLMd!$TAZ:$TBA,ChtLMd!$TBC:$TBE,ChtLMd!$TKV:$TKW,ChtLMd!$TKY:$TLA,ChtLMd!$TUR:$TUS,ChtLMd!$TUU:$TUW,ChtLMd!$UEN:$UEO,ChtLMd!$UEQ:$UES,ChtLMd!$UOJ:$UOK,ChtLMd!$UOM:$UOO,ChtLMd!$UYF:$UYG,ChtLMd!$UYI:$UYK,ChtLMd!$VIB:$VIC,ChtLMd!$VIE:$VIG,ChtLMd!$VRX:$VRY,ChtLMd!$VSA:$VSC,ChtLMd!$WBT:$WBU,ChtLMd!$WBW:$WBY,ChtLMd!$WLP:$WLQ,ChtLMd!$WLS:$WLU,ChtLMd!$WVL:$WVM,ChtLMd!$WVO:$WVQ</definedName>
    <definedName name="Z_6D63B10B_E1E6_452A_80EB_4B2C7D61CF66_.wvu.Cols" localSheetId="1" hidden="1">Findings!$E:$E</definedName>
    <definedName name="Z_6D63B10B_E1E6_452A_80EB_4B2C7D61CF66_.wvu.Cols" localSheetId="2" hidden="1">Recommendations!$E:$G</definedName>
    <definedName name="Z_6D63B10B_E1E6_452A_80EB_4B2C7D61CF66_.wvu.FilterData" localSheetId="3" hidden="1">Captions!$A$1:$C$73</definedName>
    <definedName name="Z_6D63B10B_E1E6_452A_80EB_4B2C7D61CF66_.wvu.FilterData" localSheetId="125" hidden="1">FileReviewW12!$A$1:$EN$75</definedName>
    <definedName name="Z_6D63B10B_E1E6_452A_80EB_4B2C7D61CF66_.wvu.FilterData" localSheetId="1" hidden="1">Findings!$A$2:$O$80</definedName>
    <definedName name="Z_6D63B10B_E1E6_452A_80EB_4B2C7D61CF66_.wvu.FilterData" localSheetId="4" hidden="1">Glossary!$A$1:$B$80</definedName>
    <definedName name="Z_6D63B10B_E1E6_452A_80EB_4B2C7D61CF66_.wvu.FilterData" localSheetId="120" hidden="1">PartFrameW12!$A$1:$AH$353</definedName>
    <definedName name="Z_6D63B10B_E1E6_452A_80EB_4B2C7D61CF66_.wvu.FilterData" localSheetId="2" hidden="1">Recommendations!$A$2:$W$26</definedName>
    <definedName name="Z_6D63B10B_E1E6_452A_80EB_4B2C7D61CF66_.wvu.FilterData" localSheetId="121" hidden="1">WrkShopAttendW12!$A$1:$AD$795</definedName>
    <definedName name="Z_6D63B10B_E1E6_452A_80EB_4B2C7D61CF66_.wvu.Rows" localSheetId="28" hidden="1">'13'!$32:$32</definedName>
    <definedName name="Z_7378B641_E8D1_4C14_8151_CF4CE159D121_.wvu.Cols" localSheetId="23" hidden="1">'10'!$A:$B</definedName>
    <definedName name="Z_7378B641_E8D1_4C14_8151_CF4CE159D121_.wvu.Cols" localSheetId="24" hidden="1">'11'!$A:$B</definedName>
    <definedName name="Z_7378B641_E8D1_4C14_8151_CF4CE159D121_.wvu.Cols" localSheetId="26" hidden="1">'12'!$A:$B</definedName>
    <definedName name="Z_7378B641_E8D1_4C14_8151_CF4CE159D121_.wvu.Cols" localSheetId="28" hidden="1">'13'!$A:$B</definedName>
    <definedName name="Z_7378B641_E8D1_4C14_8151_CF4CE159D121_.wvu.Cols" localSheetId="30" hidden="1">'14'!$A:$B</definedName>
    <definedName name="Z_7378B641_E8D1_4C14_8151_CF4CE159D121_.wvu.Cols" localSheetId="32" hidden="1">'15'!$A:$B</definedName>
    <definedName name="Z_7378B641_E8D1_4C14_8151_CF4CE159D121_.wvu.Cols" localSheetId="34" hidden="1">'16'!$A:$B</definedName>
    <definedName name="Z_7378B641_E8D1_4C14_8151_CF4CE159D121_.wvu.Cols" localSheetId="36" hidden="1">'17'!$A:$B</definedName>
    <definedName name="Z_7378B641_E8D1_4C14_8151_CF4CE159D121_.wvu.Cols" localSheetId="38" hidden="1">'19'!$A:$B</definedName>
    <definedName name="Z_7378B641_E8D1_4C14_8151_CF4CE159D121_.wvu.Cols" localSheetId="39" hidden="1">'20'!$A:$B</definedName>
    <definedName name="Z_7378B641_E8D1_4C14_8151_CF4CE159D121_.wvu.Cols" localSheetId="40" hidden="1">'20D'!$IZ:$JA,'20D'!$JC:$JE,'20D'!$SV:$SW,'20D'!$SY:$TA,'20D'!$ACR:$ACS,'20D'!$ACU:$ACW,'20D'!$AMN:$AMO,'20D'!$AMQ:$AMS,'20D'!$AWJ:$AWK,'20D'!$AWM:$AWO,'20D'!$BGF:$BGG,'20D'!$BGI:$BGK,'20D'!$BQB:$BQC,'20D'!$BQE:$BQG,'20D'!$BZX:$BZY,'20D'!$CAA:$CAC,'20D'!$CJT:$CJU,'20D'!$CJW:$CJY,'20D'!$CTP:$CTQ,'20D'!$CTS:$CTU,'20D'!$DDL:$DDM,'20D'!$DDO:$DDQ,'20D'!$DNH:$DNI,'20D'!$DNK:$DNM,'20D'!$DXD:$DXE,'20D'!$DXG:$DXI,'20D'!$EGZ:$EHA,'20D'!$EHC:$EHE,'20D'!$EQV:$EQW,'20D'!$EQY:$ERA,'20D'!$FAR:$FAS,'20D'!$FAU:$FAW,'20D'!$FKN:$FKO,'20D'!$FKQ:$FKS,'20D'!$FUJ:$FUK,'20D'!$FUM:$FUO,'20D'!$GEF:$GEG,'20D'!$GEI:$GEK,'20D'!$GOB:$GOC,'20D'!$GOE:$GOG,'20D'!$GXX:$GXY,'20D'!$GYA:$GYC,'20D'!$HHT:$HHU,'20D'!$HHW:$HHY,'20D'!$HRP:$HRQ,'20D'!$HRS:$HRU,'20D'!$IBL:$IBM,'20D'!$IBO:$IBQ,'20D'!$ILH:$ILI,'20D'!$ILK:$ILM,'20D'!$IVD:$IVE,'20D'!$IVG:$IVI,'20D'!$JEZ:$JFA,'20D'!$JFC:$JFE,'20D'!$JOV:$JOW,'20D'!$JOY:$JPA,'20D'!$JYR:$JYS,'20D'!$JYU:$JYW,'20D'!$KIN:$KIO,'20D'!$KIQ:$KIS,'20D'!$KSJ:$KSK,'20D'!$KSM:$KSO,'20D'!$LCF:$LCG,'20D'!$LCI:$LCK,'20D'!$LMB:$LMC,'20D'!$LME:$LMG,'20D'!$LVX:$LVY,'20D'!$LWA:$LWC,'20D'!$MFT:$MFU,'20D'!$MFW:$MFY,'20D'!$MPP:$MPQ,'20D'!$MPS:$MPU,'20D'!$MZL:$MZM,'20D'!$MZO:$MZQ,'20D'!$NJH:$NJI,'20D'!$NJK:$NJM,'20D'!$NTD:$NTE,'20D'!$NTG:$NTI,'20D'!$OCZ:$ODA,'20D'!$ODC:$ODE,'20D'!$OMV:$OMW,'20D'!$OMY:$ONA,'20D'!$OWR:$OWS,'20D'!$OWU:$OWW,'20D'!$PGN:$PGO,'20D'!$PGQ:$PGS,'20D'!$PQJ:$PQK,'20D'!$PQM:$PQO,'20D'!$QAF:$QAG,'20D'!$QAI:$QAK,'20D'!$QKB:$QKC,'20D'!$QKE:$QKG,'20D'!$QTX:$QTY,'20D'!$QUA:$QUC,'20D'!$RDT:$RDU,'20D'!$RDW:$RDY,'20D'!$RNP:$RNQ,'20D'!$RNS:$RNU,'20D'!$RXL:$RXM,'20D'!$RXO:$RXQ,'20D'!$SHH:$SHI,'20D'!$SHK:$SHM,'20D'!$SRD:$SRE,'20D'!$SRG:$SRI,'20D'!$TAZ:$TBA,'20D'!$TBC:$TBE,'20D'!$TKV:$TKW,'20D'!$TKY:$TLA,'20D'!$TUR:$TUS,'20D'!$TUU:$TUW,'20D'!$UEN:$UEO,'20D'!$UEQ:$UES,'20D'!$UOJ:$UOK,'20D'!$UOM:$UOO,'20D'!$UYF:$UYG,'20D'!$UYI:$UYK,'20D'!$VIB:$VIC,'20D'!$VIE:$VIG,'20D'!$VRX:$VRY,'20D'!$VSA:$VSC,'20D'!$WBT:$WBU,'20D'!$WBW:$WBY,'20D'!$WLP:$WLQ,'20D'!$WLS:$WLU,'20D'!$WVL:$WVM,'20D'!$WVO:$WVQ</definedName>
    <definedName name="Z_7378B641_E8D1_4C14_8151_CF4CE159D121_.wvu.Cols" localSheetId="41" hidden="1">'21'!$A:$B</definedName>
    <definedName name="Z_7378B641_E8D1_4C14_8151_CF4CE159D121_.wvu.Cols" localSheetId="42" hidden="1">'21D'!$IZ:$JA,'21D'!$JC:$JE,'21D'!$SV:$SW,'21D'!$SY:$TA,'21D'!$ACR:$ACS,'21D'!$ACU:$ACW,'21D'!$AMN:$AMO,'21D'!$AMQ:$AMS,'21D'!$AWJ:$AWK,'21D'!$AWM:$AWO,'21D'!$BGF:$BGG,'21D'!$BGI:$BGK,'21D'!$BQB:$BQC,'21D'!$BQE:$BQG,'21D'!$BZX:$BZY,'21D'!$CAA:$CAC,'21D'!$CJT:$CJU,'21D'!$CJW:$CJY,'21D'!$CTP:$CTQ,'21D'!$CTS:$CTU,'21D'!$DDL:$DDM,'21D'!$DDO:$DDQ,'21D'!$DNH:$DNI,'21D'!$DNK:$DNM,'21D'!$DXD:$DXE,'21D'!$DXG:$DXI,'21D'!$EGZ:$EHA,'21D'!$EHC:$EHE,'21D'!$EQV:$EQW,'21D'!$EQY:$ERA,'21D'!$FAR:$FAS,'21D'!$FAU:$FAW,'21D'!$FKN:$FKO,'21D'!$FKQ:$FKS,'21D'!$FUJ:$FUK,'21D'!$FUM:$FUO,'21D'!$GEF:$GEG,'21D'!$GEI:$GEK,'21D'!$GOB:$GOC,'21D'!$GOE:$GOG,'21D'!$GXX:$GXY,'21D'!$GYA:$GYC,'21D'!$HHT:$HHU,'21D'!$HHW:$HHY,'21D'!$HRP:$HRQ,'21D'!$HRS:$HRU,'21D'!$IBL:$IBM,'21D'!$IBO:$IBQ,'21D'!$ILH:$ILI,'21D'!$ILK:$ILM,'21D'!$IVD:$IVE,'21D'!$IVG:$IVI,'21D'!$JEZ:$JFA,'21D'!$JFC:$JFE,'21D'!$JOV:$JOW,'21D'!$JOY:$JPA,'21D'!$JYR:$JYS,'21D'!$JYU:$JYW,'21D'!$KIN:$KIO,'21D'!$KIQ:$KIS,'21D'!$KSJ:$KSK,'21D'!$KSM:$KSO,'21D'!$LCF:$LCG,'21D'!$LCI:$LCK,'21D'!$LMB:$LMC,'21D'!$LME:$LMG,'21D'!$LVX:$LVY,'21D'!$LWA:$LWC,'21D'!$MFT:$MFU,'21D'!$MFW:$MFY,'21D'!$MPP:$MPQ,'21D'!$MPS:$MPU,'21D'!$MZL:$MZM,'21D'!$MZO:$MZQ,'21D'!$NJH:$NJI,'21D'!$NJK:$NJM,'21D'!$NTD:$NTE,'21D'!$NTG:$NTI,'21D'!$OCZ:$ODA,'21D'!$ODC:$ODE,'21D'!$OMV:$OMW,'21D'!$OMY:$ONA,'21D'!$OWR:$OWS,'21D'!$OWU:$OWW,'21D'!$PGN:$PGO,'21D'!$PGQ:$PGS,'21D'!$PQJ:$PQK,'21D'!$PQM:$PQO,'21D'!$QAF:$QAG,'21D'!$QAI:$QAK,'21D'!$QKB:$QKC,'21D'!$QKE:$QKG,'21D'!$QTX:$QTY,'21D'!$QUA:$QUC,'21D'!$RDT:$RDU,'21D'!$RDW:$RDY,'21D'!$RNP:$RNQ,'21D'!$RNS:$RNU,'21D'!$RXL:$RXM,'21D'!$RXO:$RXQ,'21D'!$SHH:$SHI,'21D'!$SHK:$SHM,'21D'!$SRD:$SRE,'21D'!$SRG:$SRI,'21D'!$TAZ:$TBA,'21D'!$TBC:$TBE,'21D'!$TKV:$TKW,'21D'!$TKY:$TLA,'21D'!$TUR:$TUS,'21D'!$TUU:$TUW,'21D'!$UEN:$UEO,'21D'!$UEQ:$UES,'21D'!$UOJ:$UOK,'21D'!$UOM:$UOO,'21D'!$UYF:$UYG,'21D'!$UYI:$UYK,'21D'!$VIB:$VIC,'21D'!$VIE:$VIG,'21D'!$VRX:$VRY,'21D'!$VSA:$VSC,'21D'!$WBT:$WBU,'21D'!$WBW:$WBY,'21D'!$WLP:$WLQ,'21D'!$WLS:$WLU,'21D'!$WVL:$WVM,'21D'!$WVO:$WVQ</definedName>
    <definedName name="Z_7378B641_E8D1_4C14_8151_CF4CE159D121_.wvu.Cols" localSheetId="43" hidden="1">'22'!$A:$B</definedName>
    <definedName name="Z_7378B641_E8D1_4C14_8151_CF4CE159D121_.wvu.Cols" localSheetId="45" hidden="1">'23'!$A:$B</definedName>
    <definedName name="Z_7378B641_E8D1_4C14_8151_CF4CE159D121_.wvu.Cols" localSheetId="47" hidden="1">'24'!$A:$B</definedName>
    <definedName name="Z_7378B641_E8D1_4C14_8151_CF4CE159D121_.wvu.Cols" localSheetId="48" hidden="1">'25'!$A:$B</definedName>
    <definedName name="Z_7378B641_E8D1_4C14_8151_CF4CE159D121_.wvu.Cols" localSheetId="50" hidden="1">'26'!$A:$B</definedName>
    <definedName name="Z_7378B641_E8D1_4C14_8151_CF4CE159D121_.wvu.Cols" localSheetId="52" hidden="1">'27'!$A:$B</definedName>
    <definedName name="Z_7378B641_E8D1_4C14_8151_CF4CE159D121_.wvu.Cols" localSheetId="53" hidden="1">'28'!$B:$B</definedName>
    <definedName name="Z_7378B641_E8D1_4C14_8151_CF4CE159D121_.wvu.Cols" localSheetId="55" hidden="1">'29'!$A:$B</definedName>
    <definedName name="Z_7378B641_E8D1_4C14_8151_CF4CE159D121_.wvu.Cols" localSheetId="57" hidden="1">'30'!$A:$B</definedName>
    <definedName name="Z_7378B641_E8D1_4C14_8151_CF4CE159D121_.wvu.Cols" localSheetId="58" hidden="1">'31'!$A:$B</definedName>
    <definedName name="Z_7378B641_E8D1_4C14_8151_CF4CE159D121_.wvu.Cols" localSheetId="59" hidden="1">'32'!$A:$B</definedName>
    <definedName name="Z_7378B641_E8D1_4C14_8151_CF4CE159D121_.wvu.Cols" localSheetId="61" hidden="1">'33'!$A:$B</definedName>
    <definedName name="Z_7378B641_E8D1_4C14_8151_CF4CE159D121_.wvu.Cols" localSheetId="63" hidden="1">'34'!$A:$B</definedName>
    <definedName name="Z_7378B641_E8D1_4C14_8151_CF4CE159D121_.wvu.Cols" localSheetId="64" hidden="1">'35'!$A:$B</definedName>
    <definedName name="Z_7378B641_E8D1_4C14_8151_CF4CE159D121_.wvu.Cols" localSheetId="65" hidden="1">'36'!$A:$B</definedName>
    <definedName name="Z_7378B641_E8D1_4C14_8151_CF4CE159D121_.wvu.Cols" localSheetId="66" hidden="1">'37'!$A:$B</definedName>
    <definedName name="Z_7378B641_E8D1_4C14_8151_CF4CE159D121_.wvu.Cols" localSheetId="67" hidden="1">'39'!$A:$B</definedName>
    <definedName name="Z_7378B641_E8D1_4C14_8151_CF4CE159D121_.wvu.Cols" localSheetId="11" hidden="1">'4'!$A:$B</definedName>
    <definedName name="Z_7378B641_E8D1_4C14_8151_CF4CE159D121_.wvu.Cols" localSheetId="68" hidden="1">'40'!$A:$B</definedName>
    <definedName name="Z_7378B641_E8D1_4C14_8151_CF4CE159D121_.wvu.Cols" localSheetId="69" hidden="1">'41'!$A:$B</definedName>
    <definedName name="Z_7378B641_E8D1_4C14_8151_CF4CE159D121_.wvu.Cols" localSheetId="70" hidden="1">'42'!$A:$B</definedName>
    <definedName name="Z_7378B641_E8D1_4C14_8151_CF4CE159D121_.wvu.Cols" localSheetId="71" hidden="1">'43'!$A:$B</definedName>
    <definedName name="Z_7378B641_E8D1_4C14_8151_CF4CE159D121_.wvu.Cols" localSheetId="73" hidden="1">'44'!$A:$B</definedName>
    <definedName name="Z_7378B641_E8D1_4C14_8151_CF4CE159D121_.wvu.Cols" localSheetId="74" hidden="1">'45'!$A:$B</definedName>
    <definedName name="Z_7378B641_E8D1_4C14_8151_CF4CE159D121_.wvu.Cols" localSheetId="75" hidden="1">'46'!$A:$B</definedName>
    <definedName name="Z_7378B641_E8D1_4C14_8151_CF4CE159D121_.wvu.Cols" localSheetId="76" hidden="1">'47'!$A:$B</definedName>
    <definedName name="Z_7378B641_E8D1_4C14_8151_CF4CE159D121_.wvu.Cols" localSheetId="77" hidden="1">'48'!$A:$B</definedName>
    <definedName name="Z_7378B641_E8D1_4C14_8151_CF4CE159D121_.wvu.Cols" localSheetId="78" hidden="1">'49'!$A:$B</definedName>
    <definedName name="Z_7378B641_E8D1_4C14_8151_CF4CE159D121_.wvu.Cols" localSheetId="13" hidden="1">'5'!$A:$B</definedName>
    <definedName name="Z_7378B641_E8D1_4C14_8151_CF4CE159D121_.wvu.Cols" localSheetId="79" hidden="1">'50'!$A:$B</definedName>
    <definedName name="Z_7378B641_E8D1_4C14_8151_CF4CE159D121_.wvu.Cols" localSheetId="80" hidden="1">'51'!$A:$B</definedName>
    <definedName name="Z_7378B641_E8D1_4C14_8151_CF4CE159D121_.wvu.Cols" localSheetId="81" hidden="1">'52'!$A:$B</definedName>
    <definedName name="Z_7378B641_E8D1_4C14_8151_CF4CE159D121_.wvu.Cols" localSheetId="82" hidden="1">'53'!$A:$B</definedName>
    <definedName name="Z_7378B641_E8D1_4C14_8151_CF4CE159D121_.wvu.Cols" localSheetId="83" hidden="1">'54'!$A:$B</definedName>
    <definedName name="Z_7378B641_E8D1_4C14_8151_CF4CE159D121_.wvu.Cols" localSheetId="84" hidden="1">'55'!$A:$B</definedName>
    <definedName name="Z_7378B641_E8D1_4C14_8151_CF4CE159D121_.wvu.Cols" localSheetId="85" hidden="1">'56'!$A:$B</definedName>
    <definedName name="Z_7378B641_E8D1_4C14_8151_CF4CE159D121_.wvu.Cols" localSheetId="86" hidden="1">'57'!$A:$B</definedName>
    <definedName name="Z_7378B641_E8D1_4C14_8151_CF4CE159D121_.wvu.Cols" localSheetId="87" hidden="1">'58'!$A:$B</definedName>
    <definedName name="Z_7378B641_E8D1_4C14_8151_CF4CE159D121_.wvu.Cols" localSheetId="88" hidden="1">'59'!$A:$B</definedName>
    <definedName name="Z_7378B641_E8D1_4C14_8151_CF4CE159D121_.wvu.Cols" localSheetId="15" hidden="1">'6'!$A:$B</definedName>
    <definedName name="Z_7378B641_E8D1_4C14_8151_CF4CE159D121_.wvu.Cols" localSheetId="89" hidden="1">'60'!$A:$B</definedName>
    <definedName name="Z_7378B641_E8D1_4C14_8151_CF4CE159D121_.wvu.Cols" localSheetId="90" hidden="1">'61'!$A:$B</definedName>
    <definedName name="Z_7378B641_E8D1_4C14_8151_CF4CE159D121_.wvu.Cols" localSheetId="91" hidden="1">'62'!$A:$B</definedName>
    <definedName name="Z_7378B641_E8D1_4C14_8151_CF4CE159D121_.wvu.Cols" localSheetId="92" hidden="1">'63'!$A:$B</definedName>
    <definedName name="Z_7378B641_E8D1_4C14_8151_CF4CE159D121_.wvu.Cols" localSheetId="93" hidden="1">'64'!$A:$B</definedName>
    <definedName name="Z_7378B641_E8D1_4C14_8151_CF4CE159D121_.wvu.Cols" localSheetId="94" hidden="1">'65'!$A:$B</definedName>
    <definedName name="Z_7378B641_E8D1_4C14_8151_CF4CE159D121_.wvu.Cols" localSheetId="95" hidden="1">'66'!$A:$B</definedName>
    <definedName name="Z_7378B641_E8D1_4C14_8151_CF4CE159D121_.wvu.Cols" localSheetId="96" hidden="1">'67'!$A:$B</definedName>
    <definedName name="Z_7378B641_E8D1_4C14_8151_CF4CE159D121_.wvu.Cols" localSheetId="97" hidden="1">'68'!$A:$B</definedName>
    <definedName name="Z_7378B641_E8D1_4C14_8151_CF4CE159D121_.wvu.Cols" localSheetId="98" hidden="1">'69'!$A:$B</definedName>
    <definedName name="Z_7378B641_E8D1_4C14_8151_CF4CE159D121_.wvu.Cols" localSheetId="17" hidden="1">'7'!$A:$B</definedName>
    <definedName name="Z_7378B641_E8D1_4C14_8151_CF4CE159D121_.wvu.Cols" localSheetId="99" hidden="1">'70'!$A:$B</definedName>
    <definedName name="Z_7378B641_E8D1_4C14_8151_CF4CE159D121_.wvu.Cols" localSheetId="100" hidden="1">'71'!$A:$B</definedName>
    <definedName name="Z_7378B641_E8D1_4C14_8151_CF4CE159D121_.wvu.Cols" localSheetId="101" hidden="1">'72'!$A:$B</definedName>
    <definedName name="Z_7378B641_E8D1_4C14_8151_CF4CE159D121_.wvu.Cols" localSheetId="126" hidden="1">'73'!$A:$B</definedName>
    <definedName name="Z_7378B641_E8D1_4C14_8151_CF4CE159D121_.wvu.Cols" localSheetId="19" hidden="1">'8'!$A:$B</definedName>
    <definedName name="Z_7378B641_E8D1_4C14_8151_CF4CE159D121_.wvu.Cols" localSheetId="21" hidden="1">'9'!$A:$B</definedName>
    <definedName name="Z_7378B641_E8D1_4C14_8151_CF4CE159D121_.wvu.Cols" localSheetId="106" hidden="1">ChtLMd!$IZ:$JA,ChtLMd!$JC:$JE,ChtLMd!$SV:$SW,ChtLMd!$SY:$TA,ChtLMd!$ACR:$ACS,ChtLMd!$ACU:$ACW,ChtLMd!$AMN:$AMO,ChtLMd!$AMQ:$AMS,ChtLMd!$AWJ:$AWK,ChtLMd!$AWM:$AWO,ChtLMd!$BGF:$BGG,ChtLMd!$BGI:$BGK,ChtLMd!$BQB:$BQC,ChtLMd!$BQE:$BQG,ChtLMd!$BZX:$BZY,ChtLMd!$CAA:$CAC,ChtLMd!$CJT:$CJU,ChtLMd!$CJW:$CJY,ChtLMd!$CTP:$CTQ,ChtLMd!$CTS:$CTU,ChtLMd!$DDL:$DDM,ChtLMd!$DDO:$DDQ,ChtLMd!$DNH:$DNI,ChtLMd!$DNK:$DNM,ChtLMd!$DXD:$DXE,ChtLMd!$DXG:$DXI,ChtLMd!$EGZ:$EHA,ChtLMd!$EHC:$EHE,ChtLMd!$EQV:$EQW,ChtLMd!$EQY:$ERA,ChtLMd!$FAR:$FAS,ChtLMd!$FAU:$FAW,ChtLMd!$FKN:$FKO,ChtLMd!$FKQ:$FKS,ChtLMd!$FUJ:$FUK,ChtLMd!$FUM:$FUO,ChtLMd!$GEF:$GEG,ChtLMd!$GEI:$GEK,ChtLMd!$GOB:$GOC,ChtLMd!$GOE:$GOG,ChtLMd!$GXX:$GXY,ChtLMd!$GYA:$GYC,ChtLMd!$HHT:$HHU,ChtLMd!$HHW:$HHY,ChtLMd!$HRP:$HRQ,ChtLMd!$HRS:$HRU,ChtLMd!$IBL:$IBM,ChtLMd!$IBO:$IBQ,ChtLMd!$ILH:$ILI,ChtLMd!$ILK:$ILM,ChtLMd!$IVD:$IVE,ChtLMd!$IVG:$IVI,ChtLMd!$JEZ:$JFA,ChtLMd!$JFC:$JFE,ChtLMd!$JOV:$JOW,ChtLMd!$JOY:$JPA,ChtLMd!$JYR:$JYS,ChtLMd!$JYU:$JYW,ChtLMd!$KIN:$KIO,ChtLMd!$KIQ:$KIS,ChtLMd!$KSJ:$KSK,ChtLMd!$KSM:$KSO,ChtLMd!$LCF:$LCG,ChtLMd!$LCI:$LCK,ChtLMd!$LMB:$LMC,ChtLMd!$LME:$LMG,ChtLMd!$LVX:$LVY,ChtLMd!$LWA:$LWC,ChtLMd!$MFT:$MFU,ChtLMd!$MFW:$MFY,ChtLMd!$MPP:$MPQ,ChtLMd!$MPS:$MPU,ChtLMd!$MZL:$MZM,ChtLMd!$MZO:$MZQ,ChtLMd!$NJH:$NJI,ChtLMd!$NJK:$NJM,ChtLMd!$NTD:$NTE,ChtLMd!$NTG:$NTI,ChtLMd!$OCZ:$ODA,ChtLMd!$ODC:$ODE,ChtLMd!$OMV:$OMW,ChtLMd!$OMY:$ONA,ChtLMd!$OWR:$OWS,ChtLMd!$OWU:$OWW,ChtLMd!$PGN:$PGO,ChtLMd!$PGQ:$PGS,ChtLMd!$PQJ:$PQK,ChtLMd!$PQM:$PQO,ChtLMd!$QAF:$QAG,ChtLMd!$QAI:$QAK,ChtLMd!$QKB:$QKC,ChtLMd!$QKE:$QKG,ChtLMd!$QTX:$QTY,ChtLMd!$QUA:$QUC,ChtLMd!$RDT:$RDU,ChtLMd!$RDW:$RDY,ChtLMd!$RNP:$RNQ,ChtLMd!$RNS:$RNU,ChtLMd!$RXL:$RXM,ChtLMd!$RXO:$RXQ,ChtLMd!$SHH:$SHI,ChtLMd!$SHK:$SHM,ChtLMd!$SRD:$SRE,ChtLMd!$SRG:$SRI,ChtLMd!$TAZ:$TBA,ChtLMd!$TBC:$TBE,ChtLMd!$TKV:$TKW,ChtLMd!$TKY:$TLA,ChtLMd!$TUR:$TUS,ChtLMd!$TUU:$TUW,ChtLMd!$UEN:$UEO,ChtLMd!$UEQ:$UES,ChtLMd!$UOJ:$UOK,ChtLMd!$UOM:$UOO,ChtLMd!$UYF:$UYG,ChtLMd!$UYI:$UYK,ChtLMd!$VIB:$VIC,ChtLMd!$VIE:$VIG,ChtLMd!$VRX:$VRY,ChtLMd!$VSA:$VSC,ChtLMd!$WBT:$WBU,ChtLMd!$WBW:$WBY,ChtLMd!$WLP:$WLQ,ChtLMd!$WLS:$WLU,ChtLMd!$WVL:$WVM,ChtLMd!$WVO:$WVQ</definedName>
    <definedName name="Z_7378B641_E8D1_4C14_8151_CF4CE159D121_.wvu.Cols" localSheetId="1" hidden="1">Findings!$E:$E</definedName>
    <definedName name="Z_7378B641_E8D1_4C14_8151_CF4CE159D121_.wvu.Cols" localSheetId="2" hidden="1">Recommendations!$E:$G</definedName>
    <definedName name="Z_7378B641_E8D1_4C14_8151_CF4CE159D121_.wvu.FilterData" localSheetId="29" hidden="1">'13D'!$Q$8:$Q$397</definedName>
    <definedName name="Z_7378B641_E8D1_4C14_8151_CF4CE159D121_.wvu.FilterData" localSheetId="31" hidden="1">'14D'!$K$9:$K$398</definedName>
    <definedName name="Z_7378B641_E8D1_4C14_8151_CF4CE159D121_.wvu.FilterData" localSheetId="3" hidden="1">Captions!$A$1:$C$73</definedName>
    <definedName name="Z_7378B641_E8D1_4C14_8151_CF4CE159D121_.wvu.FilterData" localSheetId="125" hidden="1">FileReviewW12!$A$1:$EN$75</definedName>
    <definedName name="Z_7378B641_E8D1_4C14_8151_CF4CE159D121_.wvu.FilterData" localSheetId="1" hidden="1">Findings!$B$2:$O$80</definedName>
    <definedName name="Z_7378B641_E8D1_4C14_8151_CF4CE159D121_.wvu.FilterData" localSheetId="4" hidden="1">Glossary!$A$1:$B$80</definedName>
    <definedName name="Z_7378B641_E8D1_4C14_8151_CF4CE159D121_.wvu.FilterData" localSheetId="120" hidden="1">PartFrameW12!$A$1:$AH$353</definedName>
    <definedName name="Z_7378B641_E8D1_4C14_8151_CF4CE159D121_.wvu.FilterData" localSheetId="2" hidden="1">Recommendations!$B$2:$W$150</definedName>
    <definedName name="Z_7378B641_E8D1_4C14_8151_CF4CE159D121_.wvu.FilterData" localSheetId="121" hidden="1">WrkShopAttendW12!$A$1:$AD$795</definedName>
    <definedName name="Z_7378B641_E8D1_4C14_8151_CF4CE159D121_.wvu.Rows" localSheetId="28" hidden="1">'13'!$32:$32</definedName>
  </definedNames>
  <calcPr calcId="145621"/>
  <customWorkbookViews>
    <customWorkbookView name="Jeremy Stapp - Personal View" guid="{679A3195-3DEA-4AC2-A535-82AAF5B552BC}" mergeInterval="0" personalView="1" maximized="1" windowWidth="1280" windowHeight="561" tabRatio="772" activeSheetId="51"/>
    <customWorkbookView name="Bob K. Tingleff - Personal View" guid="{7378B641-E8D1-4C14-8151-CF4CE159D121}" mergeInterval="0" personalView="1" maximized="1" windowWidth="1192" windowHeight="643" tabRatio="772" activeSheetId="12"/>
    <customWorkbookView name="Mike Baker - Personal View" guid="{6D63B10B-E1E6-452A-80EB-4B2C7D61CF66}" mergeInterval="0" personalView="1" maximized="1" windowWidth="1916" windowHeight="975" tabRatio="772" activeSheetId="48"/>
  </customWorkbookViews>
</workbook>
</file>

<file path=xl/calcChain.xml><?xml version="1.0" encoding="utf-8"?>
<calcChain xmlns="http://schemas.openxmlformats.org/spreadsheetml/2006/main">
  <c r="R129" i="30" l="1"/>
  <c r="R128" i="30"/>
  <c r="R127" i="30"/>
  <c r="R126" i="30"/>
  <c r="R125" i="30"/>
  <c r="R124" i="30"/>
  <c r="R123" i="30"/>
  <c r="R122" i="30"/>
  <c r="R121" i="30"/>
  <c r="R120" i="30"/>
  <c r="R119" i="30"/>
  <c r="R118" i="30"/>
  <c r="R117" i="30"/>
  <c r="R116" i="30"/>
  <c r="R115" i="30"/>
  <c r="R114" i="30"/>
  <c r="R113" i="30"/>
  <c r="R112" i="30"/>
  <c r="R111" i="30"/>
  <c r="R110" i="30"/>
  <c r="R109" i="30"/>
  <c r="R108" i="30"/>
  <c r="R107" i="30"/>
  <c r="R106" i="30"/>
  <c r="R105" i="30"/>
  <c r="R104" i="30"/>
  <c r="R103" i="30"/>
  <c r="R102" i="30"/>
  <c r="R101" i="30"/>
  <c r="R100" i="30"/>
  <c r="R99" i="30"/>
  <c r="R98" i="30"/>
  <c r="R97" i="30"/>
  <c r="R96" i="30"/>
  <c r="R95" i="30"/>
  <c r="R94" i="30"/>
  <c r="R93" i="30"/>
  <c r="R92" i="30"/>
  <c r="R91" i="30"/>
  <c r="R90" i="30"/>
  <c r="R89" i="30"/>
  <c r="R88" i="30"/>
  <c r="R87" i="30"/>
  <c r="R86" i="30"/>
  <c r="R85" i="30"/>
  <c r="R84" i="30"/>
  <c r="R83" i="30"/>
  <c r="R82" i="30"/>
  <c r="R81" i="30"/>
  <c r="R80" i="30"/>
  <c r="R79" i="30"/>
  <c r="R78" i="30"/>
  <c r="R77" i="30"/>
  <c r="R76" i="30"/>
  <c r="R75" i="30"/>
  <c r="R74" i="30"/>
  <c r="R73" i="30"/>
  <c r="R72" i="30"/>
  <c r="R71" i="30"/>
  <c r="R70" i="30"/>
  <c r="R69" i="30"/>
  <c r="R68" i="30"/>
  <c r="R67" i="30"/>
  <c r="R66" i="30"/>
  <c r="R65" i="30"/>
  <c r="R64" i="30"/>
  <c r="R63" i="30"/>
  <c r="R62" i="30"/>
  <c r="R61" i="30"/>
  <c r="R60" i="30"/>
  <c r="R59" i="30"/>
  <c r="R58" i="30"/>
  <c r="R57" i="30"/>
  <c r="R56" i="30"/>
  <c r="R55" i="30"/>
  <c r="R54" i="30"/>
  <c r="R53" i="30"/>
  <c r="R52" i="30"/>
  <c r="R51" i="30"/>
  <c r="R50" i="30"/>
  <c r="R49" i="30"/>
  <c r="R48" i="30"/>
  <c r="R47" i="30"/>
  <c r="R46" i="30"/>
  <c r="R45" i="30"/>
  <c r="R44" i="30"/>
  <c r="R43" i="30"/>
  <c r="R42" i="30"/>
  <c r="R41" i="30"/>
  <c r="R40" i="30"/>
  <c r="R39" i="30"/>
  <c r="R38" i="30"/>
  <c r="R37" i="30"/>
  <c r="R36" i="30"/>
  <c r="R35" i="30"/>
  <c r="R34" i="30"/>
  <c r="R33" i="30"/>
  <c r="R32" i="30"/>
  <c r="R31" i="30"/>
  <c r="R30" i="30"/>
  <c r="R29" i="30"/>
  <c r="R28" i="30"/>
  <c r="R27" i="30"/>
  <c r="R26" i="30"/>
  <c r="R25" i="30"/>
  <c r="Q397" i="30"/>
  <c r="Q396" i="30"/>
  <c r="Q395" i="30"/>
  <c r="Q394" i="30"/>
  <c r="Q393" i="30"/>
  <c r="Q392" i="30"/>
  <c r="Q391" i="30"/>
  <c r="Q390" i="30"/>
  <c r="Q389" i="30"/>
  <c r="Q388" i="30"/>
  <c r="Q387" i="30"/>
  <c r="Q386" i="30"/>
  <c r="Q385" i="30"/>
  <c r="Q384" i="30"/>
  <c r="Q383" i="30"/>
  <c r="Q382" i="30"/>
  <c r="Q381" i="30"/>
  <c r="Q380" i="30"/>
  <c r="Q379" i="30"/>
  <c r="Q378" i="30"/>
  <c r="Q377" i="30"/>
  <c r="Q376" i="30"/>
  <c r="Q375" i="30"/>
  <c r="Q374" i="30"/>
  <c r="Q373" i="30"/>
  <c r="Q372" i="30"/>
  <c r="Q371" i="30"/>
  <c r="Q370" i="30"/>
  <c r="Q369" i="30"/>
  <c r="Q368" i="30"/>
  <c r="Q367" i="30"/>
  <c r="Q366" i="30"/>
  <c r="Q365" i="30"/>
  <c r="Q364" i="30"/>
  <c r="Q363" i="30"/>
  <c r="Q362" i="30"/>
  <c r="Q361" i="30"/>
  <c r="Q360" i="30"/>
  <c r="Q359" i="30"/>
  <c r="Q358" i="30"/>
  <c r="Q357" i="30"/>
  <c r="Q356" i="30"/>
  <c r="Q355" i="30"/>
  <c r="Q354" i="30"/>
  <c r="Q353" i="30"/>
  <c r="Q352" i="30"/>
  <c r="Q351" i="30"/>
  <c r="Q350" i="30"/>
  <c r="Q349" i="30"/>
  <c r="Q348" i="30"/>
  <c r="Q347" i="30"/>
  <c r="Q346" i="30"/>
  <c r="Q345" i="30"/>
  <c r="Q344" i="30"/>
  <c r="Q343" i="30"/>
  <c r="Q342" i="30"/>
  <c r="Q341" i="30"/>
  <c r="Q340" i="30"/>
  <c r="Q339" i="30"/>
  <c r="Q338" i="30"/>
  <c r="Q337" i="30"/>
  <c r="Q336" i="30"/>
  <c r="Q335" i="30"/>
  <c r="Q334" i="30"/>
  <c r="Q333" i="30"/>
  <c r="Q332" i="30"/>
  <c r="Q331" i="30"/>
  <c r="Q330" i="30"/>
  <c r="Q329" i="30"/>
  <c r="Q328" i="30"/>
  <c r="Q327" i="30"/>
  <c r="Q326" i="30"/>
  <c r="Q325" i="30"/>
  <c r="Q324" i="30"/>
  <c r="Q323" i="30"/>
  <c r="Q322" i="30"/>
  <c r="Q321" i="30"/>
  <c r="Q320" i="30"/>
  <c r="Q319" i="30"/>
  <c r="Q318" i="30"/>
  <c r="Q317" i="30"/>
  <c r="Q316" i="30"/>
  <c r="Q315" i="30"/>
  <c r="Q314" i="30"/>
  <c r="Q313" i="30"/>
  <c r="Q312" i="30"/>
  <c r="Q311" i="30"/>
  <c r="Q310" i="30"/>
  <c r="Q309" i="30"/>
  <c r="Q308" i="30"/>
  <c r="Q307" i="30"/>
  <c r="Q306" i="30"/>
  <c r="Q305" i="30"/>
  <c r="Q304" i="30"/>
  <c r="Q303" i="30"/>
  <c r="Q302" i="30"/>
  <c r="Q301" i="30"/>
  <c r="Q300" i="30"/>
  <c r="Q299" i="30"/>
  <c r="Q298" i="30"/>
  <c r="Q296" i="30"/>
  <c r="Q295" i="30"/>
  <c r="Q294" i="30"/>
  <c r="Q293" i="30"/>
  <c r="Q292" i="30"/>
  <c r="Q291" i="30"/>
  <c r="Q290" i="30"/>
  <c r="Q289" i="30"/>
  <c r="Q288" i="30"/>
  <c r="Q287" i="30"/>
  <c r="Q286" i="30"/>
  <c r="Q285" i="30"/>
  <c r="Q284" i="30"/>
  <c r="Q283" i="30"/>
  <c r="Q282" i="30"/>
  <c r="Q281" i="30"/>
  <c r="Q280" i="30"/>
  <c r="Q279" i="30"/>
  <c r="Q278" i="30"/>
  <c r="Q277" i="30"/>
  <c r="Q276" i="30"/>
  <c r="Q275" i="30"/>
  <c r="Q274" i="30"/>
  <c r="Q273" i="30"/>
  <c r="Q272" i="30"/>
  <c r="Q271" i="30"/>
  <c r="Q269" i="30"/>
  <c r="Q268" i="30"/>
  <c r="Q267" i="30"/>
  <c r="Q266" i="30"/>
  <c r="Q265" i="30"/>
  <c r="Q264" i="30"/>
  <c r="Q263" i="30"/>
  <c r="Q262" i="30"/>
  <c r="Q261" i="30"/>
  <c r="Q260" i="30"/>
  <c r="Q259" i="30"/>
  <c r="Q258" i="30"/>
  <c r="Q257" i="30"/>
  <c r="Q256" i="30"/>
  <c r="Q255" i="30"/>
  <c r="Q254" i="30"/>
  <c r="Q253" i="30"/>
  <c r="Q252" i="30"/>
  <c r="Q251" i="30"/>
  <c r="Q250" i="30"/>
  <c r="Q249" i="30"/>
  <c r="Q248" i="30"/>
  <c r="Q247" i="30"/>
  <c r="Q246" i="30"/>
  <c r="Q245" i="30"/>
  <c r="Q244" i="30"/>
  <c r="Q243" i="30"/>
  <c r="Q242" i="30"/>
  <c r="Q241" i="30"/>
  <c r="Q240" i="30"/>
  <c r="Q239" i="30"/>
  <c r="Q238" i="30"/>
  <c r="Q237" i="30"/>
  <c r="Q236" i="30"/>
  <c r="Q235" i="30"/>
  <c r="Q234" i="30"/>
  <c r="Q233" i="30"/>
  <c r="Q232" i="30"/>
  <c r="Q231" i="30"/>
  <c r="Q230" i="30"/>
  <c r="Q229" i="30"/>
  <c r="Q228" i="30"/>
  <c r="Q227" i="30"/>
  <c r="Q226" i="30"/>
  <c r="Q225" i="30"/>
  <c r="Q224" i="30"/>
  <c r="Q223" i="30"/>
  <c r="Q222" i="30"/>
  <c r="Q221" i="30"/>
  <c r="Q220" i="30"/>
  <c r="Q219" i="30"/>
  <c r="Q218" i="30"/>
  <c r="Q217" i="30"/>
  <c r="Q216" i="30"/>
  <c r="Q215" i="30"/>
  <c r="Q214" i="30"/>
  <c r="Q213" i="30"/>
  <c r="Q212" i="30"/>
  <c r="Q211" i="30"/>
  <c r="Q210" i="30"/>
  <c r="Q209" i="30"/>
  <c r="Q208" i="30"/>
  <c r="Q207" i="30"/>
  <c r="Q206" i="30"/>
  <c r="Q205" i="30"/>
  <c r="Q204" i="30"/>
  <c r="Q203" i="30"/>
  <c r="Q202" i="30"/>
  <c r="Q201" i="30"/>
  <c r="Q200" i="30"/>
  <c r="Q199" i="30"/>
  <c r="Q198" i="30"/>
  <c r="Q197" i="30"/>
  <c r="Q196" i="30"/>
  <c r="Q195" i="30"/>
  <c r="Q194" i="30"/>
  <c r="Q193" i="30"/>
  <c r="Q192" i="30"/>
  <c r="Q191" i="30"/>
  <c r="Q190" i="30"/>
  <c r="Q189" i="30"/>
  <c r="Q188" i="30"/>
  <c r="Q187" i="30"/>
  <c r="Q186" i="30"/>
  <c r="Q185" i="30"/>
  <c r="Q184" i="30"/>
  <c r="Q183" i="30"/>
  <c r="Q182" i="30"/>
  <c r="Q181" i="30"/>
  <c r="Q180" i="30"/>
  <c r="Q179" i="30"/>
  <c r="Q178" i="30"/>
  <c r="Q177" i="30"/>
  <c r="Q176" i="30"/>
  <c r="Q175" i="30"/>
  <c r="Q174" i="30"/>
  <c r="Q173" i="30"/>
  <c r="Q172" i="30"/>
  <c r="Q171" i="30"/>
  <c r="Q170" i="30"/>
  <c r="Q169" i="30"/>
  <c r="Q168" i="30"/>
  <c r="Q167" i="30"/>
  <c r="Q166" i="30"/>
  <c r="Q165" i="30"/>
  <c r="Q164" i="30"/>
  <c r="Q163" i="30"/>
  <c r="Q162" i="30"/>
  <c r="Q161" i="30"/>
  <c r="Q160" i="30"/>
  <c r="Q159" i="30"/>
  <c r="Q158" i="30"/>
  <c r="Q157" i="30"/>
  <c r="Q156" i="30"/>
  <c r="Q155" i="30"/>
  <c r="Q154" i="30"/>
  <c r="Q153" i="30"/>
  <c r="Q152" i="30"/>
  <c r="Q151" i="30"/>
  <c r="Q150" i="30"/>
  <c r="Q149" i="30"/>
  <c r="Q148" i="30"/>
  <c r="Q147" i="30"/>
  <c r="Q146" i="30"/>
  <c r="Q145" i="30"/>
  <c r="Q144" i="30"/>
  <c r="Q143" i="30"/>
  <c r="Q142" i="30"/>
  <c r="Q141" i="30"/>
  <c r="Q140" i="30"/>
  <c r="Q139" i="30"/>
  <c r="Q138" i="30"/>
  <c r="Q137" i="30"/>
  <c r="Q136" i="30"/>
  <c r="Q135" i="30"/>
  <c r="Q134" i="30"/>
  <c r="Q133" i="30"/>
  <c r="Q132" i="30"/>
  <c r="Q131" i="30"/>
  <c r="Q130" i="30"/>
  <c r="Q129" i="30"/>
  <c r="Q128" i="30"/>
  <c r="Q127" i="30"/>
  <c r="Q126" i="30"/>
  <c r="Q125" i="30"/>
  <c r="Q124" i="30"/>
  <c r="Q123" i="30"/>
  <c r="Q122" i="30"/>
  <c r="Q121" i="30"/>
  <c r="Q120" i="30"/>
  <c r="Q119" i="30"/>
  <c r="Q118" i="30"/>
  <c r="Q117" i="30"/>
  <c r="Q116" i="30"/>
  <c r="Q115" i="30"/>
  <c r="Q114" i="30"/>
  <c r="Q113" i="30"/>
  <c r="Q112" i="30"/>
  <c r="Q111" i="30"/>
  <c r="Q110" i="30"/>
  <c r="Q109" i="30"/>
  <c r="Q108" i="30"/>
  <c r="Q107" i="30"/>
  <c r="Q106" i="30"/>
  <c r="Q105" i="30"/>
  <c r="Q104" i="30"/>
  <c r="Q103" i="30"/>
  <c r="Q102" i="30"/>
  <c r="Q101" i="30"/>
  <c r="Q100" i="30"/>
  <c r="Q99" i="30"/>
  <c r="Q98" i="30"/>
  <c r="Q97" i="30"/>
  <c r="Q96" i="30"/>
  <c r="Q95" i="30"/>
  <c r="Q94" i="30"/>
  <c r="Q93" i="30"/>
  <c r="Q92" i="30"/>
  <c r="Q91" i="30"/>
  <c r="Q90" i="30"/>
  <c r="Q89" i="30"/>
  <c r="Q88" i="30"/>
  <c r="Q87" i="30"/>
  <c r="Q86" i="30"/>
  <c r="Q85" i="30"/>
  <c r="Q84" i="30"/>
  <c r="Q83" i="30"/>
  <c r="Q82" i="30"/>
  <c r="Q81" i="30"/>
  <c r="Q80" i="30"/>
  <c r="Q79" i="30"/>
  <c r="Q78" i="30"/>
  <c r="Q77" i="30"/>
  <c r="Q76" i="30"/>
  <c r="Q75" i="30"/>
  <c r="Q74" i="30"/>
  <c r="Q73" i="30"/>
  <c r="Q72" i="30"/>
  <c r="Q71" i="30"/>
  <c r="D3" i="32"/>
  <c r="G3" i="32"/>
  <c r="F3" i="32"/>
  <c r="E3" i="32"/>
  <c r="C3" i="32"/>
  <c r="B3" i="32"/>
  <c r="I4" i="13"/>
  <c r="H4" i="13"/>
  <c r="G4" i="13"/>
  <c r="F4" i="13"/>
  <c r="I3" i="13"/>
  <c r="H3" i="13"/>
  <c r="G3" i="13"/>
  <c r="F2" i="13"/>
  <c r="I2" i="13"/>
  <c r="H2" i="13"/>
  <c r="B73" i="4" l="1"/>
  <c r="G78" i="2"/>
  <c r="D1" i="130"/>
  <c r="K23" i="3"/>
  <c r="K22" i="3"/>
  <c r="K21" i="3"/>
  <c r="C69" i="4" l="1"/>
  <c r="L7" i="62" l="1"/>
  <c r="H7" i="62"/>
  <c r="L8" i="62" l="1"/>
  <c r="J11" i="62"/>
  <c r="J9" i="62"/>
  <c r="J8" i="62"/>
  <c r="J7" i="62"/>
  <c r="H8" i="62"/>
  <c r="F11" i="62"/>
  <c r="F9" i="62"/>
  <c r="F8" i="62"/>
  <c r="F7" i="62"/>
  <c r="J10" i="62" l="1"/>
  <c r="K9" i="62" s="1"/>
  <c r="H10" i="62"/>
  <c r="I10" i="62" s="1"/>
  <c r="F10" i="62"/>
  <c r="G7" i="62" s="1"/>
  <c r="I7" i="60"/>
  <c r="J6" i="60"/>
  <c r="J7" i="60"/>
  <c r="K7" i="60"/>
  <c r="K6" i="60"/>
  <c r="I6" i="60"/>
  <c r="G7" i="60"/>
  <c r="G6" i="60"/>
  <c r="F7" i="60"/>
  <c r="F6" i="60"/>
  <c r="E7" i="60"/>
  <c r="E6" i="60"/>
  <c r="K7" i="62" l="1"/>
  <c r="K8" i="62"/>
  <c r="K10" i="62"/>
  <c r="I8" i="62"/>
  <c r="G9" i="62"/>
  <c r="G8" i="62"/>
  <c r="I7" i="62"/>
  <c r="G10" i="62"/>
  <c r="L10" i="62"/>
  <c r="H7" i="60"/>
  <c r="H6" i="60"/>
  <c r="M10" i="62" l="1"/>
  <c r="M8" i="62"/>
  <c r="M7" i="62"/>
  <c r="K69" i="34"/>
  <c r="J69" i="34"/>
  <c r="I69" i="34"/>
  <c r="K68" i="34"/>
  <c r="J68" i="34"/>
  <c r="I68" i="34"/>
  <c r="K67" i="34"/>
  <c r="J67" i="34"/>
  <c r="I67" i="34"/>
  <c r="K66" i="34"/>
  <c r="J66" i="34"/>
  <c r="I66" i="34"/>
  <c r="K65" i="34"/>
  <c r="J65" i="34"/>
  <c r="I65" i="34"/>
  <c r="K64" i="34"/>
  <c r="J64" i="34"/>
  <c r="I64" i="34"/>
  <c r="K63" i="34"/>
  <c r="J63" i="34"/>
  <c r="I63" i="34"/>
  <c r="K62" i="34"/>
  <c r="J62" i="34"/>
  <c r="I62" i="34"/>
  <c r="K61" i="34"/>
  <c r="J61" i="34"/>
  <c r="I61" i="34"/>
  <c r="K60" i="34"/>
  <c r="J60" i="34"/>
  <c r="I60" i="34"/>
  <c r="K59" i="34"/>
  <c r="J59" i="34"/>
  <c r="I59" i="34"/>
  <c r="K58" i="34"/>
  <c r="J58" i="34"/>
  <c r="I58" i="34"/>
  <c r="K57" i="34"/>
  <c r="J57" i="34"/>
  <c r="I57" i="34"/>
  <c r="K56" i="34"/>
  <c r="J56" i="34"/>
  <c r="I56" i="34"/>
  <c r="K55" i="34"/>
  <c r="J55" i="34"/>
  <c r="I55" i="34"/>
  <c r="K54" i="34"/>
  <c r="J54" i="34"/>
  <c r="I54" i="34"/>
  <c r="K53" i="34"/>
  <c r="J53" i="34"/>
  <c r="I53" i="34"/>
  <c r="K52" i="34"/>
  <c r="J52" i="34"/>
  <c r="I52" i="34"/>
  <c r="K51" i="34"/>
  <c r="J51" i="34"/>
  <c r="I51" i="34"/>
  <c r="K50" i="34"/>
  <c r="J50" i="34"/>
  <c r="I50" i="34"/>
  <c r="K49" i="34"/>
  <c r="J49" i="34"/>
  <c r="I49" i="34"/>
  <c r="K48" i="34"/>
  <c r="J48" i="34"/>
  <c r="I48" i="34"/>
  <c r="K47" i="34"/>
  <c r="J47" i="34"/>
  <c r="I47" i="34"/>
  <c r="K46" i="34"/>
  <c r="J46" i="34"/>
  <c r="I46" i="34"/>
  <c r="K45" i="34"/>
  <c r="J45" i="34"/>
  <c r="I45" i="34"/>
  <c r="K44" i="34"/>
  <c r="J44" i="34"/>
  <c r="I44" i="34"/>
  <c r="K43" i="34"/>
  <c r="J43" i="34"/>
  <c r="I43" i="34"/>
  <c r="K42" i="34"/>
  <c r="J42" i="34"/>
  <c r="I42" i="34"/>
  <c r="K41" i="34"/>
  <c r="J41" i="34"/>
  <c r="I41" i="34"/>
  <c r="K40" i="34"/>
  <c r="J40" i="34"/>
  <c r="I40" i="34"/>
  <c r="K39" i="34"/>
  <c r="J39" i="34"/>
  <c r="I39" i="34"/>
  <c r="K38" i="34"/>
  <c r="J38" i="34"/>
  <c r="I38" i="34"/>
  <c r="K37" i="34"/>
  <c r="J37" i="34"/>
  <c r="I37" i="34"/>
  <c r="K36" i="34"/>
  <c r="J36" i="34"/>
  <c r="I36" i="34"/>
  <c r="K35" i="34"/>
  <c r="J35" i="34"/>
  <c r="I35" i="34"/>
  <c r="K34" i="34"/>
  <c r="J34" i="34"/>
  <c r="I34" i="34"/>
  <c r="K33" i="34"/>
  <c r="J33" i="34"/>
  <c r="I33" i="34"/>
  <c r="K32" i="34"/>
  <c r="J32" i="34"/>
  <c r="I32" i="34"/>
  <c r="K31" i="34"/>
  <c r="J31" i="34"/>
  <c r="I31" i="34"/>
  <c r="K30" i="34"/>
  <c r="J30" i="34"/>
  <c r="I30" i="34"/>
  <c r="K29" i="34"/>
  <c r="J29" i="34"/>
  <c r="I29" i="34"/>
  <c r="K28" i="34"/>
  <c r="J28" i="34"/>
  <c r="I28" i="34"/>
  <c r="K27" i="34"/>
  <c r="J27" i="34"/>
  <c r="I27" i="34"/>
  <c r="K26" i="34"/>
  <c r="J26" i="34"/>
  <c r="I26" i="34"/>
  <c r="K25" i="34"/>
  <c r="J25" i="34"/>
  <c r="I25" i="34"/>
  <c r="K24" i="34"/>
  <c r="J24" i="34"/>
  <c r="I24" i="34"/>
  <c r="K23" i="34"/>
  <c r="J23" i="34"/>
  <c r="I23" i="34"/>
  <c r="K22" i="34"/>
  <c r="J22" i="34"/>
  <c r="I22" i="34"/>
  <c r="K21" i="34"/>
  <c r="J21" i="34"/>
  <c r="I21" i="34"/>
  <c r="K20" i="34"/>
  <c r="J20" i="34"/>
  <c r="I20" i="34"/>
  <c r="K19" i="34"/>
  <c r="J19" i="34"/>
  <c r="I19" i="34"/>
  <c r="K18" i="34"/>
  <c r="J18" i="34"/>
  <c r="I18" i="34"/>
  <c r="K17" i="34"/>
  <c r="J17" i="34"/>
  <c r="I17" i="34"/>
  <c r="K16" i="34"/>
  <c r="J16" i="34"/>
  <c r="I16" i="34"/>
  <c r="K15" i="34"/>
  <c r="J15" i="34"/>
  <c r="I15" i="34"/>
  <c r="K14" i="34"/>
  <c r="J14" i="34"/>
  <c r="I14" i="34"/>
  <c r="K13" i="34"/>
  <c r="J13" i="34"/>
  <c r="I13" i="34"/>
  <c r="K12" i="34"/>
  <c r="J12" i="34"/>
  <c r="I12" i="34"/>
  <c r="K11" i="34"/>
  <c r="J11" i="34"/>
  <c r="I11" i="34"/>
  <c r="K10" i="34"/>
  <c r="J10" i="34"/>
  <c r="I10" i="34"/>
  <c r="K9" i="34"/>
  <c r="J9" i="34"/>
  <c r="I9" i="34"/>
  <c r="K8" i="34"/>
  <c r="J8" i="34"/>
  <c r="I8" i="34"/>
  <c r="K7" i="34"/>
  <c r="J7" i="34"/>
  <c r="I7" i="34"/>
  <c r="K6" i="34"/>
  <c r="J6" i="34"/>
  <c r="I6" i="34"/>
  <c r="K5" i="34"/>
  <c r="J5" i="34"/>
  <c r="I5" i="34"/>
  <c r="K4" i="34"/>
  <c r="J4" i="34"/>
  <c r="I4" i="34"/>
  <c r="K3" i="34"/>
  <c r="J3" i="34"/>
  <c r="I3" i="34"/>
  <c r="K2" i="34"/>
  <c r="J2" i="34"/>
  <c r="I2" i="34"/>
  <c r="D1" i="127" l="1"/>
  <c r="D1" i="102"/>
  <c r="D1" i="101"/>
  <c r="D1" i="100"/>
  <c r="D1" i="99"/>
  <c r="D1" i="98"/>
  <c r="D1" i="97"/>
  <c r="D1" i="96"/>
  <c r="D1" i="95"/>
  <c r="D1" i="94"/>
  <c r="D1" i="93"/>
  <c r="D1" i="92"/>
  <c r="D1" i="91"/>
  <c r="D1" i="90"/>
  <c r="D1" i="89"/>
  <c r="D1" i="88"/>
  <c r="D1" i="87"/>
  <c r="D1" i="86"/>
  <c r="D1" i="85"/>
  <c r="D1" i="84"/>
  <c r="D1" i="83"/>
  <c r="D1" i="82"/>
  <c r="D1" i="81"/>
  <c r="D1" i="80"/>
  <c r="D1" i="79"/>
  <c r="D1" i="78"/>
  <c r="D1" i="77"/>
  <c r="D1" i="76"/>
  <c r="D1" i="75"/>
  <c r="D1" i="74"/>
  <c r="D1" i="72"/>
  <c r="D1" i="71"/>
  <c r="D1" i="70"/>
  <c r="D1" i="69"/>
  <c r="D1" i="68"/>
  <c r="D1" i="67"/>
  <c r="D1" i="66"/>
  <c r="D1" i="65"/>
  <c r="D1" i="64"/>
  <c r="D1" i="62"/>
  <c r="D1" i="60"/>
  <c r="D1" i="59"/>
  <c r="D1" i="58"/>
  <c r="D1" i="56"/>
  <c r="D1" i="54"/>
  <c r="D1" i="53"/>
  <c r="D1" i="51"/>
  <c r="D1" i="49"/>
  <c r="D1" i="48"/>
  <c r="D1" i="46"/>
  <c r="D1" i="44"/>
  <c r="D1" i="42"/>
  <c r="D1" i="40"/>
  <c r="D1" i="39"/>
  <c r="D1" i="37"/>
  <c r="D1" i="35"/>
  <c r="D1" i="33"/>
  <c r="D1" i="31"/>
  <c r="D1" i="29"/>
  <c r="D1" i="27"/>
  <c r="D1" i="25"/>
  <c r="D1" i="24"/>
  <c r="D1" i="22"/>
  <c r="D1" i="20"/>
  <c r="D1" i="18"/>
  <c r="D1" i="16"/>
  <c r="D1" i="14"/>
  <c r="D1" i="8"/>
  <c r="D1" i="6"/>
  <c r="D1" i="10"/>
  <c r="D1" i="12"/>
  <c r="C2" i="4" l="1"/>
  <c r="B2" i="4"/>
  <c r="C49" i="4"/>
  <c r="B49" i="4"/>
  <c r="C48" i="4"/>
  <c r="B48" i="4"/>
  <c r="C63" i="4"/>
  <c r="B63" i="4"/>
  <c r="C72" i="4"/>
  <c r="B72" i="4"/>
  <c r="C47" i="4"/>
  <c r="B47" i="4"/>
  <c r="C71" i="4"/>
  <c r="B71" i="4"/>
  <c r="C66" i="4"/>
  <c r="B66" i="4"/>
  <c r="C65" i="4"/>
  <c r="B65" i="4"/>
  <c r="C31" i="4"/>
  <c r="B31" i="4"/>
  <c r="C30" i="4"/>
  <c r="B30" i="4"/>
  <c r="C29" i="4"/>
  <c r="B29" i="4"/>
  <c r="C28" i="4"/>
  <c r="B28" i="4"/>
  <c r="C27" i="4"/>
  <c r="B27" i="4"/>
  <c r="C26" i="4"/>
  <c r="B26" i="4"/>
  <c r="C25" i="4"/>
  <c r="B25" i="4"/>
  <c r="C24" i="4"/>
  <c r="B24" i="4"/>
  <c r="C23" i="4"/>
  <c r="B23" i="4"/>
  <c r="C22" i="4"/>
  <c r="B22" i="4"/>
  <c r="C70" i="4"/>
  <c r="B70" i="4"/>
  <c r="C39" i="4"/>
  <c r="B39" i="4"/>
  <c r="C20" i="4"/>
  <c r="B20" i="4"/>
  <c r="C19" i="4"/>
  <c r="B19" i="4"/>
  <c r="C18" i="4"/>
  <c r="B18" i="4"/>
  <c r="B69" i="4"/>
  <c r="C38" i="4"/>
  <c r="B38" i="4"/>
  <c r="C62" i="4"/>
  <c r="B62" i="4"/>
  <c r="C61" i="4"/>
  <c r="B61" i="4"/>
  <c r="C59" i="4"/>
  <c r="B59" i="4"/>
  <c r="C58" i="4"/>
  <c r="B58" i="4"/>
  <c r="C57" i="4"/>
  <c r="B57" i="4"/>
  <c r="C56" i="4"/>
  <c r="B56" i="4"/>
  <c r="C55" i="4"/>
  <c r="B55" i="4"/>
  <c r="C43" i="4"/>
  <c r="B43" i="4"/>
  <c r="C46" i="4"/>
  <c r="B46" i="4"/>
  <c r="C45" i="4"/>
  <c r="B45" i="4"/>
  <c r="C54" i="4"/>
  <c r="B54" i="4"/>
  <c r="C53" i="4"/>
  <c r="B53" i="4"/>
  <c r="C32" i="4"/>
  <c r="B32" i="4"/>
  <c r="C52" i="4"/>
  <c r="B52" i="4"/>
  <c r="C17" i="4"/>
  <c r="B17" i="4"/>
  <c r="C68" i="4"/>
  <c r="B68" i="4"/>
  <c r="C21" i="4"/>
  <c r="B21" i="4"/>
  <c r="C51" i="4"/>
  <c r="B51" i="4"/>
  <c r="C42" i="4"/>
  <c r="B42" i="4"/>
  <c r="C37" i="4"/>
  <c r="B37" i="4"/>
  <c r="C41" i="4"/>
  <c r="B41" i="4"/>
  <c r="C36" i="4"/>
  <c r="B36" i="4"/>
  <c r="C44" i="4"/>
  <c r="B44" i="4"/>
  <c r="C16" i="4"/>
  <c r="B16" i="4"/>
  <c r="C15" i="4"/>
  <c r="B15" i="4"/>
  <c r="C14" i="4"/>
  <c r="B14" i="4"/>
  <c r="C13" i="4"/>
  <c r="B13" i="4"/>
  <c r="C12" i="4"/>
  <c r="B12" i="4"/>
  <c r="C11" i="4"/>
  <c r="B11" i="4"/>
  <c r="C10" i="4"/>
  <c r="B10" i="4"/>
  <c r="C9" i="4"/>
  <c r="B9" i="4"/>
  <c r="C8" i="4"/>
  <c r="B8" i="4"/>
  <c r="C7" i="4"/>
  <c r="B7" i="4"/>
  <c r="C6" i="4"/>
  <c r="B6" i="4"/>
  <c r="C5" i="4"/>
  <c r="B5" i="4"/>
  <c r="C4" i="4"/>
  <c r="B4" i="4"/>
  <c r="C35" i="4"/>
  <c r="B35" i="4"/>
  <c r="C34" i="4"/>
  <c r="B34" i="4"/>
  <c r="C33" i="4"/>
  <c r="B33" i="4"/>
  <c r="C50" i="4"/>
  <c r="B50" i="4"/>
  <c r="C40" i="4"/>
  <c r="B40" i="4"/>
  <c r="C64" i="4"/>
  <c r="B64" i="4"/>
  <c r="C3" i="4"/>
  <c r="B3" i="4"/>
  <c r="C67" i="4"/>
  <c r="B67" i="4"/>
  <c r="C60" i="4"/>
  <c r="B60" i="4"/>
  <c r="J26" i="3" l="1"/>
  <c r="K25" i="3"/>
  <c r="K24" i="3"/>
  <c r="K19" i="3"/>
  <c r="J4" i="3"/>
  <c r="G79" i="2" l="1"/>
  <c r="C7" i="128"/>
  <c r="A7" i="128"/>
  <c r="C6" i="128"/>
  <c r="B6" i="128"/>
  <c r="A6" i="128"/>
  <c r="C5" i="128"/>
  <c r="B5" i="128"/>
  <c r="A5" i="128"/>
  <c r="C4" i="128"/>
  <c r="B4" i="128"/>
  <c r="A4" i="128"/>
  <c r="C3" i="128"/>
  <c r="B3" i="128"/>
  <c r="A3" i="128"/>
  <c r="C2" i="128"/>
  <c r="A2" i="128"/>
  <c r="K15" i="3" l="1"/>
  <c r="G8" i="60" l="1"/>
  <c r="G21" i="2" l="1"/>
  <c r="G20" i="2"/>
  <c r="J25" i="3"/>
  <c r="J24" i="3"/>
  <c r="J23" i="3"/>
  <c r="J22" i="3"/>
  <c r="J21" i="3"/>
  <c r="L20" i="3"/>
  <c r="K20" i="3"/>
  <c r="J20" i="3"/>
  <c r="P19" i="3"/>
  <c r="O19" i="3"/>
  <c r="N19" i="3"/>
  <c r="M19" i="3"/>
  <c r="L19" i="3"/>
  <c r="J19" i="3"/>
  <c r="K18" i="3"/>
  <c r="J18" i="3"/>
  <c r="J17" i="3"/>
  <c r="L16" i="3"/>
  <c r="K16" i="3"/>
  <c r="J16" i="3"/>
  <c r="J15" i="3"/>
  <c r="J14" i="3"/>
  <c r="M13" i="3"/>
  <c r="L13" i="3"/>
  <c r="K13" i="3"/>
  <c r="J13" i="3"/>
  <c r="J12" i="3"/>
  <c r="J11" i="3"/>
  <c r="J10" i="3"/>
  <c r="J9" i="3"/>
  <c r="L8" i="3"/>
  <c r="K8" i="3"/>
  <c r="J8" i="3"/>
  <c r="W7" i="3"/>
  <c r="V7" i="3"/>
  <c r="U7" i="3"/>
  <c r="T7" i="3"/>
  <c r="S7" i="3"/>
  <c r="R7" i="3"/>
  <c r="Q7" i="3"/>
  <c r="P7" i="3"/>
  <c r="O7" i="3"/>
  <c r="N7" i="3"/>
  <c r="M7" i="3"/>
  <c r="L7" i="3"/>
  <c r="K7" i="3"/>
  <c r="J7" i="3"/>
  <c r="K6" i="3"/>
  <c r="J6" i="3"/>
  <c r="N5" i="3"/>
  <c r="M5" i="3"/>
  <c r="L5" i="3"/>
  <c r="K5" i="3"/>
  <c r="J5" i="3"/>
  <c r="K4" i="3"/>
  <c r="L4" i="3"/>
  <c r="M4" i="3"/>
  <c r="M3" i="3"/>
  <c r="L3" i="3"/>
  <c r="K3" i="3"/>
  <c r="J3" i="3" l="1"/>
  <c r="M19" i="2" l="1"/>
  <c r="G71" i="2"/>
  <c r="G70" i="2"/>
  <c r="I69" i="2"/>
  <c r="H69" i="2"/>
  <c r="G69" i="2"/>
  <c r="I68" i="2"/>
  <c r="H68" i="2"/>
  <c r="G68" i="2"/>
  <c r="H66" i="2"/>
  <c r="G66" i="2"/>
  <c r="G65" i="2"/>
  <c r="J63" i="2"/>
  <c r="I63" i="2"/>
  <c r="H63" i="2"/>
  <c r="G63" i="2"/>
  <c r="G61" i="2"/>
  <c r="G60" i="2"/>
  <c r="G59" i="2"/>
  <c r="G58" i="2"/>
  <c r="G57" i="2"/>
  <c r="G56" i="2"/>
  <c r="H54" i="2"/>
  <c r="G54" i="2"/>
  <c r="G53" i="2"/>
  <c r="G52" i="2"/>
  <c r="G51" i="2"/>
  <c r="G50" i="2"/>
  <c r="G49" i="2"/>
  <c r="G48" i="2"/>
  <c r="G47" i="2"/>
  <c r="G46" i="2"/>
  <c r="G45" i="2"/>
  <c r="G44" i="2"/>
  <c r="K8" i="60"/>
  <c r="J8" i="60"/>
  <c r="I8" i="60"/>
  <c r="F8" i="60"/>
  <c r="E8" i="60"/>
  <c r="L7" i="60"/>
  <c r="L6" i="60"/>
  <c r="I9" i="90"/>
  <c r="J10" i="90" s="1"/>
  <c r="G9" i="90"/>
  <c r="H10" i="90" s="1"/>
  <c r="E9" i="90"/>
  <c r="F10" i="90" s="1"/>
  <c r="E7" i="77"/>
  <c r="E6" i="77"/>
  <c r="E5" i="77"/>
  <c r="J20" i="75"/>
  <c r="I20" i="75"/>
  <c r="J19" i="75"/>
  <c r="I19" i="75"/>
  <c r="F19" i="75"/>
  <c r="J18" i="75"/>
  <c r="I18" i="75"/>
  <c r="F18" i="75"/>
  <c r="J17" i="75"/>
  <c r="I17" i="75"/>
  <c r="G17" i="75"/>
  <c r="F17" i="75"/>
  <c r="F16" i="75"/>
  <c r="I15" i="75"/>
  <c r="J14" i="75"/>
  <c r="I14" i="75"/>
  <c r="F14" i="75"/>
  <c r="E14" i="75"/>
  <c r="J13" i="75"/>
  <c r="I13" i="75"/>
  <c r="F13" i="75"/>
  <c r="J12" i="75"/>
  <c r="I12" i="75"/>
  <c r="F12" i="75"/>
  <c r="J11" i="75"/>
  <c r="I11" i="75"/>
  <c r="G11" i="75"/>
  <c r="F11" i="75"/>
  <c r="J10" i="75"/>
  <c r="I10" i="75"/>
  <c r="F10" i="75"/>
  <c r="J9" i="75"/>
  <c r="I9" i="75"/>
  <c r="H9" i="75"/>
  <c r="F9" i="75"/>
  <c r="J8" i="75"/>
  <c r="I8" i="75"/>
  <c r="H8" i="75"/>
  <c r="G8" i="75"/>
  <c r="F8" i="75"/>
  <c r="J7" i="75"/>
  <c r="I7" i="75"/>
  <c r="H7" i="75"/>
  <c r="G7" i="75"/>
  <c r="F7" i="75"/>
  <c r="CO81" i="72"/>
  <c r="CM81" i="72"/>
  <c r="CK81" i="72"/>
  <c r="CO80" i="72"/>
  <c r="CM80" i="72"/>
  <c r="CK80" i="72"/>
  <c r="CO81" i="74"/>
  <c r="CM81" i="74"/>
  <c r="CK81" i="74"/>
  <c r="CO80" i="74"/>
  <c r="CM80" i="74"/>
  <c r="CK80" i="74"/>
  <c r="E70" i="73"/>
  <c r="F8" i="74" s="1"/>
  <c r="D70" i="73"/>
  <c r="F7" i="74" s="1"/>
  <c r="B70" i="73"/>
  <c r="F6" i="74" s="1"/>
  <c r="E69" i="73"/>
  <c r="E8" i="74" s="1"/>
  <c r="D69" i="73"/>
  <c r="E7" i="74" s="1"/>
  <c r="B69" i="73"/>
  <c r="E6" i="74" s="1"/>
  <c r="E68" i="73"/>
  <c r="D68" i="73"/>
  <c r="B68" i="73"/>
  <c r="E67" i="73"/>
  <c r="G8" i="74" s="1"/>
  <c r="D67" i="73"/>
  <c r="G7" i="74" s="1"/>
  <c r="B67" i="73"/>
  <c r="G6" i="74" s="1"/>
  <c r="G42" i="2"/>
  <c r="G40" i="2"/>
  <c r="G39" i="2"/>
  <c r="G38" i="2"/>
  <c r="G37" i="2"/>
  <c r="G36" i="2"/>
  <c r="G35" i="2"/>
  <c r="H34" i="2"/>
  <c r="G34" i="2"/>
  <c r="H33" i="2"/>
  <c r="G33" i="2"/>
  <c r="G32" i="2"/>
  <c r="G31" i="2"/>
  <c r="G30" i="2"/>
  <c r="H28" i="2"/>
  <c r="G28" i="2"/>
  <c r="I27" i="2"/>
  <c r="H27" i="2"/>
  <c r="G27" i="2"/>
  <c r="I25" i="2"/>
  <c r="H25" i="2"/>
  <c r="G25" i="2"/>
  <c r="G24" i="2"/>
  <c r="H23" i="2"/>
  <c r="G23" i="2"/>
  <c r="G22" i="2"/>
  <c r="L19" i="2"/>
  <c r="K19" i="2"/>
  <c r="J19" i="2"/>
  <c r="I19" i="2"/>
  <c r="H19" i="2"/>
  <c r="G19" i="2"/>
  <c r="G18" i="2"/>
  <c r="I17" i="2"/>
  <c r="H17" i="2"/>
  <c r="G17" i="2"/>
  <c r="H16" i="2"/>
  <c r="G16" i="2"/>
  <c r="H15" i="2"/>
  <c r="G15" i="2"/>
  <c r="G14" i="2"/>
  <c r="G12" i="2"/>
  <c r="G11" i="2"/>
  <c r="G10" i="2"/>
  <c r="H7" i="2"/>
  <c r="G7" i="2"/>
  <c r="G6" i="2"/>
  <c r="G4" i="2"/>
  <c r="CN80" i="74" l="1"/>
  <c r="H8" i="60"/>
  <c r="CN80" i="72"/>
  <c r="L8" i="60"/>
  <c r="G4" i="32"/>
  <c r="F4" i="32"/>
  <c r="E4" i="32"/>
  <c r="D4" i="32"/>
  <c r="C4" i="32"/>
  <c r="B4" i="32"/>
  <c r="G5" i="32"/>
  <c r="F5" i="32"/>
  <c r="E5" i="32"/>
  <c r="D5" i="32"/>
  <c r="C5" i="32"/>
  <c r="B5" i="32"/>
  <c r="K5" i="37" l="1"/>
  <c r="K6" i="37"/>
  <c r="K7" i="37"/>
  <c r="K8" i="37"/>
  <c r="K9" i="37"/>
  <c r="K10" i="37"/>
  <c r="K11" i="37"/>
  <c r="K12" i="37"/>
  <c r="K13" i="37"/>
  <c r="K4" i="37"/>
  <c r="H7" i="35" l="1"/>
  <c r="D4" i="37" l="1"/>
  <c r="E4" i="37"/>
  <c r="F4" i="37"/>
  <c r="G4" i="37"/>
  <c r="H4" i="37"/>
  <c r="I4" i="37"/>
  <c r="J4" i="37"/>
  <c r="D5" i="37"/>
  <c r="E5" i="37"/>
  <c r="F5" i="37"/>
  <c r="G5" i="37"/>
  <c r="H5" i="37"/>
  <c r="I5" i="37"/>
  <c r="J5" i="37"/>
  <c r="D6" i="37"/>
  <c r="E6" i="37"/>
  <c r="F6" i="37"/>
  <c r="G6" i="37"/>
  <c r="H6" i="37"/>
  <c r="I6" i="37"/>
  <c r="J6" i="37"/>
  <c r="D7" i="37"/>
  <c r="E7" i="37"/>
  <c r="F7" i="37"/>
  <c r="G7" i="37"/>
  <c r="H7" i="37"/>
  <c r="I7" i="37"/>
  <c r="J7" i="37"/>
  <c r="D8" i="37"/>
  <c r="E8" i="37"/>
  <c r="F8" i="37"/>
  <c r="G8" i="37"/>
  <c r="H8" i="37"/>
  <c r="I8" i="37"/>
  <c r="J8" i="37"/>
  <c r="D9" i="37"/>
  <c r="E9" i="37"/>
  <c r="F9" i="37"/>
  <c r="G9" i="37"/>
  <c r="H9" i="37"/>
  <c r="I9" i="37"/>
  <c r="J9" i="37"/>
  <c r="D10" i="37"/>
  <c r="E10" i="37"/>
  <c r="F10" i="37"/>
  <c r="G10" i="37"/>
  <c r="H10" i="37"/>
  <c r="I10" i="37"/>
  <c r="J10" i="37"/>
  <c r="D11" i="37"/>
  <c r="E11" i="37"/>
  <c r="F11" i="37"/>
  <c r="G11" i="37"/>
  <c r="H11" i="37"/>
  <c r="I11" i="37"/>
  <c r="J11" i="37"/>
  <c r="D12" i="37"/>
  <c r="E12" i="37"/>
  <c r="F12" i="37"/>
  <c r="G12" i="37"/>
  <c r="H12" i="37"/>
  <c r="I12" i="37"/>
  <c r="J12" i="37"/>
  <c r="D13" i="37"/>
  <c r="E13" i="37"/>
  <c r="F13" i="37"/>
  <c r="G13" i="37"/>
  <c r="H13" i="37"/>
  <c r="I13" i="37"/>
  <c r="J13" i="37"/>
  <c r="E4" i="35" l="1"/>
  <c r="F4" i="35"/>
  <c r="G4" i="35"/>
  <c r="H4" i="35"/>
  <c r="I4" i="35"/>
  <c r="J4" i="35"/>
  <c r="K4" i="35"/>
  <c r="D5" i="35"/>
  <c r="F5" i="35"/>
  <c r="G5" i="35"/>
  <c r="H5" i="35"/>
  <c r="I5" i="35"/>
  <c r="J5" i="35"/>
  <c r="K5" i="35"/>
  <c r="D6" i="35"/>
  <c r="F6" i="35"/>
  <c r="G6" i="35"/>
  <c r="H6" i="35"/>
  <c r="I6" i="35"/>
  <c r="J6" i="35"/>
  <c r="K6" i="35"/>
  <c r="D7" i="35"/>
  <c r="F7" i="35"/>
  <c r="G7" i="35"/>
  <c r="I7" i="35"/>
  <c r="J7" i="35"/>
  <c r="K7" i="35"/>
  <c r="D8" i="35"/>
  <c r="E8" i="35"/>
  <c r="F8" i="35"/>
  <c r="G8" i="35"/>
  <c r="H8" i="35"/>
  <c r="I8" i="35"/>
  <c r="J8" i="35"/>
  <c r="K8" i="35"/>
  <c r="B5" i="36"/>
  <c r="B4" i="36"/>
  <c r="E7" i="35" s="1"/>
  <c r="B3" i="36"/>
  <c r="E6" i="35" s="1"/>
  <c r="B2" i="36"/>
  <c r="E5" i="35" s="1"/>
  <c r="F24" i="36" l="1"/>
  <c r="G24" i="36"/>
  <c r="G25" i="36" l="1"/>
  <c r="F25" i="36"/>
  <c r="Q10" i="30"/>
  <c r="R10" i="30"/>
  <c r="Q11" i="30"/>
  <c r="R11" i="30"/>
  <c r="Q12" i="30"/>
  <c r="R12" i="30"/>
  <c r="Q13" i="30"/>
  <c r="R13" i="30"/>
  <c r="Q14" i="30"/>
  <c r="R14" i="30"/>
  <c r="Q15" i="30"/>
  <c r="R15" i="30"/>
  <c r="Q16" i="30"/>
  <c r="R16" i="30"/>
  <c r="Q17" i="30"/>
  <c r="R17" i="30"/>
  <c r="Q18" i="30"/>
  <c r="R18" i="30"/>
  <c r="Q19" i="30"/>
  <c r="R19" i="30"/>
  <c r="Q20" i="30"/>
  <c r="R20" i="30"/>
  <c r="Q21" i="30"/>
  <c r="R21" i="30"/>
  <c r="Q22" i="30"/>
  <c r="R22" i="30"/>
  <c r="Q23" i="30"/>
  <c r="R23" i="30"/>
  <c r="Q24" i="30"/>
  <c r="R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R9" i="30"/>
  <c r="Q9" i="30"/>
  <c r="E17" i="30"/>
  <c r="G2" i="30"/>
  <c r="B2" i="30"/>
  <c r="E18" i="32"/>
  <c r="G2" i="32"/>
  <c r="B2" i="32"/>
  <c r="C3" i="30" l="1"/>
  <c r="B3" i="30"/>
  <c r="E3" i="30"/>
  <c r="D3" i="30"/>
  <c r="G3" i="30"/>
  <c r="F3" i="30"/>
  <c r="E4" i="30"/>
  <c r="D4" i="30"/>
  <c r="C4" i="30"/>
  <c r="B4" i="30"/>
  <c r="G4" i="30"/>
  <c r="F4" i="30"/>
  <c r="B1" i="26"/>
  <c r="C1" i="26"/>
  <c r="D1" i="26"/>
  <c r="E1" i="26"/>
  <c r="B2" i="26"/>
  <c r="C2" i="26"/>
  <c r="D2" i="26"/>
  <c r="E2" i="26"/>
  <c r="B4" i="26"/>
  <c r="C4" i="26"/>
  <c r="D4" i="26"/>
  <c r="E4" i="26"/>
  <c r="B5" i="26"/>
  <c r="C5" i="26"/>
  <c r="D5" i="26"/>
  <c r="E5" i="26"/>
  <c r="B8" i="26"/>
  <c r="C8" i="26"/>
  <c r="D8" i="26"/>
  <c r="E8" i="26"/>
  <c r="D15" i="26"/>
  <c r="E15" i="26"/>
  <c r="B20" i="26"/>
  <c r="C20" i="26"/>
  <c r="D20" i="26"/>
  <c r="E20" i="26"/>
  <c r="A1" i="26"/>
  <c r="A2" i="26"/>
  <c r="A3" i="26"/>
  <c r="A4" i="26"/>
  <c r="A5" i="26"/>
  <c r="A6" i="26"/>
  <c r="A7" i="26"/>
  <c r="A8" i="26"/>
  <c r="A9" i="26"/>
  <c r="A10" i="26"/>
  <c r="A11" i="26"/>
  <c r="A12" i="26"/>
  <c r="A13" i="26"/>
  <c r="A14" i="26"/>
  <c r="A15" i="26"/>
  <c r="A16" i="26"/>
  <c r="A17" i="26"/>
  <c r="A18" i="26"/>
  <c r="A19" i="26"/>
  <c r="A20" i="26"/>
  <c r="A21" i="26"/>
  <c r="A22" i="26"/>
  <c r="A23" i="26"/>
  <c r="H1" i="23"/>
  <c r="H2" i="23"/>
  <c r="H3" i="23"/>
  <c r="H4" i="23"/>
  <c r="H5" i="23"/>
  <c r="H6" i="23"/>
  <c r="H7" i="23"/>
  <c r="H8" i="23"/>
  <c r="H9" i="23"/>
  <c r="H10" i="23"/>
  <c r="H11" i="23"/>
  <c r="H12" i="23"/>
  <c r="H13" i="23"/>
  <c r="H14" i="23"/>
  <c r="H15" i="23"/>
  <c r="H16" i="23"/>
  <c r="H17"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H65" i="23"/>
  <c r="H66" i="23"/>
  <c r="H67" i="23"/>
  <c r="H68" i="23"/>
  <c r="H69" i="23"/>
  <c r="H70" i="23"/>
  <c r="H71" i="23"/>
  <c r="H72" i="23"/>
  <c r="H73" i="23"/>
  <c r="H74" i="23"/>
  <c r="H75" i="23"/>
  <c r="G1" i="23"/>
  <c r="G2" i="23"/>
  <c r="G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F1" i="23"/>
  <c r="F2" i="23"/>
  <c r="F3" i="23"/>
  <c r="F4" i="23"/>
  <c r="F5" i="23"/>
  <c r="F6" i="23"/>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E1" i="23"/>
  <c r="E2" i="23"/>
  <c r="E3" i="23"/>
  <c r="E4" i="23"/>
  <c r="E5" i="23"/>
  <c r="E6" i="23"/>
  <c r="E7" i="23"/>
  <c r="E8" i="23"/>
  <c r="E9" i="23"/>
  <c r="E10" i="23"/>
  <c r="E11" i="23"/>
  <c r="E12" i="23"/>
  <c r="E13" i="23"/>
  <c r="E14" i="23"/>
  <c r="E15" i="23"/>
  <c r="E16" i="23"/>
  <c r="E17" i="23"/>
  <c r="E18" i="23"/>
  <c r="E19" i="23"/>
  <c r="E20" i="23"/>
  <c r="E21" i="23"/>
  <c r="E22" i="23"/>
  <c r="E23" i="23"/>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59" i="23"/>
  <c r="E60" i="23"/>
  <c r="E61" i="23"/>
  <c r="E62" i="23"/>
  <c r="E63" i="23"/>
  <c r="E64" i="23"/>
  <c r="E65" i="23"/>
  <c r="E66" i="23"/>
  <c r="E67" i="23"/>
  <c r="E68" i="23"/>
  <c r="E69" i="23"/>
  <c r="E70" i="23"/>
  <c r="E71" i="23"/>
  <c r="E72" i="23"/>
  <c r="E73" i="23"/>
  <c r="E74" i="23"/>
  <c r="E75" i="23"/>
  <c r="B75" i="23"/>
  <c r="A75" i="23"/>
  <c r="B74" i="23"/>
  <c r="A74" i="23"/>
  <c r="B73" i="23"/>
  <c r="A73" i="23"/>
  <c r="B72" i="23"/>
  <c r="A72" i="23"/>
  <c r="D71" i="23"/>
  <c r="C71" i="23"/>
  <c r="B71" i="23"/>
  <c r="A71" i="23"/>
  <c r="D70" i="23"/>
  <c r="C70" i="23"/>
  <c r="B70" i="23"/>
  <c r="A70" i="23"/>
  <c r="D69" i="23"/>
  <c r="C69" i="23"/>
  <c r="B69" i="23"/>
  <c r="A69" i="23"/>
  <c r="D68" i="23"/>
  <c r="C68" i="23"/>
  <c r="B68" i="23"/>
  <c r="A68" i="23"/>
  <c r="D67" i="23"/>
  <c r="C67" i="23"/>
  <c r="B67" i="23"/>
  <c r="A67" i="23"/>
  <c r="D66" i="23"/>
  <c r="C66" i="23"/>
  <c r="B66" i="23"/>
  <c r="A66" i="23"/>
  <c r="D65" i="23"/>
  <c r="C65" i="23"/>
  <c r="B65" i="23"/>
  <c r="A65" i="23"/>
  <c r="D64" i="23"/>
  <c r="C64" i="23"/>
  <c r="B64" i="23"/>
  <c r="A64" i="23"/>
  <c r="D63" i="23"/>
  <c r="C63" i="23"/>
  <c r="B63" i="23"/>
  <c r="A63" i="23"/>
  <c r="D62" i="23"/>
  <c r="C62" i="23"/>
  <c r="B62" i="23"/>
  <c r="A62" i="23"/>
  <c r="D61" i="23"/>
  <c r="C61" i="23"/>
  <c r="B61" i="23"/>
  <c r="A61" i="23"/>
  <c r="D60" i="23"/>
  <c r="C60" i="23"/>
  <c r="B60" i="23"/>
  <c r="A60" i="23"/>
  <c r="D59" i="23"/>
  <c r="C59" i="23"/>
  <c r="B59" i="23"/>
  <c r="A59" i="23"/>
  <c r="D58" i="23"/>
  <c r="C58" i="23"/>
  <c r="B58" i="23"/>
  <c r="A58" i="23"/>
  <c r="D57" i="23"/>
  <c r="C57" i="23"/>
  <c r="B57" i="23"/>
  <c r="A57" i="23"/>
  <c r="D56" i="23"/>
  <c r="C56" i="23"/>
  <c r="B56" i="23"/>
  <c r="A56" i="23"/>
  <c r="D55" i="23"/>
  <c r="C55" i="23"/>
  <c r="B55" i="23"/>
  <c r="A55" i="23"/>
  <c r="D54" i="23"/>
  <c r="C54" i="23"/>
  <c r="B54" i="23"/>
  <c r="A54" i="23"/>
  <c r="D53" i="23"/>
  <c r="C53" i="23"/>
  <c r="B53" i="23"/>
  <c r="A53" i="23"/>
  <c r="D52" i="23"/>
  <c r="C52" i="23"/>
  <c r="B52" i="23"/>
  <c r="A52" i="23"/>
  <c r="D51" i="23"/>
  <c r="C51" i="23"/>
  <c r="B51" i="23"/>
  <c r="A51" i="23"/>
  <c r="D50" i="23"/>
  <c r="C50" i="23"/>
  <c r="B50" i="23"/>
  <c r="A50" i="23"/>
  <c r="D49" i="23"/>
  <c r="C49" i="23"/>
  <c r="B49" i="23"/>
  <c r="A49" i="23"/>
  <c r="D48" i="23"/>
  <c r="C48" i="23"/>
  <c r="B48" i="23"/>
  <c r="A48" i="23"/>
  <c r="D47" i="23"/>
  <c r="C47" i="23"/>
  <c r="B47" i="23"/>
  <c r="A47" i="23"/>
  <c r="D46" i="23"/>
  <c r="C46" i="23"/>
  <c r="B46" i="23"/>
  <c r="A46" i="23"/>
  <c r="D45" i="23"/>
  <c r="C45" i="23"/>
  <c r="B45" i="23"/>
  <c r="A45" i="23"/>
  <c r="D44" i="23"/>
  <c r="C44" i="23"/>
  <c r="B44" i="23"/>
  <c r="A44" i="23"/>
  <c r="D43" i="23"/>
  <c r="C43" i="23"/>
  <c r="B43" i="23"/>
  <c r="A43" i="23"/>
  <c r="D42" i="23"/>
  <c r="C42" i="23"/>
  <c r="B42" i="23"/>
  <c r="A42" i="23"/>
  <c r="D41" i="23"/>
  <c r="C41" i="23"/>
  <c r="B41" i="23"/>
  <c r="A41" i="23"/>
  <c r="D40" i="23"/>
  <c r="C40" i="23"/>
  <c r="B40" i="23"/>
  <c r="A40" i="23"/>
  <c r="D39" i="23"/>
  <c r="C39" i="23"/>
  <c r="B39" i="23"/>
  <c r="A39" i="23"/>
  <c r="D38" i="23"/>
  <c r="C38" i="23"/>
  <c r="B38" i="23"/>
  <c r="A38" i="23"/>
  <c r="D37" i="23"/>
  <c r="C37" i="23"/>
  <c r="B37" i="23"/>
  <c r="A37" i="23"/>
  <c r="D36" i="23"/>
  <c r="C36" i="23"/>
  <c r="B36" i="23"/>
  <c r="A36" i="23"/>
  <c r="D35" i="23"/>
  <c r="C35" i="23"/>
  <c r="B35" i="23"/>
  <c r="A35" i="23"/>
  <c r="D34" i="23"/>
  <c r="C34" i="23"/>
  <c r="B34" i="23"/>
  <c r="A34" i="23"/>
  <c r="D33" i="23"/>
  <c r="C33" i="23"/>
  <c r="B33" i="23"/>
  <c r="A33" i="23"/>
  <c r="D32" i="23"/>
  <c r="C32" i="23"/>
  <c r="B32" i="23"/>
  <c r="A32" i="23"/>
  <c r="D31" i="23"/>
  <c r="C31" i="23"/>
  <c r="B31" i="23"/>
  <c r="A31" i="23"/>
  <c r="D30" i="23"/>
  <c r="C30" i="23"/>
  <c r="B30" i="23"/>
  <c r="A30" i="23"/>
  <c r="D29" i="23"/>
  <c r="C29" i="23"/>
  <c r="B29" i="23"/>
  <c r="A29" i="23"/>
  <c r="D28" i="23"/>
  <c r="C28" i="23"/>
  <c r="B28" i="23"/>
  <c r="A28" i="23"/>
  <c r="D27" i="23"/>
  <c r="C27" i="23"/>
  <c r="B27" i="23"/>
  <c r="A27" i="23"/>
  <c r="D26" i="23"/>
  <c r="C26" i="23"/>
  <c r="B26" i="23"/>
  <c r="A26" i="23"/>
  <c r="D25" i="23"/>
  <c r="C25" i="23"/>
  <c r="B25" i="23"/>
  <c r="A25" i="23"/>
  <c r="D24" i="23"/>
  <c r="C24" i="23"/>
  <c r="B24" i="23"/>
  <c r="B77" i="23" s="1"/>
  <c r="A24" i="23"/>
  <c r="D23" i="23"/>
  <c r="C23" i="23"/>
  <c r="B23" i="23"/>
  <c r="A23" i="23"/>
  <c r="D22" i="23"/>
  <c r="C22" i="23"/>
  <c r="B22" i="23"/>
  <c r="A22" i="23"/>
  <c r="D21" i="23"/>
  <c r="C21" i="23"/>
  <c r="B21" i="23"/>
  <c r="A21" i="23"/>
  <c r="D20" i="23"/>
  <c r="C20" i="23"/>
  <c r="B20" i="23"/>
  <c r="A20" i="23"/>
  <c r="D19" i="23"/>
  <c r="C19" i="23"/>
  <c r="B19" i="23"/>
  <c r="A19" i="23"/>
  <c r="D18" i="23"/>
  <c r="C18" i="23"/>
  <c r="B18" i="23"/>
  <c r="A18" i="23"/>
  <c r="D17" i="23"/>
  <c r="C17" i="23"/>
  <c r="B17" i="23"/>
  <c r="A17" i="23"/>
  <c r="D16" i="23"/>
  <c r="C16" i="23"/>
  <c r="B16" i="23"/>
  <c r="A16" i="23"/>
  <c r="D15" i="23"/>
  <c r="C15" i="23"/>
  <c r="B15" i="23"/>
  <c r="A15" i="23"/>
  <c r="D14" i="23"/>
  <c r="C14" i="23"/>
  <c r="B14" i="23"/>
  <c r="A14" i="23"/>
  <c r="D13" i="23"/>
  <c r="C13" i="23"/>
  <c r="B13" i="23"/>
  <c r="A13" i="23"/>
  <c r="D12" i="23"/>
  <c r="C12" i="23"/>
  <c r="B12" i="23"/>
  <c r="A12" i="23"/>
  <c r="D11" i="23"/>
  <c r="C11" i="23"/>
  <c r="B11" i="23"/>
  <c r="A11" i="23"/>
  <c r="D10" i="23"/>
  <c r="C10" i="23"/>
  <c r="B10" i="23"/>
  <c r="A10" i="23"/>
  <c r="D9" i="23"/>
  <c r="C9" i="23"/>
  <c r="B9" i="23"/>
  <c r="A9" i="23"/>
  <c r="D8" i="23"/>
  <c r="C8" i="23"/>
  <c r="B8" i="23"/>
  <c r="A8" i="23"/>
  <c r="D7" i="23"/>
  <c r="C7" i="23"/>
  <c r="B7" i="23"/>
  <c r="A7" i="23"/>
  <c r="D6" i="23"/>
  <c r="C6" i="23"/>
  <c r="B6" i="23"/>
  <c r="A6" i="23"/>
  <c r="D5" i="23"/>
  <c r="C5" i="23"/>
  <c r="B5" i="23"/>
  <c r="A5" i="23"/>
  <c r="D4" i="23"/>
  <c r="C4" i="23"/>
  <c r="B4" i="23"/>
  <c r="A4" i="23"/>
  <c r="D3" i="23"/>
  <c r="C3" i="23"/>
  <c r="B3" i="23"/>
  <c r="A3" i="23"/>
  <c r="D2" i="23"/>
  <c r="C2" i="23"/>
  <c r="B2" i="23"/>
  <c r="A2" i="23"/>
  <c r="D1" i="23"/>
  <c r="C1" i="23"/>
  <c r="B1" i="23"/>
  <c r="A1" i="23"/>
  <c r="D1" i="21"/>
  <c r="E1" i="21"/>
  <c r="D2" i="21"/>
  <c r="E2" i="21"/>
  <c r="D3" i="21"/>
  <c r="E3" i="21"/>
  <c r="D4" i="21"/>
  <c r="E4" i="21"/>
  <c r="D5" i="21"/>
  <c r="E5" i="21"/>
  <c r="D6" i="21"/>
  <c r="E6" i="21"/>
  <c r="D7" i="21"/>
  <c r="E7" i="21"/>
  <c r="D8" i="21"/>
  <c r="E8" i="21"/>
  <c r="D9" i="21"/>
  <c r="E9" i="21"/>
  <c r="D10" i="21"/>
  <c r="E10" i="21"/>
  <c r="D11" i="21"/>
  <c r="E11" i="21"/>
  <c r="D12" i="21"/>
  <c r="E12" i="21"/>
  <c r="D13" i="21"/>
  <c r="E13" i="21"/>
  <c r="D14" i="21"/>
  <c r="E14" i="21"/>
  <c r="D15" i="21"/>
  <c r="E15" i="21"/>
  <c r="D16" i="21"/>
  <c r="E16" i="21"/>
  <c r="D17" i="21"/>
  <c r="E17" i="21"/>
  <c r="D18" i="21"/>
  <c r="E18" i="21"/>
  <c r="D19" i="21"/>
  <c r="E19" i="21"/>
  <c r="D20" i="21"/>
  <c r="E20" i="21"/>
  <c r="D21" i="21"/>
  <c r="E21" i="21"/>
  <c r="D22" i="21"/>
  <c r="E22" i="21"/>
  <c r="D23" i="21"/>
  <c r="E23" i="21"/>
  <c r="D24" i="21"/>
  <c r="E24" i="21"/>
  <c r="D25" i="21"/>
  <c r="E25" i="21"/>
  <c r="D26" i="21"/>
  <c r="E26" i="21"/>
  <c r="D27" i="21"/>
  <c r="E27" i="21"/>
  <c r="D28" i="21"/>
  <c r="E28" i="21"/>
  <c r="D29" i="21"/>
  <c r="E29" i="21"/>
  <c r="D30" i="21"/>
  <c r="E30" i="21"/>
  <c r="D31" i="21"/>
  <c r="E31" i="21"/>
  <c r="D32" i="21"/>
  <c r="E32" i="21"/>
  <c r="D33" i="21"/>
  <c r="E33" i="21"/>
  <c r="D34" i="21"/>
  <c r="E34" i="21"/>
  <c r="D35" i="21"/>
  <c r="E35" i="21"/>
  <c r="D36" i="21"/>
  <c r="E36" i="21"/>
  <c r="D37" i="21"/>
  <c r="E37" i="21"/>
  <c r="D38" i="21"/>
  <c r="E38" i="21"/>
  <c r="D39" i="21"/>
  <c r="E39" i="21"/>
  <c r="D40" i="21"/>
  <c r="E40" i="21"/>
  <c r="D41" i="21"/>
  <c r="E41" i="21"/>
  <c r="D42" i="21"/>
  <c r="E42" i="21"/>
  <c r="D43" i="21"/>
  <c r="E43" i="21"/>
  <c r="D44" i="21"/>
  <c r="E44" i="21"/>
  <c r="D45" i="21"/>
  <c r="E45" i="21"/>
  <c r="D46" i="21"/>
  <c r="E46" i="21"/>
  <c r="D47" i="21"/>
  <c r="E47" i="21"/>
  <c r="D48" i="21"/>
  <c r="E48" i="21"/>
  <c r="D49" i="21"/>
  <c r="E49" i="21"/>
  <c r="D50" i="21"/>
  <c r="E50" i="21"/>
  <c r="D51" i="21"/>
  <c r="E51" i="21"/>
  <c r="D52" i="21"/>
  <c r="E52" i="21"/>
  <c r="D53" i="21"/>
  <c r="E53" i="21"/>
  <c r="D54" i="21"/>
  <c r="E54" i="21"/>
  <c r="D55" i="21"/>
  <c r="E55" i="21"/>
  <c r="D56" i="21"/>
  <c r="E56" i="21"/>
  <c r="D57" i="21"/>
  <c r="E57" i="21"/>
  <c r="D58" i="21"/>
  <c r="E58" i="21"/>
  <c r="D59" i="21"/>
  <c r="E59" i="21"/>
  <c r="D60" i="21"/>
  <c r="E60" i="21"/>
  <c r="D61" i="21"/>
  <c r="E61" i="21"/>
  <c r="D62" i="21"/>
  <c r="E62" i="21"/>
  <c r="D63" i="21"/>
  <c r="E63" i="21"/>
  <c r="D64" i="21"/>
  <c r="E64" i="21"/>
  <c r="D65" i="21"/>
  <c r="E65" i="21"/>
  <c r="D66" i="21"/>
  <c r="E66" i="21"/>
  <c r="D67" i="21"/>
  <c r="E67" i="21"/>
  <c r="D68" i="21"/>
  <c r="E68" i="21"/>
  <c r="D69" i="21"/>
  <c r="E69" i="21"/>
  <c r="D70" i="21"/>
  <c r="E70" i="21"/>
  <c r="D71" i="21"/>
  <c r="E71" i="21"/>
  <c r="A1" i="21"/>
  <c r="A2" i="21"/>
  <c r="A3" i="21"/>
  <c r="A4"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B1" i="21"/>
  <c r="C1" i="21"/>
  <c r="B2" i="21"/>
  <c r="C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F6" i="18"/>
  <c r="G6" i="18"/>
  <c r="D1" i="19"/>
  <c r="D3" i="19"/>
  <c r="D4" i="19"/>
  <c r="D5" i="19"/>
  <c r="D6" i="19"/>
  <c r="D8" i="19"/>
  <c r="D9" i="19"/>
  <c r="D10" i="19"/>
  <c r="D13" i="19"/>
  <c r="D14" i="19"/>
  <c r="D15" i="19"/>
  <c r="D16" i="19"/>
  <c r="D17" i="19"/>
  <c r="D20" i="19"/>
  <c r="D22" i="19"/>
  <c r="D23" i="19"/>
  <c r="B1" i="19"/>
  <c r="B2" i="19"/>
  <c r="B3" i="19"/>
  <c r="B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G20" i="26" l="1"/>
  <c r="H77" i="23"/>
  <c r="G5" i="26"/>
  <c r="G2" i="26"/>
  <c r="G15" i="26"/>
  <c r="F5" i="26"/>
  <c r="F2" i="26"/>
  <c r="E5" i="18"/>
  <c r="B76" i="23"/>
  <c r="D76" i="23"/>
  <c r="G76" i="23"/>
  <c r="E6" i="18"/>
  <c r="E76" i="23"/>
  <c r="G77" i="23"/>
  <c r="F20" i="26"/>
  <c r="C76" i="23"/>
  <c r="C77" i="23"/>
  <c r="H76" i="23"/>
  <c r="D77" i="23"/>
  <c r="E77" i="23"/>
  <c r="F76" i="23"/>
  <c r="G8" i="26"/>
  <c r="G4" i="26"/>
  <c r="F77" i="23"/>
  <c r="F8" i="26"/>
  <c r="F4" i="26"/>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G24" i="26" l="1"/>
  <c r="G5" i="25" s="1"/>
  <c r="G25" i="26"/>
  <c r="F24" i="26"/>
  <c r="F5" i="25" s="1"/>
  <c r="K8" i="17"/>
  <c r="L8" i="17"/>
  <c r="J8" i="17"/>
  <c r="J9" i="17"/>
  <c r="J10" i="17"/>
  <c r="J11" i="17"/>
  <c r="J12" i="17"/>
  <c r="J13" i="17"/>
  <c r="J14" i="17"/>
  <c r="J15" i="17"/>
  <c r="J16" i="17"/>
  <c r="J17" i="17"/>
  <c r="J18" i="17"/>
  <c r="J19" i="17"/>
  <c r="J20" i="17"/>
  <c r="J21" i="17"/>
  <c r="J22" i="17"/>
  <c r="J23" i="17"/>
  <c r="J24" i="17"/>
  <c r="J25" i="17"/>
  <c r="J26" i="17"/>
  <c r="J27" i="17"/>
  <c r="J28" i="17"/>
  <c r="J29" i="17"/>
  <c r="J30" i="17"/>
  <c r="I8" i="17"/>
  <c r="I9" i="17"/>
  <c r="I10" i="17"/>
  <c r="I11" i="17"/>
  <c r="I12" i="17"/>
  <c r="I13" i="17"/>
  <c r="I14" i="17"/>
  <c r="I15" i="17"/>
  <c r="I16" i="17"/>
  <c r="I17" i="17"/>
  <c r="I18" i="17"/>
  <c r="I19" i="17"/>
  <c r="I20" i="17"/>
  <c r="I21" i="17"/>
  <c r="I22" i="17"/>
  <c r="I23" i="17"/>
  <c r="I24" i="17"/>
  <c r="I25" i="17"/>
  <c r="I26" i="17"/>
  <c r="I27" i="17"/>
  <c r="I28" i="17"/>
  <c r="I29" i="17"/>
  <c r="I30" i="17"/>
  <c r="G2" i="17"/>
  <c r="B2" i="17"/>
  <c r="ER21" i="126"/>
  <c r="ER20" i="126"/>
  <c r="L27" i="17" s="1"/>
  <c r="EQ20" i="126"/>
  <c r="K27" i="17" s="1"/>
  <c r="ER19" i="126"/>
  <c r="ER18" i="126"/>
  <c r="ER17" i="126"/>
  <c r="L24" i="17" s="1"/>
  <c r="EQ17" i="126"/>
  <c r="K24" i="17" s="1"/>
  <c r="ER16" i="126"/>
  <c r="L23" i="17" s="1"/>
  <c r="EQ16" i="126"/>
  <c r="K23" i="17" s="1"/>
  <c r="ER15" i="126"/>
  <c r="L22" i="17" s="1"/>
  <c r="EQ15" i="126"/>
  <c r="K22" i="17" s="1"/>
  <c r="ER14" i="126"/>
  <c r="L21" i="17" s="1"/>
  <c r="EQ14" i="126"/>
  <c r="K21" i="17" s="1"/>
  <c r="ER13" i="126"/>
  <c r="L20" i="17" s="1"/>
  <c r="EQ13" i="126"/>
  <c r="K20" i="17" s="1"/>
  <c r="ER12" i="126"/>
  <c r="ER10" i="126"/>
  <c r="L17" i="17" s="1"/>
  <c r="EQ10" i="126"/>
  <c r="K17" i="17" s="1"/>
  <c r="ER9" i="126"/>
  <c r="L16" i="17" s="1"/>
  <c r="EQ9" i="126"/>
  <c r="K16" i="17" s="1"/>
  <c r="ER8" i="126"/>
  <c r="L15" i="17" s="1"/>
  <c r="EQ8" i="126"/>
  <c r="K15" i="17" s="1"/>
  <c r="ER7" i="126"/>
  <c r="ER6" i="126"/>
  <c r="L13" i="17" s="1"/>
  <c r="EQ6" i="126"/>
  <c r="K13" i="17" s="1"/>
  <c r="ER5" i="126"/>
  <c r="L12" i="17" s="1"/>
  <c r="EQ5" i="126"/>
  <c r="K12" i="17" s="1"/>
  <c r="ER4" i="126"/>
  <c r="L11" i="17" s="1"/>
  <c r="EQ4" i="126"/>
  <c r="K11" i="17" s="1"/>
  <c r="ER3" i="126"/>
  <c r="L10" i="17" s="1"/>
  <c r="EQ3" i="126"/>
  <c r="K10" i="17" s="1"/>
  <c r="EQ23" i="126"/>
  <c r="K30" i="17" s="1"/>
  <c r="ER23" i="126"/>
  <c r="L30" i="17" s="1"/>
  <c r="ER22" i="126"/>
  <c r="L29" i="17" s="1"/>
  <c r="EQ22" i="126"/>
  <c r="K29" i="17" s="1"/>
  <c r="F25" i="26" l="1"/>
  <c r="G3" i="17"/>
  <c r="G4" i="17"/>
  <c r="B3" i="17"/>
  <c r="D3" i="17"/>
  <c r="F3" i="17"/>
  <c r="B4" i="17"/>
  <c r="D4" i="17"/>
  <c r="F4" i="17"/>
  <c r="C3" i="17"/>
  <c r="E3" i="17"/>
  <c r="C4" i="17"/>
  <c r="E4" i="17"/>
  <c r="O12" i="11"/>
  <c r="O13" i="11"/>
  <c r="O14" i="11"/>
  <c r="O15" i="11"/>
  <c r="O16" i="11"/>
  <c r="O17" i="11"/>
  <c r="O18" i="11"/>
  <c r="O19" i="11"/>
  <c r="O20" i="11"/>
  <c r="O21" i="11"/>
  <c r="O22" i="11"/>
  <c r="O23" i="11"/>
  <c r="O24" i="11"/>
  <c r="O25" i="11"/>
  <c r="O26" i="11"/>
  <c r="O27" i="11"/>
  <c r="O28" i="11"/>
  <c r="O29" i="11"/>
  <c r="O30" i="11"/>
  <c r="O31" i="11"/>
  <c r="O32" i="11"/>
  <c r="O33" i="11"/>
  <c r="O34" i="11"/>
  <c r="P12" i="11"/>
  <c r="P13" i="11"/>
  <c r="P14" i="11"/>
  <c r="P15" i="11"/>
  <c r="T15" i="11" s="1"/>
  <c r="P16" i="11"/>
  <c r="P17" i="11"/>
  <c r="P18" i="11"/>
  <c r="P19" i="11"/>
  <c r="P20" i="11"/>
  <c r="P21" i="11"/>
  <c r="P22" i="11"/>
  <c r="P23" i="11"/>
  <c r="P24" i="11"/>
  <c r="P25" i="11"/>
  <c r="P26" i="11"/>
  <c r="P27" i="11"/>
  <c r="P28" i="11"/>
  <c r="P29" i="11"/>
  <c r="P30" i="11"/>
  <c r="P31" i="11"/>
  <c r="T31" i="11" s="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L12" i="11"/>
  <c r="L13" i="11"/>
  <c r="L14" i="11"/>
  <c r="L15" i="11"/>
  <c r="L16" i="11"/>
  <c r="L17" i="11"/>
  <c r="L18" i="11"/>
  <c r="L19" i="11"/>
  <c r="L20" i="11"/>
  <c r="L21" i="11"/>
  <c r="L22" i="11"/>
  <c r="L23" i="11"/>
  <c r="L24" i="11"/>
  <c r="L25" i="11"/>
  <c r="L26" i="11"/>
  <c r="L27" i="11"/>
  <c r="L28" i="11"/>
  <c r="L29" i="11"/>
  <c r="L30" i="11"/>
  <c r="L31" i="11"/>
  <c r="L32" i="11"/>
  <c r="L33" i="11"/>
  <c r="L34"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G2" i="11"/>
  <c r="B2" i="11"/>
  <c r="Q3" i="15"/>
  <c r="Q4" i="15"/>
  <c r="Q5" i="15"/>
  <c r="Q6" i="15"/>
  <c r="Q7" i="15"/>
  <c r="Q8" i="15"/>
  <c r="Q9" i="15"/>
  <c r="Q10" i="15"/>
  <c r="Q11" i="15"/>
  <c r="Q12" i="15"/>
  <c r="Q13" i="15"/>
  <c r="Q14" i="15"/>
  <c r="Q15" i="15"/>
  <c r="Q16" i="15"/>
  <c r="Q17" i="15"/>
  <c r="Q18" i="15"/>
  <c r="AS40" i="126"/>
  <c r="K31" i="15" s="1"/>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EQ25" i="126"/>
  <c r="EQ26" i="126"/>
  <c r="EQ27" i="126"/>
  <c r="EQ28" i="126"/>
  <c r="EQ29" i="126"/>
  <c r="EQ30" i="126"/>
  <c r="EQ31" i="126"/>
  <c r="EQ32" i="126"/>
  <c r="EQ33" i="126"/>
  <c r="EQ34" i="126"/>
  <c r="EQ35" i="126"/>
  <c r="EQ36" i="126"/>
  <c r="EQ37" i="126"/>
  <c r="EQ38" i="126"/>
  <c r="EQ39" i="126"/>
  <c r="EQ40" i="126"/>
  <c r="EQ41" i="126"/>
  <c r="EQ42" i="126"/>
  <c r="EQ43" i="126"/>
  <c r="EQ44" i="126"/>
  <c r="EQ45" i="126"/>
  <c r="EQ46" i="126"/>
  <c r="EQ47" i="126"/>
  <c r="EQ48" i="126"/>
  <c r="EQ49" i="126"/>
  <c r="EQ50" i="126"/>
  <c r="EQ51" i="126"/>
  <c r="EQ52" i="126"/>
  <c r="EQ53" i="126"/>
  <c r="EQ54" i="126"/>
  <c r="EQ55" i="126"/>
  <c r="EQ56" i="126"/>
  <c r="EQ57" i="126"/>
  <c r="EQ58" i="126"/>
  <c r="EQ59" i="126"/>
  <c r="EQ60" i="126"/>
  <c r="EQ61" i="126"/>
  <c r="EQ62" i="126"/>
  <c r="EQ63" i="126"/>
  <c r="EQ64" i="126"/>
  <c r="EQ65" i="126"/>
  <c r="EQ66" i="126"/>
  <c r="EQ67" i="126"/>
  <c r="EQ68" i="126"/>
  <c r="EQ69" i="126"/>
  <c r="EQ70" i="126"/>
  <c r="EQ71" i="126"/>
  <c r="EQ72" i="126"/>
  <c r="EQ73" i="126"/>
  <c r="EQ74" i="126"/>
  <c r="EQ75" i="126"/>
  <c r="EQ24" i="126"/>
  <c r="N3" i="15"/>
  <c r="N4" i="15"/>
  <c r="N5" i="15"/>
  <c r="N6" i="15"/>
  <c r="N7" i="15"/>
  <c r="N8" i="15"/>
  <c r="N9" i="15"/>
  <c r="N10" i="15"/>
  <c r="N11" i="15"/>
  <c r="N12" i="15"/>
  <c r="N13" i="15"/>
  <c r="N14" i="15"/>
  <c r="N15" i="15"/>
  <c r="N16" i="15"/>
  <c r="N17" i="15"/>
  <c r="N18" i="15"/>
  <c r="N19" i="15"/>
  <c r="M11" i="15"/>
  <c r="M3" i="15"/>
  <c r="M4" i="15"/>
  <c r="M5" i="15"/>
  <c r="M6" i="15"/>
  <c r="M7" i="15"/>
  <c r="M8" i="15"/>
  <c r="M9" i="15"/>
  <c r="M10" i="15"/>
  <c r="M12" i="15"/>
  <c r="M13" i="15"/>
  <c r="M14" i="15"/>
  <c r="M15" i="15"/>
  <c r="M16" i="15"/>
  <c r="M17" i="15"/>
  <c r="M18" i="15"/>
  <c r="M19" i="15"/>
  <c r="L3" i="15"/>
  <c r="L4" i="15"/>
  <c r="L5" i="15"/>
  <c r="L6" i="15"/>
  <c r="L7" i="15"/>
  <c r="L8" i="15"/>
  <c r="L9" i="15"/>
  <c r="L10" i="15"/>
  <c r="L11" i="15"/>
  <c r="L12" i="15"/>
  <c r="L13" i="15"/>
  <c r="L14" i="15"/>
  <c r="L15" i="15"/>
  <c r="L16" i="15"/>
  <c r="L17" i="15"/>
  <c r="L18" i="15"/>
  <c r="L19" i="15"/>
  <c r="K3" i="15"/>
  <c r="K4" i="15"/>
  <c r="K5" i="15"/>
  <c r="K6" i="15"/>
  <c r="K7" i="15"/>
  <c r="K8" i="15"/>
  <c r="K9" i="15"/>
  <c r="K10" i="15"/>
  <c r="K11" i="15"/>
  <c r="K12" i="15"/>
  <c r="K13" i="15"/>
  <c r="K14" i="15"/>
  <c r="K15" i="15"/>
  <c r="K16" i="15"/>
  <c r="K17" i="15"/>
  <c r="K18" i="15"/>
  <c r="K19" i="15"/>
  <c r="I3" i="15"/>
  <c r="I4"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J3" i="15"/>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G2" i="15"/>
  <c r="B2" i="15"/>
  <c r="N3" i="9"/>
  <c r="N4" i="9"/>
  <c r="N5" i="9"/>
  <c r="N11" i="9"/>
  <c r="N12" i="9"/>
  <c r="N13" i="9"/>
  <c r="N14" i="9"/>
  <c r="N15" i="9"/>
  <c r="N16" i="9"/>
  <c r="N17" i="9"/>
  <c r="N18" i="9"/>
  <c r="N19" i="9"/>
  <c r="N20" i="9"/>
  <c r="N21" i="9"/>
  <c r="N22" i="9"/>
  <c r="N23" i="9"/>
  <c r="N24" i="9"/>
  <c r="N25" i="9"/>
  <c r="N26" i="9"/>
  <c r="N27" i="9"/>
  <c r="N28" i="9"/>
  <c r="N29" i="9"/>
  <c r="N30" i="9"/>
  <c r="N31" i="9"/>
  <c r="N32" i="9"/>
  <c r="N33" i="9"/>
  <c r="M17" i="9"/>
  <c r="M18" i="9"/>
  <c r="M19" i="9"/>
  <c r="M20" i="9"/>
  <c r="M21" i="9"/>
  <c r="M22" i="9"/>
  <c r="M23" i="9"/>
  <c r="M24" i="9"/>
  <c r="M25" i="9"/>
  <c r="M26" i="9"/>
  <c r="M27" i="9"/>
  <c r="M28" i="9"/>
  <c r="M29" i="9"/>
  <c r="M30" i="9"/>
  <c r="M31" i="9"/>
  <c r="M32" i="9"/>
  <c r="M33" i="9"/>
  <c r="M3" i="9"/>
  <c r="M4" i="9"/>
  <c r="M5" i="9"/>
  <c r="M11" i="9"/>
  <c r="M12" i="9"/>
  <c r="M13" i="9"/>
  <c r="M14" i="9"/>
  <c r="M15" i="9"/>
  <c r="M16" i="9"/>
  <c r="J3" i="9"/>
  <c r="J4" i="9"/>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I3" i="9"/>
  <c r="I4" i="9"/>
  <c r="I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K3" i="9"/>
  <c r="L3" i="9"/>
  <c r="K4" i="9"/>
  <c r="L4" i="9"/>
  <c r="K5" i="9"/>
  <c r="L5" i="9"/>
  <c r="K6" i="9"/>
  <c r="L6" i="9"/>
  <c r="K7" i="9"/>
  <c r="L7"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G2" i="9"/>
  <c r="B2" i="9"/>
  <c r="T24" i="11" l="1"/>
  <c r="T16" i="11"/>
  <c r="P29" i="9"/>
  <c r="P4" i="9"/>
  <c r="T17" i="11"/>
  <c r="P11" i="9"/>
  <c r="T36" i="11"/>
  <c r="S19" i="11"/>
  <c r="T37" i="11"/>
  <c r="T27" i="11"/>
  <c r="T19" i="11"/>
  <c r="P26" i="9"/>
  <c r="S26" i="9"/>
  <c r="O18" i="9"/>
  <c r="O10" i="9"/>
  <c r="P14" i="9"/>
  <c r="R57" i="11"/>
  <c r="R49" i="11"/>
  <c r="R41" i="11"/>
  <c r="R25" i="11"/>
  <c r="R17" i="11"/>
  <c r="Q24" i="11"/>
  <c r="Q16" i="11"/>
  <c r="S28" i="11"/>
  <c r="P13" i="9"/>
  <c r="P22" i="9"/>
  <c r="Q28" i="11"/>
  <c r="Q20" i="11"/>
  <c r="T14" i="11"/>
  <c r="Q34" i="11"/>
  <c r="Q26" i="11"/>
  <c r="T28" i="11"/>
  <c r="T20" i="11"/>
  <c r="T34" i="11"/>
  <c r="T26" i="11"/>
  <c r="P27" i="9"/>
  <c r="Q14" i="11"/>
  <c r="Q27" i="11"/>
  <c r="R81" i="11"/>
  <c r="R75" i="11"/>
  <c r="R61" i="11"/>
  <c r="R53" i="11"/>
  <c r="R45" i="11"/>
  <c r="R37" i="11"/>
  <c r="R33" i="11"/>
  <c r="R19" i="11"/>
  <c r="T79" i="11"/>
  <c r="T71" i="11"/>
  <c r="T55" i="11"/>
  <c r="T47" i="11"/>
  <c r="T39" i="11"/>
  <c r="S24" i="11"/>
  <c r="S20" i="11"/>
  <c r="S14" i="11"/>
  <c r="R80" i="11"/>
  <c r="R72" i="11"/>
  <c r="R62" i="11"/>
  <c r="R60" i="11"/>
  <c r="R54" i="11"/>
  <c r="R52" i="11"/>
  <c r="R46" i="11"/>
  <c r="R44" i="11"/>
  <c r="R38" i="11"/>
  <c r="R36" i="11"/>
  <c r="R24" i="11"/>
  <c r="R20" i="11"/>
  <c r="T80" i="11"/>
  <c r="T78" i="11"/>
  <c r="T58" i="11"/>
  <c r="T56" i="11"/>
  <c r="T48" i="11"/>
  <c r="T46" i="11"/>
  <c r="T38" i="11"/>
  <c r="S15" i="11"/>
  <c r="O33" i="9"/>
  <c r="O32" i="9"/>
  <c r="O31" i="9"/>
  <c r="O30" i="9"/>
  <c r="O29" i="9"/>
  <c r="Q29" i="9" s="1"/>
  <c r="O28" i="9"/>
  <c r="O27" i="9"/>
  <c r="O25" i="9"/>
  <c r="O24" i="9"/>
  <c r="O23" i="9"/>
  <c r="O21" i="9"/>
  <c r="O20" i="9"/>
  <c r="O19" i="9"/>
  <c r="O17" i="9"/>
  <c r="O16" i="9"/>
  <c r="O15" i="9"/>
  <c r="O13" i="9"/>
  <c r="O12" i="9"/>
  <c r="O11" i="9"/>
  <c r="O9" i="9"/>
  <c r="O8" i="9"/>
  <c r="O5" i="9"/>
  <c r="O4" i="9"/>
  <c r="R15" i="9"/>
  <c r="R5" i="9"/>
  <c r="R30" i="9"/>
  <c r="S33" i="9"/>
  <c r="S31" i="9"/>
  <c r="S29" i="9"/>
  <c r="S27" i="9"/>
  <c r="S19" i="9"/>
  <c r="S18" i="9"/>
  <c r="R21" i="9"/>
  <c r="R19" i="9"/>
  <c r="Q33" i="11"/>
  <c r="Q31" i="11"/>
  <c r="Q25" i="11"/>
  <c r="Q21" i="11"/>
  <c r="Q19" i="11"/>
  <c r="Q17" i="11"/>
  <c r="Q15" i="11"/>
  <c r="R79" i="11"/>
  <c r="R73" i="11"/>
  <c r="R69" i="11"/>
  <c r="R67" i="11"/>
  <c r="R65" i="11"/>
  <c r="R63" i="11"/>
  <c r="R59" i="11"/>
  <c r="R55" i="11"/>
  <c r="R51" i="11"/>
  <c r="R47" i="11"/>
  <c r="R43" i="11"/>
  <c r="R39" i="11"/>
  <c r="R35" i="11"/>
  <c r="R31" i="11"/>
  <c r="R27" i="11"/>
  <c r="R15" i="11"/>
  <c r="R13" i="11"/>
  <c r="T77" i="11"/>
  <c r="T75" i="11"/>
  <c r="T67" i="11"/>
  <c r="T63" i="11"/>
  <c r="T61" i="11"/>
  <c r="T51" i="11"/>
  <c r="T49" i="11"/>
  <c r="T43" i="11"/>
  <c r="T41" i="11"/>
  <c r="S34" i="11"/>
  <c r="S26" i="11"/>
  <c r="S16" i="11"/>
  <c r="S23" i="9"/>
  <c r="S21" i="9"/>
  <c r="S15" i="9"/>
  <c r="S13" i="9"/>
  <c r="S11" i="9"/>
  <c r="S5" i="9"/>
  <c r="R78" i="11"/>
  <c r="R76" i="11"/>
  <c r="R74" i="11"/>
  <c r="R70" i="11"/>
  <c r="R68" i="11"/>
  <c r="R66" i="11"/>
  <c r="R58" i="11"/>
  <c r="R56" i="11"/>
  <c r="R50" i="11"/>
  <c r="R48" i="11"/>
  <c r="R42" i="11"/>
  <c r="R40" i="11"/>
  <c r="R34" i="11"/>
  <c r="R28" i="11"/>
  <c r="R26" i="11"/>
  <c r="R16" i="11"/>
  <c r="R14" i="11"/>
  <c r="T76" i="11"/>
  <c r="T74" i="11"/>
  <c r="T72" i="11"/>
  <c r="T66" i="11"/>
  <c r="T64" i="11"/>
  <c r="T62" i="11"/>
  <c r="T60" i="11"/>
  <c r="T54" i="11"/>
  <c r="T52" i="11"/>
  <c r="T50" i="11"/>
  <c r="T44" i="11"/>
  <c r="T42" i="11"/>
  <c r="T40" i="11"/>
  <c r="S31" i="11"/>
  <c r="S27" i="11"/>
  <c r="S21" i="11"/>
  <c r="S17" i="11"/>
  <c r="P16" i="15"/>
  <c r="P14" i="15"/>
  <c r="P15" i="15"/>
  <c r="P6" i="15"/>
  <c r="O19" i="15"/>
  <c r="O11" i="15"/>
  <c r="P5" i="15"/>
  <c r="P13" i="15"/>
  <c r="O12" i="15"/>
  <c r="P4" i="15"/>
  <c r="P8" i="15"/>
  <c r="P7" i="15"/>
  <c r="P18" i="15"/>
  <c r="P10" i="15"/>
  <c r="P17" i="15"/>
  <c r="P9" i="15"/>
  <c r="O18" i="15"/>
  <c r="O10" i="15"/>
  <c r="P12" i="15"/>
  <c r="O17" i="15"/>
  <c r="O9" i="15"/>
  <c r="P19" i="15"/>
  <c r="P11" i="15"/>
  <c r="O16" i="15"/>
  <c r="O8" i="15"/>
  <c r="O15" i="15"/>
  <c r="O7" i="15"/>
  <c r="O14" i="15"/>
  <c r="O6" i="15"/>
  <c r="O13" i="15"/>
  <c r="O5" i="15"/>
  <c r="R32" i="9"/>
  <c r="R24" i="9"/>
  <c r="P15" i="9"/>
  <c r="R31" i="9"/>
  <c r="O7" i="9"/>
  <c r="R16" i="9"/>
  <c r="P31" i="9"/>
  <c r="P23" i="9"/>
  <c r="S32" i="9"/>
  <c r="S24" i="9"/>
  <c r="S16" i="9"/>
  <c r="P32" i="9"/>
  <c r="O26" i="9"/>
  <c r="Q26" i="9" s="1"/>
  <c r="R20" i="9"/>
  <c r="S25" i="9"/>
  <c r="S17" i="9"/>
  <c r="R12" i="9"/>
  <c r="P19" i="9"/>
  <c r="S28" i="9"/>
  <c r="S20" i="9"/>
  <c r="S12" i="9"/>
  <c r="S4" i="9"/>
  <c r="R14" i="9"/>
  <c r="S22" i="9"/>
  <c r="P24" i="9"/>
  <c r="R18" i="9"/>
  <c r="P5" i="9"/>
  <c r="R23" i="9"/>
  <c r="S30" i="9"/>
  <c r="S14" i="9"/>
  <c r="R27" i="9"/>
  <c r="O22" i="9"/>
  <c r="O14" i="9"/>
  <c r="O6" i="9"/>
  <c r="R28" i="9"/>
  <c r="R33" i="9"/>
  <c r="P25" i="9"/>
  <c r="R17" i="9"/>
  <c r="P33" i="9"/>
  <c r="P18" i="9"/>
  <c r="R22" i="9"/>
  <c r="R11" i="9"/>
  <c r="P21" i="9"/>
  <c r="P12" i="9"/>
  <c r="R4" i="9"/>
  <c r="R26" i="9"/>
  <c r="P20" i="9"/>
  <c r="P17" i="9"/>
  <c r="P30" i="9"/>
  <c r="R29" i="9"/>
  <c r="R25" i="9"/>
  <c r="R13" i="9"/>
  <c r="P28" i="9"/>
  <c r="P16" i="9"/>
  <c r="D4" i="12"/>
  <c r="E4" i="12"/>
  <c r="F4" i="12"/>
  <c r="G4" i="12"/>
  <c r="F5" i="12"/>
  <c r="G5" i="12"/>
  <c r="E6" i="12"/>
  <c r="F6" i="12"/>
  <c r="G6" i="12"/>
  <c r="D7" i="12"/>
  <c r="E7" i="12"/>
  <c r="F7" i="12"/>
  <c r="G7" i="12"/>
  <c r="F3" i="13"/>
  <c r="D6" i="12" s="1"/>
  <c r="G2" i="13"/>
  <c r="E5" i="12" s="1"/>
  <c r="D5" i="12"/>
  <c r="G13" i="6"/>
  <c r="J8" i="7"/>
  <c r="H11" i="6" s="1"/>
  <c r="J9" i="7"/>
  <c r="H12" i="6" s="1"/>
  <c r="I3" i="7"/>
  <c r="G6" i="6" s="1"/>
  <c r="I4" i="7"/>
  <c r="J4" i="7" s="1"/>
  <c r="H7" i="6" s="1"/>
  <c r="I5" i="7"/>
  <c r="I6" i="7"/>
  <c r="I7" i="7"/>
  <c r="I8" i="7"/>
  <c r="I9" i="7"/>
  <c r="G12" i="6" s="1"/>
  <c r="I10" i="7"/>
  <c r="I11" i="7"/>
  <c r="G14" i="6" s="1"/>
  <c r="I2" i="7"/>
  <c r="Q4" i="9" l="1"/>
  <c r="Q24" i="9"/>
  <c r="Q12" i="9"/>
  <c r="Q32" i="9"/>
  <c r="Q5" i="9"/>
  <c r="Q17" i="9"/>
  <c r="Q18" i="9"/>
  <c r="Q22" i="9"/>
  <c r="Q11" i="9"/>
  <c r="Q28" i="9"/>
  <c r="E6" i="11"/>
  <c r="C8" i="11"/>
  <c r="Q13" i="9"/>
  <c r="E7" i="11"/>
  <c r="F6" i="11"/>
  <c r="Q23" i="9"/>
  <c r="Q27" i="9"/>
  <c r="Q31" i="9"/>
  <c r="Q25" i="9"/>
  <c r="C3" i="11"/>
  <c r="Q33" i="9"/>
  <c r="Q21" i="9"/>
  <c r="B8" i="11"/>
  <c r="F4" i="11"/>
  <c r="G7" i="11"/>
  <c r="G5" i="11"/>
  <c r="C7" i="11"/>
  <c r="F5" i="11"/>
  <c r="E5" i="11"/>
  <c r="D6" i="11"/>
  <c r="B5" i="11"/>
  <c r="G4" i="11"/>
  <c r="Q30" i="9"/>
  <c r="Q15" i="9"/>
  <c r="G6" i="11"/>
  <c r="E3" i="11"/>
  <c r="Q20" i="9"/>
  <c r="Q14" i="9"/>
  <c r="Q19" i="9"/>
  <c r="C6" i="11"/>
  <c r="B4" i="11"/>
  <c r="B3" i="11"/>
  <c r="N7" i="7"/>
  <c r="J10" i="6" s="1"/>
  <c r="N6" i="7"/>
  <c r="J9" i="6" s="1"/>
  <c r="G10" i="6"/>
  <c r="D8" i="11"/>
  <c r="D3" i="11"/>
  <c r="C4" i="11"/>
  <c r="E8" i="11"/>
  <c r="J7" i="7"/>
  <c r="H10" i="6" s="1"/>
  <c r="J6" i="7"/>
  <c r="H9" i="6" s="1"/>
  <c r="D4" i="11"/>
  <c r="F8" i="11"/>
  <c r="F7" i="11"/>
  <c r="D5" i="11"/>
  <c r="G8" i="11"/>
  <c r="B7" i="11"/>
  <c r="N5" i="7"/>
  <c r="J8" i="6" s="1"/>
  <c r="N2" i="7"/>
  <c r="J5" i="6" s="1"/>
  <c r="L2" i="7"/>
  <c r="G9" i="6"/>
  <c r="E6" i="25" s="1"/>
  <c r="J5" i="7"/>
  <c r="H8" i="6" s="1"/>
  <c r="Q16" i="9"/>
  <c r="N10" i="7"/>
  <c r="J13" i="6" s="1"/>
  <c r="I12" i="7"/>
  <c r="L7" i="7" s="1"/>
  <c r="G8" i="6"/>
  <c r="B6" i="11"/>
  <c r="E4" i="11"/>
  <c r="G3" i="11"/>
  <c r="D7" i="11"/>
  <c r="C5" i="11"/>
  <c r="N3" i="7"/>
  <c r="J6" i="6" s="1"/>
  <c r="L3" i="7"/>
  <c r="J2" i="7"/>
  <c r="H5" i="6" s="1"/>
  <c r="F3" i="11"/>
  <c r="N4" i="7"/>
  <c r="J7" i="6" s="1"/>
  <c r="L4" i="7"/>
  <c r="N11" i="7"/>
  <c r="J14" i="6" s="1"/>
  <c r="L11" i="7"/>
  <c r="N9" i="7"/>
  <c r="J12" i="6" s="1"/>
  <c r="J3" i="7"/>
  <c r="H6" i="6" s="1"/>
  <c r="L8" i="7"/>
  <c r="N8" i="7"/>
  <c r="J11" i="6" s="1"/>
  <c r="J10" i="7"/>
  <c r="H13" i="6" s="1"/>
  <c r="G5" i="6"/>
  <c r="G11" i="6"/>
  <c r="G7" i="6"/>
  <c r="E4" i="9"/>
  <c r="F4" i="9"/>
  <c r="B4" i="9"/>
  <c r="G4" i="9"/>
  <c r="D4" i="9"/>
  <c r="C4" i="9"/>
  <c r="F6" i="9"/>
  <c r="D6" i="9"/>
  <c r="B6" i="9"/>
  <c r="G6" i="9"/>
  <c r="E6" i="9"/>
  <c r="C6" i="9"/>
  <c r="C4" i="15"/>
  <c r="B4" i="15"/>
  <c r="G4" i="15"/>
  <c r="E4" i="15"/>
  <c r="D4" i="15"/>
  <c r="F4" i="15"/>
  <c r="G3" i="15"/>
  <c r="F3" i="15"/>
  <c r="E3" i="15"/>
  <c r="D3" i="15"/>
  <c r="C3" i="15"/>
  <c r="B3" i="15"/>
  <c r="D7" i="27"/>
  <c r="E7" i="27"/>
  <c r="F7" i="27"/>
  <c r="G7" i="27"/>
  <c r="H7" i="27"/>
  <c r="I7" i="27"/>
  <c r="J7" i="27"/>
  <c r="K7" i="27"/>
  <c r="L7" i="27"/>
  <c r="D8" i="27"/>
  <c r="E8" i="27"/>
  <c r="F8" i="27"/>
  <c r="G8" i="27"/>
  <c r="H8" i="27"/>
  <c r="I8" i="27"/>
  <c r="J8" i="27"/>
  <c r="K8" i="27"/>
  <c r="D4" i="27"/>
  <c r="E4" i="27"/>
  <c r="F4" i="27"/>
  <c r="G4" i="27"/>
  <c r="H4" i="27"/>
  <c r="I4" i="27"/>
  <c r="J4" i="27"/>
  <c r="K4" i="27"/>
  <c r="L4" i="27"/>
  <c r="D5" i="27"/>
  <c r="E5" i="27"/>
  <c r="F5" i="27"/>
  <c r="G5" i="27"/>
  <c r="H5" i="27"/>
  <c r="I5" i="27"/>
  <c r="J5" i="27"/>
  <c r="K5" i="27"/>
  <c r="L5" i="27"/>
  <c r="D6" i="27"/>
  <c r="E6" i="27"/>
  <c r="F6" i="27"/>
  <c r="G6" i="27"/>
  <c r="H6" i="27"/>
  <c r="I6" i="27"/>
  <c r="J6" i="27"/>
  <c r="K6" i="27"/>
  <c r="L6" i="27"/>
  <c r="F8" i="9" l="1"/>
  <c r="C8" i="9"/>
  <c r="B8" i="9"/>
  <c r="D8" i="9"/>
  <c r="G8" i="9"/>
  <c r="E8" i="9"/>
  <c r="L6" i="7"/>
  <c r="L9" i="7"/>
  <c r="L10" i="7"/>
  <c r="L5" i="7"/>
  <c r="CC75" i="126"/>
  <c r="M62" i="15" s="1"/>
  <c r="BO75" i="126"/>
  <c r="BM75" i="126"/>
  <c r="BK75" i="126"/>
  <c r="BI75" i="126"/>
  <c r="BG75" i="126"/>
  <c r="AS75" i="126"/>
  <c r="K62" i="15" s="1"/>
  <c r="CC74" i="126"/>
  <c r="M61" i="15" s="1"/>
  <c r="BM74" i="126"/>
  <c r="BK74" i="126"/>
  <c r="BI74" i="126"/>
  <c r="BG74" i="126"/>
  <c r="AS74" i="126"/>
  <c r="K61" i="15" s="1"/>
  <c r="CC73" i="126"/>
  <c r="M60" i="15" s="1"/>
  <c r="BK73" i="126"/>
  <c r="BI73" i="126"/>
  <c r="BG73" i="126"/>
  <c r="AS73" i="126"/>
  <c r="K60" i="15" s="1"/>
  <c r="CC72" i="126"/>
  <c r="M59" i="15" s="1"/>
  <c r="BQ72" i="126"/>
  <c r="BO72" i="126"/>
  <c r="BM72" i="126"/>
  <c r="BK72" i="126"/>
  <c r="BI72" i="126"/>
  <c r="BG72" i="126"/>
  <c r="AS72" i="126"/>
  <c r="K59" i="15" s="1"/>
  <c r="CC71" i="126"/>
  <c r="M58" i="15" s="1"/>
  <c r="BK71" i="126"/>
  <c r="BI71" i="126"/>
  <c r="BG71" i="126"/>
  <c r="AS71" i="126"/>
  <c r="K58" i="15" s="1"/>
  <c r="CC70" i="126"/>
  <c r="M57" i="15" s="1"/>
  <c r="BM70" i="126"/>
  <c r="BK70" i="126"/>
  <c r="BI70" i="126"/>
  <c r="BG70" i="126"/>
  <c r="AS70" i="126"/>
  <c r="K57" i="15" s="1"/>
  <c r="CC69" i="126"/>
  <c r="M56" i="15" s="1"/>
  <c r="BI69" i="126"/>
  <c r="BG69" i="126"/>
  <c r="AS69" i="126"/>
  <c r="K56" i="15" s="1"/>
  <c r="CC68" i="126"/>
  <c r="M55" i="15" s="1"/>
  <c r="BM68" i="126"/>
  <c r="BK68" i="126"/>
  <c r="BI68" i="126"/>
  <c r="BG68" i="126"/>
  <c r="AS68" i="126"/>
  <c r="K55" i="15" s="1"/>
  <c r="CC67" i="126"/>
  <c r="BI67" i="126"/>
  <c r="BG67" i="126"/>
  <c r="AS67" i="126"/>
  <c r="CC66" i="126"/>
  <c r="BK66" i="126"/>
  <c r="BI66" i="126"/>
  <c r="BG66" i="126"/>
  <c r="AS66" i="126"/>
  <c r="CC65" i="126"/>
  <c r="M54" i="15" s="1"/>
  <c r="BK65" i="126"/>
  <c r="BI65" i="126"/>
  <c r="BG65" i="126"/>
  <c r="AS65" i="126"/>
  <c r="K54" i="15" s="1"/>
  <c r="CC64" i="126"/>
  <c r="M53" i="15" s="1"/>
  <c r="BM64" i="126"/>
  <c r="BK64" i="126"/>
  <c r="BI64" i="126"/>
  <c r="BG64" i="126"/>
  <c r="AS64" i="126"/>
  <c r="K53" i="15" s="1"/>
  <c r="CC63" i="126"/>
  <c r="M52" i="15" s="1"/>
  <c r="BI63" i="126"/>
  <c r="BG63" i="126"/>
  <c r="AS63" i="126"/>
  <c r="K52" i="15" s="1"/>
  <c r="CC62" i="126"/>
  <c r="M51" i="15" s="1"/>
  <c r="BK62" i="126"/>
  <c r="BI62" i="126"/>
  <c r="BG62" i="126"/>
  <c r="AS62" i="126"/>
  <c r="K51" i="15" s="1"/>
  <c r="CC61" i="126"/>
  <c r="BI61" i="126"/>
  <c r="BG61" i="126"/>
  <c r="AS61" i="126"/>
  <c r="CC60" i="126"/>
  <c r="M50" i="15" s="1"/>
  <c r="BM60" i="126"/>
  <c r="BK60" i="126"/>
  <c r="BI60" i="126"/>
  <c r="BG60" i="126"/>
  <c r="AS60" i="126"/>
  <c r="K50" i="15" s="1"/>
  <c r="CC59" i="126"/>
  <c r="M49" i="15" s="1"/>
  <c r="BK59" i="126"/>
  <c r="BI59" i="126"/>
  <c r="BG59" i="126"/>
  <c r="AS59" i="126"/>
  <c r="K49" i="15" s="1"/>
  <c r="CC58" i="126"/>
  <c r="M48" i="15" s="1"/>
  <c r="BQ58" i="126"/>
  <c r="BO58" i="126"/>
  <c r="BM58" i="126"/>
  <c r="BK58" i="126"/>
  <c r="BI58" i="126"/>
  <c r="BG58" i="126"/>
  <c r="AS58" i="126"/>
  <c r="K48" i="15" s="1"/>
  <c r="CC57" i="126"/>
  <c r="M47" i="15" s="1"/>
  <c r="BI57" i="126"/>
  <c r="BG57" i="126"/>
  <c r="AS57" i="126"/>
  <c r="K47" i="15" s="1"/>
  <c r="CC56" i="126"/>
  <c r="M46" i="15" s="1"/>
  <c r="BK56" i="126"/>
  <c r="BI56" i="126"/>
  <c r="BG56" i="126"/>
  <c r="AS56" i="126"/>
  <c r="K46" i="15" s="1"/>
  <c r="CC55" i="126"/>
  <c r="M45" i="15" s="1"/>
  <c r="BI55" i="126"/>
  <c r="BG55" i="126"/>
  <c r="AS55" i="126"/>
  <c r="K45" i="15" s="1"/>
  <c r="CC54" i="126"/>
  <c r="M44" i="15" s="1"/>
  <c r="BM54" i="126"/>
  <c r="BK54" i="126"/>
  <c r="BI54" i="126"/>
  <c r="BG54" i="126"/>
  <c r="AS54" i="126"/>
  <c r="K44" i="15" s="1"/>
  <c r="CC53" i="126"/>
  <c r="M43" i="15" s="1"/>
  <c r="BO53" i="126"/>
  <c r="BM53" i="126"/>
  <c r="BK53" i="126"/>
  <c r="BI53" i="126"/>
  <c r="BG53" i="126"/>
  <c r="AS53" i="126"/>
  <c r="K43" i="15" s="1"/>
  <c r="CC52" i="126"/>
  <c r="BI52" i="126"/>
  <c r="BG52" i="126"/>
  <c r="AS52" i="126"/>
  <c r="CC51" i="126"/>
  <c r="M42" i="15" s="1"/>
  <c r="BQ51" i="126"/>
  <c r="BO51" i="126"/>
  <c r="BM51" i="126"/>
  <c r="BK51" i="126"/>
  <c r="BI51" i="126"/>
  <c r="BG51" i="126"/>
  <c r="AS51" i="126"/>
  <c r="K42" i="15" s="1"/>
  <c r="CC50" i="126"/>
  <c r="M41" i="15" s="1"/>
  <c r="BO50" i="126"/>
  <c r="BM50" i="126"/>
  <c r="BK50" i="126"/>
  <c r="BI50" i="126"/>
  <c r="BG50" i="126"/>
  <c r="AS50" i="126"/>
  <c r="K41" i="15" s="1"/>
  <c r="CC49" i="126"/>
  <c r="M40" i="15" s="1"/>
  <c r="BM49" i="126"/>
  <c r="BK49" i="126"/>
  <c r="BI49" i="126"/>
  <c r="BG49" i="126"/>
  <c r="AS49" i="126"/>
  <c r="K40" i="15" s="1"/>
  <c r="CC48" i="126"/>
  <c r="M39" i="15" s="1"/>
  <c r="BK48" i="126"/>
  <c r="BI48" i="126"/>
  <c r="BG48" i="126"/>
  <c r="AS48" i="126"/>
  <c r="K39" i="15" s="1"/>
  <c r="CC47" i="126"/>
  <c r="M38" i="15" s="1"/>
  <c r="BK47" i="126"/>
  <c r="BI47" i="126"/>
  <c r="BG47" i="126"/>
  <c r="AS47" i="126"/>
  <c r="K38" i="15" s="1"/>
  <c r="CC46" i="126"/>
  <c r="M37" i="15" s="1"/>
  <c r="BM46" i="126"/>
  <c r="BK46" i="126"/>
  <c r="BI46" i="126"/>
  <c r="BG46" i="126"/>
  <c r="AS46" i="126"/>
  <c r="K37" i="15" s="1"/>
  <c r="CC45" i="126"/>
  <c r="M36" i="15" s="1"/>
  <c r="BI45" i="126"/>
  <c r="BG45" i="126"/>
  <c r="AS45" i="126"/>
  <c r="K36" i="15" s="1"/>
  <c r="CC44" i="126"/>
  <c r="M35" i="15" s="1"/>
  <c r="BM44" i="126"/>
  <c r="BK44" i="126"/>
  <c r="BI44" i="126"/>
  <c r="BG44" i="126"/>
  <c r="AS44" i="126"/>
  <c r="K35" i="15" s="1"/>
  <c r="CC43" i="126"/>
  <c r="M34" i="15" s="1"/>
  <c r="BK43" i="126"/>
  <c r="BI43" i="126"/>
  <c r="BG43" i="126"/>
  <c r="AS43" i="126"/>
  <c r="K34" i="15" s="1"/>
  <c r="CC42" i="126"/>
  <c r="M33" i="15" s="1"/>
  <c r="BK42" i="126"/>
  <c r="BI42" i="126"/>
  <c r="BG42" i="126"/>
  <c r="AS42" i="126"/>
  <c r="K33" i="15" s="1"/>
  <c r="CC41" i="126"/>
  <c r="M32" i="15" s="1"/>
  <c r="BO41" i="126"/>
  <c r="BM41" i="126"/>
  <c r="BK41" i="126"/>
  <c r="BI41" i="126"/>
  <c r="BG41" i="126"/>
  <c r="AS41" i="126"/>
  <c r="K32" i="15" s="1"/>
  <c r="CC40" i="126"/>
  <c r="M31" i="15" s="1"/>
  <c r="P31" i="15" s="1"/>
  <c r="BI40" i="126"/>
  <c r="BG40" i="126"/>
  <c r="CC39" i="126"/>
  <c r="BK39" i="126"/>
  <c r="BI39" i="126"/>
  <c r="BG39" i="126"/>
  <c r="AS39" i="126"/>
  <c r="CC38" i="126"/>
  <c r="BM38" i="126"/>
  <c r="BK38" i="126"/>
  <c r="BI38" i="126"/>
  <c r="BG38" i="126"/>
  <c r="AS38" i="126"/>
  <c r="CC37" i="126"/>
  <c r="M30" i="15" s="1"/>
  <c r="BM37" i="126"/>
  <c r="BK37" i="126"/>
  <c r="BI37" i="126"/>
  <c r="BG37" i="126"/>
  <c r="AS37" i="126"/>
  <c r="K30" i="15" s="1"/>
  <c r="CC36" i="126"/>
  <c r="M29" i="15" s="1"/>
  <c r="BI36" i="126"/>
  <c r="BG36" i="126"/>
  <c r="AS36" i="126"/>
  <c r="K29" i="15" s="1"/>
  <c r="CC35" i="126"/>
  <c r="BM35" i="126"/>
  <c r="BK35" i="126"/>
  <c r="BI35" i="126"/>
  <c r="BG35" i="126"/>
  <c r="AS35" i="126"/>
  <c r="CC34" i="126"/>
  <c r="BM34" i="126"/>
  <c r="BK34" i="126"/>
  <c r="BI34" i="126"/>
  <c r="BG34" i="126"/>
  <c r="AS34" i="126"/>
  <c r="CC33" i="126"/>
  <c r="M28" i="15" s="1"/>
  <c r="BK33" i="126"/>
  <c r="BI33" i="126"/>
  <c r="BG33" i="126"/>
  <c r="AS33" i="126"/>
  <c r="K28" i="15" s="1"/>
  <c r="CC32" i="126"/>
  <c r="M27" i="15" s="1"/>
  <c r="BO32" i="126"/>
  <c r="BM32" i="126"/>
  <c r="BK32" i="126"/>
  <c r="BI32" i="126"/>
  <c r="BG32" i="126"/>
  <c r="AS32" i="126"/>
  <c r="K27" i="15" s="1"/>
  <c r="CC31" i="126"/>
  <c r="BI31" i="126"/>
  <c r="BG31" i="126"/>
  <c r="AS31" i="126"/>
  <c r="CC30" i="126"/>
  <c r="M26" i="15" s="1"/>
  <c r="BK30" i="126"/>
  <c r="BI30" i="126"/>
  <c r="BG30" i="126"/>
  <c r="AS30" i="126"/>
  <c r="K26" i="15" s="1"/>
  <c r="CC29" i="126"/>
  <c r="M25" i="15" s="1"/>
  <c r="BK29" i="126"/>
  <c r="BI29" i="126"/>
  <c r="BG29" i="126"/>
  <c r="AS29" i="126"/>
  <c r="K25" i="15" s="1"/>
  <c r="CC28" i="126"/>
  <c r="M24" i="15" s="1"/>
  <c r="BO28" i="126"/>
  <c r="BM28" i="126"/>
  <c r="BK28" i="126"/>
  <c r="BI28" i="126"/>
  <c r="BG28" i="126"/>
  <c r="AS28" i="126"/>
  <c r="K24" i="15" s="1"/>
  <c r="CC27" i="126"/>
  <c r="M23" i="15" s="1"/>
  <c r="BO27" i="126"/>
  <c r="BM27" i="126"/>
  <c r="BK27" i="126"/>
  <c r="BI27" i="126"/>
  <c r="BG27" i="126"/>
  <c r="AS27" i="126"/>
  <c r="K23" i="15" s="1"/>
  <c r="CC26" i="126"/>
  <c r="M22" i="15" s="1"/>
  <c r="BQ26" i="126"/>
  <c r="BO26" i="126"/>
  <c r="BM26" i="126"/>
  <c r="BK26" i="126"/>
  <c r="BI26" i="126"/>
  <c r="BG26" i="126"/>
  <c r="AS26" i="126"/>
  <c r="K22" i="15" s="1"/>
  <c r="BG25" i="126"/>
  <c r="BI25" i="126" s="1"/>
  <c r="BX25" i="126" s="1"/>
  <c r="CC25" i="126" s="1"/>
  <c r="M21" i="15" s="1"/>
  <c r="AS25" i="126"/>
  <c r="K21" i="15" s="1"/>
  <c r="CC24" i="126"/>
  <c r="M20" i="15" s="1"/>
  <c r="BK24" i="126"/>
  <c r="BI24" i="126"/>
  <c r="BG24" i="126"/>
  <c r="AS24" i="126"/>
  <c r="K20" i="15" s="1"/>
  <c r="DD23" i="126"/>
  <c r="DA23" i="126"/>
  <c r="CS23" i="126"/>
  <c r="CP23" i="126"/>
  <c r="CC23" i="126"/>
  <c r="BA23" i="126"/>
  <c r="AS23" i="126"/>
  <c r="DD22" i="126"/>
  <c r="DA22" i="126"/>
  <c r="CS22" i="126"/>
  <c r="CP22" i="126"/>
  <c r="CC22" i="126"/>
  <c r="BA22" i="126"/>
  <c r="AS22" i="126"/>
  <c r="DD20" i="126"/>
  <c r="DA20" i="126"/>
  <c r="CS20" i="126"/>
  <c r="CP20" i="126"/>
  <c r="CC20" i="126"/>
  <c r="BA20" i="126"/>
  <c r="AS20" i="126"/>
  <c r="DD17" i="126"/>
  <c r="DA17" i="126"/>
  <c r="CS17" i="126"/>
  <c r="CP17" i="126"/>
  <c r="CC17" i="126"/>
  <c r="BA17" i="126"/>
  <c r="AS17" i="126"/>
  <c r="DD16" i="126"/>
  <c r="DA16" i="126"/>
  <c r="CS16" i="126"/>
  <c r="CP16" i="126"/>
  <c r="CC16" i="126"/>
  <c r="BA16" i="126"/>
  <c r="AS16" i="126"/>
  <c r="DD15" i="126"/>
  <c r="DA15" i="126"/>
  <c r="CS15" i="126"/>
  <c r="CP15" i="126"/>
  <c r="CC15" i="126"/>
  <c r="BA15" i="126"/>
  <c r="AS15" i="126"/>
  <c r="DB14" i="126"/>
  <c r="CY14" i="126"/>
  <c r="CS14" i="126"/>
  <c r="CP14" i="126"/>
  <c r="CC14" i="126"/>
  <c r="BA14" i="126"/>
  <c r="AS14" i="126"/>
  <c r="DB13" i="126"/>
  <c r="DD13" i="126" s="1"/>
  <c r="CY13" i="126"/>
  <c r="DA13" i="126" s="1"/>
  <c r="CS13" i="126"/>
  <c r="CP13" i="126"/>
  <c r="CC13" i="126"/>
  <c r="BA13" i="126"/>
  <c r="AS13" i="126"/>
  <c r="CS10" i="126"/>
  <c r="CP10" i="126"/>
  <c r="BA10" i="126"/>
  <c r="DB9" i="126"/>
  <c r="N9" i="9" s="1"/>
  <c r="S9" i="9" s="1"/>
  <c r="CY9" i="126"/>
  <c r="M9" i="9" s="1"/>
  <c r="CS9" i="126"/>
  <c r="CP9" i="126"/>
  <c r="CC9" i="126"/>
  <c r="BA9" i="126"/>
  <c r="AS9" i="126"/>
  <c r="DB8" i="126"/>
  <c r="CY8" i="126"/>
  <c r="CS8" i="126"/>
  <c r="CP8" i="126"/>
  <c r="CC8" i="126"/>
  <c r="BA8" i="126"/>
  <c r="AS8" i="126"/>
  <c r="DB6" i="126"/>
  <c r="DD6" i="126" s="1"/>
  <c r="CY6" i="126"/>
  <c r="DA6" i="126" s="1"/>
  <c r="CS6" i="126"/>
  <c r="CP6" i="126"/>
  <c r="CC6" i="126"/>
  <c r="BA6" i="126"/>
  <c r="AS6" i="126"/>
  <c r="DB5" i="126"/>
  <c r="CY5" i="126"/>
  <c r="CS5" i="126"/>
  <c r="CP5" i="126"/>
  <c r="CC5" i="126"/>
  <c r="BA5" i="126"/>
  <c r="DB4" i="126"/>
  <c r="CY4" i="126"/>
  <c r="CS4" i="126"/>
  <c r="CP4" i="126"/>
  <c r="CC4" i="126"/>
  <c r="BK4" i="126"/>
  <c r="BI4" i="126"/>
  <c r="BG4" i="126"/>
  <c r="BA4" i="126"/>
  <c r="AS4" i="126"/>
  <c r="DD3" i="126"/>
  <c r="DA3" i="126"/>
  <c r="CS3" i="126"/>
  <c r="CP3" i="126"/>
  <c r="CC3" i="126"/>
  <c r="BA3" i="126"/>
  <c r="AS3" i="126"/>
  <c r="DD2" i="126"/>
  <c r="DA2" i="126"/>
  <c r="CS2" i="126"/>
  <c r="CP2" i="126"/>
  <c r="CC2" i="126"/>
  <c r="BO2" i="126"/>
  <c r="BM2" i="126"/>
  <c r="BK2" i="126"/>
  <c r="BG2" i="126"/>
  <c r="BA2" i="126"/>
  <c r="G11" i="7"/>
  <c r="G10" i="7"/>
  <c r="G9" i="7"/>
  <c r="G8" i="7"/>
  <c r="G7" i="7"/>
  <c r="G6" i="7"/>
  <c r="G5" i="7"/>
  <c r="G4" i="7"/>
  <c r="G3" i="7"/>
  <c r="G2" i="7"/>
  <c r="E14" i="6"/>
  <c r="D14" i="6"/>
  <c r="D13" i="6"/>
  <c r="E12" i="6"/>
  <c r="D12" i="6"/>
  <c r="D11" i="6"/>
  <c r="D10" i="6"/>
  <c r="D9" i="6"/>
  <c r="E8" i="6"/>
  <c r="D8" i="6"/>
  <c r="D7" i="6"/>
  <c r="D6" i="6"/>
  <c r="D5" i="6"/>
  <c r="D4" i="6"/>
  <c r="P51" i="15" l="1"/>
  <c r="P20" i="15"/>
  <c r="P46" i="15"/>
  <c r="P42" i="15"/>
  <c r="DD9" i="126"/>
  <c r="P21" i="15"/>
  <c r="P25" i="15"/>
  <c r="P47" i="15"/>
  <c r="P52" i="15"/>
  <c r="P55" i="15"/>
  <c r="P58" i="15"/>
  <c r="P62" i="15"/>
  <c r="P24" i="15"/>
  <c r="P37" i="15"/>
  <c r="P40" i="15"/>
  <c r="P44" i="15"/>
  <c r="P50" i="15"/>
  <c r="P22" i="15"/>
  <c r="P30" i="15"/>
  <c r="P34" i="15"/>
  <c r="P54" i="15"/>
  <c r="P57" i="15"/>
  <c r="P61" i="15"/>
  <c r="H6" i="7"/>
  <c r="F9" i="6" s="1"/>
  <c r="M6" i="7"/>
  <c r="I9" i="6" s="1"/>
  <c r="H7" i="7"/>
  <c r="F10" i="6" s="1"/>
  <c r="M7" i="7"/>
  <c r="I10" i="6" s="1"/>
  <c r="P23" i="15"/>
  <c r="P43" i="15"/>
  <c r="DD4" i="126"/>
  <c r="N6" i="9"/>
  <c r="S6" i="9" s="1"/>
  <c r="R9" i="9"/>
  <c r="P9" i="9"/>
  <c r="Q9" i="9" s="1"/>
  <c r="H10" i="7"/>
  <c r="F13" i="6" s="1"/>
  <c r="M10" i="7"/>
  <c r="I13" i="6" s="1"/>
  <c r="DA8" i="126"/>
  <c r="M8" i="9"/>
  <c r="DA9" i="126"/>
  <c r="P39" i="15"/>
  <c r="P48" i="15"/>
  <c r="P49" i="15"/>
  <c r="P53" i="15"/>
  <c r="H8" i="7"/>
  <c r="F11" i="6" s="1"/>
  <c r="M8" i="7"/>
  <c r="I11" i="6" s="1"/>
  <c r="H2" i="7"/>
  <c r="F5" i="6" s="1"/>
  <c r="M2" i="7"/>
  <c r="I5" i="6" s="1"/>
  <c r="E10" i="6"/>
  <c r="H3" i="7"/>
  <c r="F6" i="6" s="1"/>
  <c r="M3" i="7"/>
  <c r="I6" i="6" s="1"/>
  <c r="H11" i="7"/>
  <c r="F14" i="6" s="1"/>
  <c r="M11" i="7"/>
  <c r="I14" i="6" s="1"/>
  <c r="DA5" i="126"/>
  <c r="M7" i="9"/>
  <c r="DD8" i="126"/>
  <c r="N8" i="9"/>
  <c r="S8" i="9" s="1"/>
  <c r="P26" i="15"/>
  <c r="P28" i="15"/>
  <c r="P33" i="15"/>
  <c r="P36" i="15"/>
  <c r="P59" i="15"/>
  <c r="P60" i="15"/>
  <c r="DD14" i="126"/>
  <c r="N10" i="9"/>
  <c r="S10" i="9" s="1"/>
  <c r="H9" i="7"/>
  <c r="F12" i="6" s="1"/>
  <c r="K9" i="7"/>
  <c r="M9" i="7"/>
  <c r="I12" i="6" s="1"/>
  <c r="H4" i="7"/>
  <c r="F7" i="6" s="1"/>
  <c r="M4" i="7"/>
  <c r="I7" i="6" s="1"/>
  <c r="DD5" i="126"/>
  <c r="N7" i="9"/>
  <c r="S7" i="9" s="1"/>
  <c r="P27" i="15"/>
  <c r="P29" i="15"/>
  <c r="P32" i="15"/>
  <c r="P56" i="15"/>
  <c r="E6" i="6"/>
  <c r="H5" i="7"/>
  <c r="F8" i="6" s="1"/>
  <c r="M5" i="7"/>
  <c r="I8" i="6" s="1"/>
  <c r="DA4" i="126"/>
  <c r="M6" i="9"/>
  <c r="DA14" i="126"/>
  <c r="M10" i="9"/>
  <c r="P35" i="15"/>
  <c r="P38" i="15"/>
  <c r="P41" i="15"/>
  <c r="P45" i="15"/>
  <c r="G12" i="7"/>
  <c r="K2" i="7" s="1"/>
  <c r="E5" i="6"/>
  <c r="E7" i="6"/>
  <c r="E9" i="6"/>
  <c r="E5" i="25" s="1"/>
  <c r="E11" i="6"/>
  <c r="E13" i="6"/>
  <c r="D11" i="103"/>
  <c r="C11" i="103"/>
  <c r="G2" i="117"/>
  <c r="B2" i="117"/>
  <c r="B5" i="15" l="1"/>
  <c r="D5" i="15"/>
  <c r="E5" i="15"/>
  <c r="K8" i="7"/>
  <c r="P8" i="9"/>
  <c r="Q8" i="9" s="1"/>
  <c r="R8" i="9"/>
  <c r="K3" i="7"/>
  <c r="G5" i="15"/>
  <c r="K7" i="7"/>
  <c r="R6" i="9"/>
  <c r="P6" i="9"/>
  <c r="Q6" i="9" s="1"/>
  <c r="F5" i="15"/>
  <c r="K10" i="7"/>
  <c r="P7" i="9"/>
  <c r="Q7" i="9" s="1"/>
  <c r="R7" i="9"/>
  <c r="K4" i="7"/>
  <c r="C5" i="15"/>
  <c r="G5" i="9"/>
  <c r="E5" i="9"/>
  <c r="C5" i="9"/>
  <c r="F5" i="9"/>
  <c r="B5" i="9"/>
  <c r="D5" i="9"/>
  <c r="K6" i="7"/>
  <c r="K5" i="7"/>
  <c r="P10" i="9"/>
  <c r="Q10" i="9" s="1"/>
  <c r="R10" i="9"/>
  <c r="K11" i="7"/>
  <c r="D10" i="103"/>
  <c r="C10" i="103"/>
  <c r="D9" i="103"/>
  <c r="C9" i="103"/>
  <c r="B7" i="9" l="1"/>
  <c r="C7" i="9"/>
  <c r="G7" i="9"/>
  <c r="D7" i="9"/>
  <c r="F7" i="9"/>
  <c r="G3" i="9"/>
  <c r="E3" i="9"/>
  <c r="B3" i="9"/>
  <c r="C3" i="9"/>
  <c r="F3" i="9"/>
  <c r="D3" i="9"/>
  <c r="E7" i="9"/>
  <c r="A3" i="118"/>
  <c r="D8" i="103" l="1"/>
  <c r="C8" i="103"/>
  <c r="D7" i="103"/>
  <c r="C7" i="103"/>
  <c r="D5" i="103"/>
  <c r="C5" i="103"/>
  <c r="D6" i="103"/>
  <c r="C6" i="103"/>
  <c r="A4" i="119"/>
  <c r="H17" i="118"/>
  <c r="G17" i="118"/>
  <c r="F17" i="118"/>
  <c r="I16" i="118"/>
  <c r="I15" i="118"/>
  <c r="I14" i="118"/>
  <c r="I17" i="118" s="1"/>
</calcChain>
</file>

<file path=xl/sharedStrings.xml><?xml version="1.0" encoding="utf-8"?>
<sst xmlns="http://schemas.openxmlformats.org/spreadsheetml/2006/main" count="17183" uniqueCount="3375">
  <si>
    <t>4.3. Prior Studies</t>
  </si>
  <si>
    <t>4.4. Certified Contractors Inventory</t>
  </si>
  <si>
    <t>4.5. Program Tracking Data</t>
  </si>
  <si>
    <t>4.6. Evaluability Assessment</t>
  </si>
  <si>
    <t>4.7. Program Managers Interviews</t>
  </si>
  <si>
    <t>4.8. Local Entities Interviews</t>
  </si>
  <si>
    <t>4.9. Project File Reviews</t>
  </si>
  <si>
    <t>4.10. On-Site Inspection and Testing</t>
  </si>
  <si>
    <t>4.11. Participant Surveys</t>
  </si>
  <si>
    <t>4.13. Referral Drop-Out Surveys</t>
  </si>
  <si>
    <t>4.14. Contractor Surveys</t>
  </si>
  <si>
    <t>4.19. Marketing Effectiveness Survey</t>
  </si>
  <si>
    <t>Marketing</t>
  </si>
  <si>
    <t>Implementation</t>
  </si>
  <si>
    <t>Program Design</t>
  </si>
  <si>
    <t>Program Process</t>
  </si>
  <si>
    <t>This would include recommendations that pertain to how the program is conceived, how it is or should be made to conform to the program theory. This would include eligibility criteria, incentives, measures, other program content (this list may not be exhaustive).</t>
  </si>
  <si>
    <t>This would include recommendations for internal processes like, record keeping, inspections, other QC procedures, paperwork processing, approval processes.</t>
  </si>
  <si>
    <t>Recommendations related to who implements the program, how well they do it, various dimensions of customer satisfaction related to installers and service, onsite installation issues.</t>
  </si>
  <si>
    <t>This is probably the most obvious one. Obviously, recommendations about advertising, how customers are recruited, what the messaging is or should be, who is being reached, who is not, how well the program is communicated and sold.</t>
  </si>
  <si>
    <t>Scope</t>
  </si>
  <si>
    <t>Service Delivery</t>
  </si>
  <si>
    <t>Workforce Development</t>
  </si>
  <si>
    <t>Sales</t>
  </si>
  <si>
    <t>Program Management</t>
  </si>
  <si>
    <t>Description of finding</t>
  </si>
  <si>
    <t>Caption</t>
  </si>
  <si>
    <t>Area</t>
  </si>
  <si>
    <t>Activity</t>
  </si>
  <si>
    <t>Tasks</t>
  </si>
  <si>
    <t>Supporting Table, Graph or Figure</t>
  </si>
  <si>
    <t>Recommendation</t>
  </si>
  <si>
    <t>Title</t>
  </si>
  <si>
    <t>Title1</t>
  </si>
  <si>
    <t>Title2</t>
  </si>
  <si>
    <t>Title3</t>
  </si>
  <si>
    <t>Title4</t>
  </si>
  <si>
    <t>TaskName</t>
  </si>
  <si>
    <t>PriorStudies</t>
  </si>
  <si>
    <t>ProgTrack</t>
  </si>
  <si>
    <t>Evaluability</t>
  </si>
  <si>
    <t>CInventory</t>
  </si>
  <si>
    <t>FileReview</t>
  </si>
  <si>
    <t>OnSite</t>
  </si>
  <si>
    <t>Participant</t>
  </si>
  <si>
    <t>DropOut</t>
  </si>
  <si>
    <t>Contractor</t>
  </si>
  <si>
    <t>PrgMgr</t>
  </si>
  <si>
    <t>LocalEntity</t>
  </si>
  <si>
    <t>MrktEff</t>
  </si>
  <si>
    <t>Phases</t>
  </si>
  <si>
    <t>PhaseName</t>
  </si>
  <si>
    <t>Winter 2012</t>
  </si>
  <si>
    <t>Summer 2012</t>
  </si>
  <si>
    <t>Fall 2012</t>
  </si>
  <si>
    <t>W12</t>
  </si>
  <si>
    <t>S12</t>
  </si>
  <si>
    <t>F12</t>
  </si>
  <si>
    <t>PG&amp;E</t>
  </si>
  <si>
    <t>SCE</t>
  </si>
  <si>
    <t>Combined</t>
  </si>
  <si>
    <t>[Table, graph or figure starts in this cell]</t>
  </si>
  <si>
    <t>Other</t>
  </si>
  <si>
    <t>Addresses barriers</t>
  </si>
  <si>
    <t>Barrier1</t>
  </si>
  <si>
    <t>Barrier2</t>
  </si>
  <si>
    <t>Barrier3</t>
  </si>
  <si>
    <t>SBW_ID</t>
  </si>
  <si>
    <t/>
  </si>
  <si>
    <t>LOS ANGELES</t>
  </si>
  <si>
    <t>FRESNO</t>
  </si>
  <si>
    <t>BROWER MECHANICAL INC</t>
  </si>
  <si>
    <t>MCHALES ENVIRONMENTAL INSULATION, INC.</t>
  </si>
  <si>
    <t>PITTSBURG</t>
  </si>
  <si>
    <t>Fresno</t>
  </si>
  <si>
    <t>A-1 GUARANTEED HEATING &amp; AIR CONDITIONING INC</t>
  </si>
  <si>
    <t>94565</t>
  </si>
  <si>
    <t>ADVANCED HOME ENERGY INC</t>
  </si>
  <si>
    <t>Richmond</t>
  </si>
  <si>
    <t>94804</t>
  </si>
  <si>
    <t>San Francisco</t>
  </si>
  <si>
    <t>Concord</t>
  </si>
  <si>
    <t>94518</t>
  </si>
  <si>
    <t>Pittsburg</t>
  </si>
  <si>
    <t>Auburn</t>
  </si>
  <si>
    <t>95603</t>
  </si>
  <si>
    <t>Martinez</t>
  </si>
  <si>
    <t>San Jose</t>
  </si>
  <si>
    <t>San Carlos</t>
  </si>
  <si>
    <t>Oakland</t>
  </si>
  <si>
    <t>Pinole</t>
  </si>
  <si>
    <t>Antioch</t>
  </si>
  <si>
    <t>Foresthill</t>
  </si>
  <si>
    <t>Walnut Creek</t>
  </si>
  <si>
    <t>Loomis</t>
  </si>
  <si>
    <t>Cupertino</t>
  </si>
  <si>
    <t>95014</t>
  </si>
  <si>
    <t>Clovis</t>
  </si>
  <si>
    <t>San Pablo</t>
  </si>
  <si>
    <t>94806</t>
  </si>
  <si>
    <t>Berkeley</t>
  </si>
  <si>
    <t>94708</t>
  </si>
  <si>
    <t>San Mateo</t>
  </si>
  <si>
    <t>94402</t>
  </si>
  <si>
    <t>SAN MATEO</t>
  </si>
  <si>
    <t>Burlingame</t>
  </si>
  <si>
    <t>94010</t>
  </si>
  <si>
    <t>Rocklin</t>
  </si>
  <si>
    <t>95677</t>
  </si>
  <si>
    <t>SCG</t>
  </si>
  <si>
    <t>5.0)RebateApproved</t>
  </si>
  <si>
    <t>91789</t>
  </si>
  <si>
    <t>Walnut</t>
  </si>
  <si>
    <t>EUCA-11-000194</t>
  </si>
  <si>
    <t>6.0)CheckSent</t>
  </si>
  <si>
    <t>SANTA CLARA</t>
  </si>
  <si>
    <t>94022</t>
  </si>
  <si>
    <t>Los Altos Hills</t>
  </si>
  <si>
    <t>Pacific Gas &amp; Electric</t>
  </si>
  <si>
    <t>Sandium Heating &amp; Air</t>
  </si>
  <si>
    <t>ABC Cooling and Heating</t>
  </si>
  <si>
    <t>Unknown</t>
  </si>
  <si>
    <t>Smart Builders</t>
  </si>
  <si>
    <t>Chandler Building EcoProach</t>
  </si>
  <si>
    <t>CONTRA COSTA</t>
  </si>
  <si>
    <t>Danville</t>
  </si>
  <si>
    <t>STEWART HEATING &amp; AIR INC.</t>
  </si>
  <si>
    <t>Los Gatos</t>
  </si>
  <si>
    <t>ADVANCED COMFORT AND ENERGY SYSTEMS</t>
  </si>
  <si>
    <t>Madera</t>
  </si>
  <si>
    <t>El Cerrito</t>
  </si>
  <si>
    <t>94024</t>
  </si>
  <si>
    <t>Los Altos</t>
  </si>
  <si>
    <t>Mill Valley</t>
  </si>
  <si>
    <t>95030</t>
  </si>
  <si>
    <t>Moraga</t>
  </si>
  <si>
    <t>Eco Performance Builders, Inc.</t>
  </si>
  <si>
    <t>94025</t>
  </si>
  <si>
    <t>Menlo Park</t>
  </si>
  <si>
    <t>94070</t>
  </si>
  <si>
    <t>94062</t>
  </si>
  <si>
    <t>Woodside</t>
  </si>
  <si>
    <t>SolarCity Corporation</t>
  </si>
  <si>
    <t>Mason Construction Co.</t>
  </si>
  <si>
    <t>94526</t>
  </si>
  <si>
    <t>San Bruno</t>
  </si>
  <si>
    <t>PLACER</t>
  </si>
  <si>
    <t>94061</t>
  </si>
  <si>
    <t>Redwood City</t>
  </si>
  <si>
    <t>7d70727a-c937-4d2f-ac03-dc8ec68c9b15</t>
  </si>
  <si>
    <t>94596</t>
  </si>
  <si>
    <t>94805</t>
  </si>
  <si>
    <t>93727</t>
  </si>
  <si>
    <t>Green Foot Energy</t>
  </si>
  <si>
    <t>Cobalt Facilities, Inc.</t>
  </si>
  <si>
    <t>95120</t>
  </si>
  <si>
    <t>Orinda</t>
  </si>
  <si>
    <t>94801</t>
  </si>
  <si>
    <t>94002</t>
  </si>
  <si>
    <t>Belmont</t>
  </si>
  <si>
    <t>Sunnyvale</t>
  </si>
  <si>
    <t>94803</t>
  </si>
  <si>
    <t>El Sobrante</t>
  </si>
  <si>
    <t>Portola Valley</t>
  </si>
  <si>
    <t>94086</t>
  </si>
  <si>
    <t>94583</t>
  </si>
  <si>
    <t>San Ramon</t>
  </si>
  <si>
    <t>95112</t>
  </si>
  <si>
    <t>94549</t>
  </si>
  <si>
    <t>Lafayette</t>
  </si>
  <si>
    <t>914bfe66-e3a1-4bb6-b9c6-f991681b18c6</t>
  </si>
  <si>
    <t>Granite Bay</t>
  </si>
  <si>
    <t>Pleasant Hill</t>
  </si>
  <si>
    <t>23ad320b-5548-46d4-a3a9-d9b716cdb3f5</t>
  </si>
  <si>
    <t>SDI Insulation, Inc.</t>
  </si>
  <si>
    <t>c60a9627-cfba-4a28-b47b-f1a637ba21c8</t>
  </si>
  <si>
    <t>FinalSvgs_Rebate</t>
  </si>
  <si>
    <t>FinalSvgs_Therms</t>
  </si>
  <si>
    <t>FinalSvgs_kWh</t>
  </si>
  <si>
    <t>Date_CheckSent</t>
  </si>
  <si>
    <t>Date_RebateApproved</t>
  </si>
  <si>
    <t>Date_FinalAppSubmitted</t>
  </si>
  <si>
    <t>Date_WorkAuthorized</t>
  </si>
  <si>
    <t>Date_PrelimAppSubmitted</t>
  </si>
  <si>
    <t>Date_AuditOrSignature</t>
  </si>
  <si>
    <t>CustomerCounty</t>
  </si>
  <si>
    <t>CustomerZip</t>
  </si>
  <si>
    <t>CustomerCity</t>
  </si>
  <si>
    <t>GasUtility</t>
  </si>
  <si>
    <t>ElectricUtility</t>
  </si>
  <si>
    <t>ContractorName</t>
  </si>
  <si>
    <t>SBW_JobStatus</t>
  </si>
  <si>
    <t>WorkshopAttendeeID</t>
  </si>
  <si>
    <t>EASurvey_Name</t>
  </si>
  <si>
    <t>Workshop</t>
  </si>
  <si>
    <t>WorkshopDate</t>
  </si>
  <si>
    <t>City1</t>
  </si>
  <si>
    <t>City2</t>
  </si>
  <si>
    <t>WSAtt_52</t>
  </si>
  <si>
    <t>Richmond Homeowner Workshop: Energy Savings and Rebates</t>
  </si>
  <si>
    <t>WSAtt_53</t>
  </si>
  <si>
    <t>Contra Costa</t>
  </si>
  <si>
    <t>WSAtt_788</t>
  </si>
  <si>
    <t>WSAtt_308</t>
  </si>
  <si>
    <t>Cupertino Homeowner Workshop: Energy Savings and Rebates</t>
  </si>
  <si>
    <t>Nov 2, 2011</t>
  </si>
  <si>
    <t>WSAtt_75</t>
  </si>
  <si>
    <t>WSAtt_62</t>
  </si>
  <si>
    <t>Redwood City Homeowner Workshop: Energy Savings and Rebates</t>
  </si>
  <si>
    <t>Oct 26, 2011</t>
  </si>
  <si>
    <t>WSAtt_694</t>
  </si>
  <si>
    <t>Moraga Homeowner Workshop: Energy Savings and Rebates</t>
  </si>
  <si>
    <t>Nov 10, 2011</t>
  </si>
  <si>
    <t>moraga</t>
  </si>
  <si>
    <t>WSAtt_597</t>
  </si>
  <si>
    <t>Fresno (Fig Garden) Homeowner Workshop: Energy Savings and Rebates</t>
  </si>
  <si>
    <t>Nov 14, 2011</t>
  </si>
  <si>
    <t>WSAtt_59</t>
  </si>
  <si>
    <t>WSAtt_60</t>
  </si>
  <si>
    <t>Danville Homeowner Workshop: Energy Savings and Rebates</t>
  </si>
  <si>
    <t>Sep 19, 2011</t>
  </si>
  <si>
    <t>WSAtt_63</t>
  </si>
  <si>
    <t>Saratoga Homeowner Workshop: Energy Savings and Rebates</t>
  </si>
  <si>
    <t>Oct 20, 2011</t>
  </si>
  <si>
    <t>Saratoga</t>
  </si>
  <si>
    <t>Santa Clara</t>
  </si>
  <si>
    <t>WSAtt_51</t>
  </si>
  <si>
    <t>Oct 15, 2011</t>
  </si>
  <si>
    <t>WSAtt_703</t>
  </si>
  <si>
    <t>Lafayette Homeowner Workshop: Energy Savings and Rebates</t>
  </si>
  <si>
    <t>Oct 4, 2011</t>
  </si>
  <si>
    <t>WSAtt_76</t>
  </si>
  <si>
    <t>Auburn Homeowner Workshop: Energy Savings and Rebates</t>
  </si>
  <si>
    <t>Sep 21, 2011</t>
  </si>
  <si>
    <t>WSAtt_6</t>
  </si>
  <si>
    <t>Fresno (Woodward) Homeowner Workshop: Energy Savings and Rebates</t>
  </si>
  <si>
    <t>Nov 9, 2011</t>
  </si>
  <si>
    <t>WSAtt_9</t>
  </si>
  <si>
    <t>Los Gatos Homeowner Workshop: Energy Savings and Rebates</t>
  </si>
  <si>
    <t>Nov 1, 2011</t>
  </si>
  <si>
    <t>WSAtt_476</t>
  </si>
  <si>
    <t>Pittsburg Homeowner Workshop: Energy Savings and Rebates</t>
  </si>
  <si>
    <t>antioch</t>
  </si>
  <si>
    <t>WSAtt_11</t>
  </si>
  <si>
    <t>WSAtt_640</t>
  </si>
  <si>
    <t>WSAtt_624</t>
  </si>
  <si>
    <t>San Mateo Homeowner Workshop: Energy Savings and Rebates</t>
  </si>
  <si>
    <t>Nov 15, 2011</t>
  </si>
  <si>
    <t>WSAtt_16</t>
  </si>
  <si>
    <t>El Sobrante Homeowner Workshop: Energy Savings and Rebates</t>
  </si>
  <si>
    <t>Sep 29, 2011</t>
  </si>
  <si>
    <t>WSAtt_20</t>
  </si>
  <si>
    <t>WSAtt_3</t>
  </si>
  <si>
    <t>WSAtt_17</t>
  </si>
  <si>
    <t>WSAtt_5</t>
  </si>
  <si>
    <t>WSAtt_390</t>
  </si>
  <si>
    <t>Fresno Homeowner Workshop: Energy Savings and Rebates</t>
  </si>
  <si>
    <t>WSAtt_34</t>
  </si>
  <si>
    <t>Woodside Homeowner Workshop: Energy Savings and Rebates</t>
  </si>
  <si>
    <t>WSAtt_213</t>
  </si>
  <si>
    <t>WSAtt_14</t>
  </si>
  <si>
    <t>belmont</t>
  </si>
  <si>
    <t>WSAtt_742</t>
  </si>
  <si>
    <t>Loomis Homeowner Workshop: Energy Savings and Rebates</t>
  </si>
  <si>
    <t>Oct 6, 2011</t>
  </si>
  <si>
    <t>WSAtt_231</t>
  </si>
  <si>
    <t>East Palo Alto</t>
  </si>
  <si>
    <t>WSAtt_4</t>
  </si>
  <si>
    <t>WSAtt_18</t>
  </si>
  <si>
    <t>WSAtt_254</t>
  </si>
  <si>
    <t>WSAtt_22</t>
  </si>
  <si>
    <t>WSAtt_746</t>
  </si>
  <si>
    <t>WSAtt_43</t>
  </si>
  <si>
    <t>WSAtt_21</t>
  </si>
  <si>
    <t>WSAtt_666</t>
  </si>
  <si>
    <t>WSAtt_24</t>
  </si>
  <si>
    <t>WSAtt_42</t>
  </si>
  <si>
    <t>WSAtt_669</t>
  </si>
  <si>
    <t>WSAtt_273</t>
  </si>
  <si>
    <t>Los Altos Homeowner Workshop: Energy Savings and Rebates</t>
  </si>
  <si>
    <t>Nov 8, 2011</t>
  </si>
  <si>
    <t>WSAtt_484</t>
  </si>
  <si>
    <t>WSAtt_25</t>
  </si>
  <si>
    <t>WSAtt_54</t>
  </si>
  <si>
    <t>Clovis Homeowner Workshop: Energy Savings and Rebates</t>
  </si>
  <si>
    <t>Sep 27, 2011</t>
  </si>
  <si>
    <t>WSAtt_8</t>
  </si>
  <si>
    <t>WSAtt_106</t>
  </si>
  <si>
    <t>San Jose Homeowner Workshop: Energy Savings and Rebates</t>
  </si>
  <si>
    <t>Oct 18, 2011</t>
  </si>
  <si>
    <t>WSAtt_26</t>
  </si>
  <si>
    <t>Oct 25, 2011</t>
  </si>
  <si>
    <t>WSAtt_37</t>
  </si>
  <si>
    <t>WSAtt_27</t>
  </si>
  <si>
    <t>WSAtt_29</t>
  </si>
  <si>
    <t>WSAtt_31</t>
  </si>
  <si>
    <t>Nov 3, 2011</t>
  </si>
  <si>
    <t>WSAtt_693</t>
  </si>
  <si>
    <t>WSAtt_23</t>
  </si>
  <si>
    <t>WSAtt_38</t>
  </si>
  <si>
    <t>WSAtt_39</t>
  </si>
  <si>
    <t>WSAtt_41</t>
  </si>
  <si>
    <t>WSAtt_40</t>
  </si>
  <si>
    <t>WSAtt_45</t>
  </si>
  <si>
    <t>WSAtt_48</t>
  </si>
  <si>
    <t>WSAtt_47</t>
  </si>
  <si>
    <t>WSAtt_223</t>
  </si>
  <si>
    <t>WSAtt_189</t>
  </si>
  <si>
    <t>alameda</t>
  </si>
  <si>
    <t>Alameda</t>
  </si>
  <si>
    <t>WSAtt_55</t>
  </si>
  <si>
    <t>WSAtt_58</t>
  </si>
  <si>
    <t>Pacifica Homeowner Workshop: Energy Savings and Rebates</t>
  </si>
  <si>
    <t>WSAtt_760</t>
  </si>
  <si>
    <t>Half Moon Bay Homeowner Workshop: Energy Savings and Rebates</t>
  </si>
  <si>
    <t>Montara</t>
  </si>
  <si>
    <t>WSAtt_687</t>
  </si>
  <si>
    <t>WSAtt_191</t>
  </si>
  <si>
    <t>WSAtt_781</t>
  </si>
  <si>
    <t>WSAtt_789</t>
  </si>
  <si>
    <t>Milpitas Homeowner Workshop: Energy Savings and Rebates</t>
  </si>
  <si>
    <t>WSAtt_518</t>
  </si>
  <si>
    <t>WSAtt_363</t>
  </si>
  <si>
    <t>WSAtt_455</t>
  </si>
  <si>
    <t>WSAtt_78</t>
  </si>
  <si>
    <t>Orinda Homeowner Workshop: Energy Savings and Rebates</t>
  </si>
  <si>
    <t>Oct 19, 2011</t>
  </si>
  <si>
    <t>WSAtt_50</t>
  </si>
  <si>
    <t>San Ramon Homeowner Workshop: Energy Savings and Rebates</t>
  </si>
  <si>
    <t>WSAtt_419</t>
  </si>
  <si>
    <t>WSAtt_741</t>
  </si>
  <si>
    <t>WSAtt_710</t>
  </si>
  <si>
    <t>Newark</t>
  </si>
  <si>
    <t>WSAtt_64</t>
  </si>
  <si>
    <t>WSAtt_133</t>
  </si>
  <si>
    <t>WSAtt_84</t>
  </si>
  <si>
    <t>WSAtt_85</t>
  </si>
  <si>
    <t>WSAtt_531</t>
  </si>
  <si>
    <t>Redwood CIty</t>
  </si>
  <si>
    <t>WSAtt_124</t>
  </si>
  <si>
    <t>WSAtt_86</t>
  </si>
  <si>
    <t>WSAtt_451</t>
  </si>
  <si>
    <t>WSAtt_539</t>
  </si>
  <si>
    <t>WSAtt_88</t>
  </si>
  <si>
    <t>WSAtt_87</t>
  </si>
  <si>
    <t>WSAtt_647</t>
  </si>
  <si>
    <t>WSAtt_200</t>
  </si>
  <si>
    <t>WSAtt_111</t>
  </si>
  <si>
    <t>WSAtt_90</t>
  </si>
  <si>
    <t>Daly City</t>
  </si>
  <si>
    <t>WSAtt_93</t>
  </si>
  <si>
    <t>WSAtt_122</t>
  </si>
  <si>
    <t>WSAtt_105</t>
  </si>
  <si>
    <t>WSAtt_97</t>
  </si>
  <si>
    <t>Palo Alto</t>
  </si>
  <si>
    <t>WSAtt_114</t>
  </si>
  <si>
    <t>WSAtt_101</t>
  </si>
  <si>
    <t>WSAtt_115</t>
  </si>
  <si>
    <t>WSAtt_456</t>
  </si>
  <si>
    <t>WSAtt_323</t>
  </si>
  <si>
    <t>WSAtt_766</t>
  </si>
  <si>
    <t>Half Moon Bay</t>
  </si>
  <si>
    <t>WSAtt_116</t>
  </si>
  <si>
    <t>WSAtt_99</t>
  </si>
  <si>
    <t>WSAtt_100</t>
  </si>
  <si>
    <t>WSAtt_117</t>
  </si>
  <si>
    <t>WSAtt_130</t>
  </si>
  <si>
    <t>WSAtt_406</t>
  </si>
  <si>
    <t>WSAtt_139</t>
  </si>
  <si>
    <t>san mateo</t>
  </si>
  <si>
    <t>WSAtt_790</t>
  </si>
  <si>
    <t>Placer</t>
  </si>
  <si>
    <t>WSAtt_113</t>
  </si>
  <si>
    <t>WSAtt_118</t>
  </si>
  <si>
    <t>WSAtt_119</t>
  </si>
  <si>
    <t>WSAtt_613</t>
  </si>
  <si>
    <t>WSAtt_80</t>
  </si>
  <si>
    <t>WSAtt_292</t>
  </si>
  <si>
    <t>WSAtt_120</t>
  </si>
  <si>
    <t>WSAtt_121</t>
  </si>
  <si>
    <t>WSAtt_140</t>
  </si>
  <si>
    <t>Rocklin Homeowner Workshop: Energy Savings and Rebates</t>
  </si>
  <si>
    <t>Oct 13, 2011</t>
  </si>
  <si>
    <t>CA</t>
  </si>
  <si>
    <t>WSAtt_123</t>
  </si>
  <si>
    <t>WSAtt_127</t>
  </si>
  <si>
    <t>WSAtt_136</t>
  </si>
  <si>
    <t>WSAtt_128</t>
  </si>
  <si>
    <t>WSAtt_98</t>
  </si>
  <si>
    <t>baypoint</t>
  </si>
  <si>
    <t>WSAtt_132</t>
  </si>
  <si>
    <t>WSAtt_102</t>
  </si>
  <si>
    <t>Pttsburg</t>
  </si>
  <si>
    <t>WSAtt_714</t>
  </si>
  <si>
    <t>WSAtt_138</t>
  </si>
  <si>
    <t>WSAtt_141</t>
  </si>
  <si>
    <t>WSAtt_521</t>
  </si>
  <si>
    <t>WSAtt_147</t>
  </si>
  <si>
    <t>WSAtt_196</t>
  </si>
  <si>
    <t>WSAtt_148</t>
  </si>
  <si>
    <t>WSAtt_183</t>
  </si>
  <si>
    <t>WSAtt_152</t>
  </si>
  <si>
    <t>WSAtt_193</t>
  </si>
  <si>
    <t>WSAtt_765</t>
  </si>
  <si>
    <t>Pacifica</t>
  </si>
  <si>
    <t>WSAtt_74</t>
  </si>
  <si>
    <t>WSAtt_150</t>
  </si>
  <si>
    <t>WSAtt_151</t>
  </si>
  <si>
    <t>WSAtt_174</t>
  </si>
  <si>
    <t>WSAtt_154</t>
  </si>
  <si>
    <t>WSAtt_175</t>
  </si>
  <si>
    <t>WSAtt_601</t>
  </si>
  <si>
    <t>WSAtt_239</t>
  </si>
  <si>
    <t>WSAtt_153</t>
  </si>
  <si>
    <t>WSAtt_181</t>
  </si>
  <si>
    <t>WSAtt_155</t>
  </si>
  <si>
    <t>WSAtt_156</t>
  </si>
  <si>
    <t>WSAtt_540</t>
  </si>
  <si>
    <t>WSAtt_752</t>
  </si>
  <si>
    <t>WSAtt_173</t>
  </si>
  <si>
    <t>WSAtt_158</t>
  </si>
  <si>
    <t>WSAtt_194</t>
  </si>
  <si>
    <t>WSAtt_143</t>
  </si>
  <si>
    <t>San Carlos Homeowner Workshop: Energy Savings and Rebates</t>
  </si>
  <si>
    <t>Sep 28, 2011</t>
  </si>
  <si>
    <t>WSAtt_161</t>
  </si>
  <si>
    <t>WSAtt_166</t>
  </si>
  <si>
    <t>WSAtt_198</t>
  </si>
  <si>
    <t>WSAtt_711</t>
  </si>
  <si>
    <t>WSAtt_168</t>
  </si>
  <si>
    <t>WSAtt_674</t>
  </si>
  <si>
    <t>WSAtt_142</t>
  </si>
  <si>
    <t>WSAtt_167</t>
  </si>
  <si>
    <t>WSAtt_779</t>
  </si>
  <si>
    <t>WSAtt_445</t>
  </si>
  <si>
    <t>WSAtt_164</t>
  </si>
  <si>
    <t>WSAtt_768</t>
  </si>
  <si>
    <t>WSAtt_179</t>
  </si>
  <si>
    <t>WSAtt_412</t>
  </si>
  <si>
    <t>WSAtt_182</t>
  </si>
  <si>
    <t>WSAtt_170</t>
  </si>
  <si>
    <t>WSAtt_719</t>
  </si>
  <si>
    <t>WSAtt_176</t>
  </si>
  <si>
    <t>WSAtt_177</t>
  </si>
  <si>
    <t>WSAtt_527</t>
  </si>
  <si>
    <t>WSAtt_178</t>
  </si>
  <si>
    <t>WSAtt_387</t>
  </si>
  <si>
    <t>WSAtt_186</t>
  </si>
  <si>
    <t>WSAtt_184</t>
  </si>
  <si>
    <t>WSAtt_185</t>
  </si>
  <si>
    <t>WSAtt_159</t>
  </si>
  <si>
    <t>WSAtt_281</t>
  </si>
  <si>
    <t>concord</t>
  </si>
  <si>
    <t>WSAtt_188</t>
  </si>
  <si>
    <t>WSAtt_163</t>
  </si>
  <si>
    <t>WSAtt_12</t>
  </si>
  <si>
    <t>WSAtt_190</t>
  </si>
  <si>
    <t>WSAtt_784</t>
  </si>
  <si>
    <t>WSAtt_197</t>
  </si>
  <si>
    <t>WSAtt_202</t>
  </si>
  <si>
    <t>WSAtt_201</t>
  </si>
  <si>
    <t>WSAtt_207</t>
  </si>
  <si>
    <t>WSAtt_203</t>
  </si>
  <si>
    <t>WSAtt_727</t>
  </si>
  <si>
    <t>WSAtt_403</t>
  </si>
  <si>
    <t>WSAtt_638</t>
  </si>
  <si>
    <t>WSAtt_631</t>
  </si>
  <si>
    <t>WSAtt_440</t>
  </si>
  <si>
    <t>WSAtt_276</t>
  </si>
  <si>
    <t>WSAtt_541</t>
  </si>
  <si>
    <t>WSAtt_216</t>
  </si>
  <si>
    <t>WSAtt_770</t>
  </si>
  <si>
    <t>WSAtt_757</t>
  </si>
  <si>
    <t>WSAtt_212</t>
  </si>
  <si>
    <t>WSAtt_204</t>
  </si>
  <si>
    <t>WSAtt_464</t>
  </si>
  <si>
    <t>WSAtt_325</t>
  </si>
  <si>
    <t>WSAtt_224</t>
  </si>
  <si>
    <t>WSAtt_71</t>
  </si>
  <si>
    <t>WSAtt_225</t>
  </si>
  <si>
    <t>WSAtt_229</t>
  </si>
  <si>
    <t>WSAtt_228</t>
  </si>
  <si>
    <t>WSAtt_227</t>
  </si>
  <si>
    <t>WSAtt_249</t>
  </si>
  <si>
    <t>WSAtt_435</t>
  </si>
  <si>
    <t>WSAtt_320</t>
  </si>
  <si>
    <t>WSAtt_235</t>
  </si>
  <si>
    <t>WSAtt_240</t>
  </si>
  <si>
    <t>WSAtt_234</t>
  </si>
  <si>
    <t>WSAtt_233</t>
  </si>
  <si>
    <t>WSAtt_460</t>
  </si>
  <si>
    <t>WSAtt_629</t>
  </si>
  <si>
    <t>WSAtt_238</t>
  </si>
  <si>
    <t>WSAtt_787</t>
  </si>
  <si>
    <t>WSAtt_244</t>
  </si>
  <si>
    <t>WSAtt_145</t>
  </si>
  <si>
    <t>WSAtt_241</t>
  </si>
  <si>
    <t>WSAtt_243</t>
  </si>
  <si>
    <t>WSAtt_246</t>
  </si>
  <si>
    <t>WSAtt_248</t>
  </si>
  <si>
    <t>WSAtt_247</t>
  </si>
  <si>
    <t>WSAtt_218</t>
  </si>
  <si>
    <t>WSAtt_352</t>
  </si>
  <si>
    <t>WSAtt_264</t>
  </si>
  <si>
    <t>WSAtt_253</t>
  </si>
  <si>
    <t>Reedley</t>
  </si>
  <si>
    <t>WSAtt_259</t>
  </si>
  <si>
    <t>WSAtt_215</t>
  </si>
  <si>
    <t>WSAtt_260</t>
  </si>
  <si>
    <t>WSAtt_258</t>
  </si>
  <si>
    <t>WSAtt_236</t>
  </si>
  <si>
    <t>WSAtt_262</t>
  </si>
  <si>
    <t>WSAtt_384</t>
  </si>
  <si>
    <t>WSAtt_214</t>
  </si>
  <si>
    <t>WSAtt_267</t>
  </si>
  <si>
    <t>Sunnyvale Homeowner Workshop: Energy Savings and Rebates</t>
  </si>
  <si>
    <t>Sep 22, 2011</t>
  </si>
  <si>
    <t>WSAtt_268</t>
  </si>
  <si>
    <t>WSAtt_748</t>
  </si>
  <si>
    <t>WSAtt_265</t>
  </si>
  <si>
    <t>WSAtt_269</t>
  </si>
  <si>
    <t xml:space="preserve">El Sobrante </t>
  </si>
  <si>
    <t>WSAtt_271</t>
  </si>
  <si>
    <t>WSAtt_653</t>
  </si>
  <si>
    <t>WSAtt_430</t>
  </si>
  <si>
    <t>WSAtt_570</t>
  </si>
  <si>
    <t>WSAtt_432</t>
  </si>
  <si>
    <t>WSAtt_274</t>
  </si>
  <si>
    <t>WSAtt_275</t>
  </si>
  <si>
    <t>WSAtt_279</t>
  </si>
  <si>
    <t>WSAtt_278</t>
  </si>
  <si>
    <t>WSAtt_471</t>
  </si>
  <si>
    <t>WSAtt_280</t>
  </si>
  <si>
    <t>WSAtt_285</t>
  </si>
  <si>
    <t>WSAtt_708</t>
  </si>
  <si>
    <t>SF</t>
  </si>
  <si>
    <t>WSAtt_287</t>
  </si>
  <si>
    <t>WSAtt_414</t>
  </si>
  <si>
    <t>WSAtt_306</t>
  </si>
  <si>
    <t>WSAtt_301</t>
  </si>
  <si>
    <t>WSAtt_112</t>
  </si>
  <si>
    <t>WSAtt_36</t>
  </si>
  <si>
    <t>WSAtt_327</t>
  </si>
  <si>
    <t>WSAtt_289</t>
  </si>
  <si>
    <t>WSAtt_131</t>
  </si>
  <si>
    <t>WSAtt_290</t>
  </si>
  <si>
    <t>WSAtt_337</t>
  </si>
  <si>
    <t>WSAtt_291</t>
  </si>
  <si>
    <t>WSAtt_336</t>
  </si>
  <si>
    <t>WSAtt_533</t>
  </si>
  <si>
    <t>WSAtt_297</t>
  </si>
  <si>
    <t>WSAtt_293</t>
  </si>
  <si>
    <t>WSAtt_335</t>
  </si>
  <si>
    <t>WSAtt_295</t>
  </si>
  <si>
    <t>Emerald Hills</t>
  </si>
  <si>
    <t>WSAtt_356</t>
  </si>
  <si>
    <t>WSAtt_625</t>
  </si>
  <si>
    <t>WSAtt_294</t>
  </si>
  <si>
    <t>WSAtt_296</t>
  </si>
  <si>
    <t>WSAtt_298</t>
  </si>
  <si>
    <t>WSAtt_305</t>
  </si>
  <si>
    <t>WSAtt_309</t>
  </si>
  <si>
    <t>WSAtt_659</t>
  </si>
  <si>
    <t>WSAtt_310</t>
  </si>
  <si>
    <t>WSAtt_554</t>
  </si>
  <si>
    <t>WSAtt_773</t>
  </si>
  <si>
    <t>WSAtt_537</t>
  </si>
  <si>
    <t>WSAtt_313</t>
  </si>
  <si>
    <t>WSAtt_311</t>
  </si>
  <si>
    <t>WSAtt_315</t>
  </si>
  <si>
    <t>WSAtt_756</t>
  </si>
  <si>
    <t>WSAtt_303</t>
  </si>
  <si>
    <t>WSAtt_340</t>
  </si>
  <si>
    <t>WSAtt_318</t>
  </si>
  <si>
    <t>WSAtt_314</t>
  </si>
  <si>
    <t>Redwood Cit</t>
  </si>
  <si>
    <t>WSAtt_330</t>
  </si>
  <si>
    <t>WSAtt_326</t>
  </si>
  <si>
    <t>WSAtt_302</t>
  </si>
  <si>
    <t>WSAtt_328</t>
  </si>
  <si>
    <t>WSAtt_791</t>
  </si>
  <si>
    <t>WSAtt_473</t>
  </si>
  <si>
    <t>WSAtt_342</t>
  </si>
  <si>
    <t>WSAtt_345</t>
  </si>
  <si>
    <t>WSAtt_726</t>
  </si>
  <si>
    <t>WSAtt_343</t>
  </si>
  <si>
    <t>WSAtt_307</t>
  </si>
  <si>
    <t>WSAtt_566</t>
  </si>
  <si>
    <t>WSAtt_536</t>
  </si>
  <si>
    <t>WSAtt_300</t>
  </si>
  <si>
    <t>WSAtt_769</t>
  </si>
  <si>
    <t>WSAtt_331</t>
  </si>
  <si>
    <t>WSAtt_283</t>
  </si>
  <si>
    <t>WSAtt_776</t>
  </si>
  <si>
    <t>WSAtt_350</t>
  </si>
  <si>
    <t>WSAtt_339</t>
  </si>
  <si>
    <t>WSAtt_108</t>
  </si>
  <si>
    <t>WSAtt_764</t>
  </si>
  <si>
    <t>WSAtt_304</t>
  </si>
  <si>
    <t>WSAtt_507</t>
  </si>
  <si>
    <t>WSAtt_354</t>
  </si>
  <si>
    <t>WSAtt_353</t>
  </si>
  <si>
    <t>WSAtt_344</t>
  </si>
  <si>
    <t>WSAtt_595</t>
  </si>
  <si>
    <t>WSAtt_610</t>
  </si>
  <si>
    <t>WSAtt_725</t>
  </si>
  <si>
    <t>WSAtt_555</t>
  </si>
  <si>
    <t>WSAtt_355</t>
  </si>
  <si>
    <t>WSAtt_753</t>
  </si>
  <si>
    <t>WSAtt_334</t>
  </si>
  <si>
    <t>WSAtt_288</t>
  </si>
  <si>
    <t>WSAtt_321</t>
  </si>
  <si>
    <t>walnut creek</t>
  </si>
  <si>
    <t>WSAtt_358</t>
  </si>
  <si>
    <t>WSAtt_333</t>
  </si>
  <si>
    <t>WSAtt_319</t>
  </si>
  <si>
    <t>WSAtt_359</t>
  </si>
  <si>
    <t xml:space="preserve">Fresno </t>
  </si>
  <si>
    <t>WSAtt_338</t>
  </si>
  <si>
    <t>WSAtt_361</t>
  </si>
  <si>
    <t>WSAtt_44</t>
  </si>
  <si>
    <t>WSAtt_380</t>
  </si>
  <si>
    <t>WSAtt_664</t>
  </si>
  <si>
    <t>WSAtt_351</t>
  </si>
  <si>
    <t>WSAtt_391</t>
  </si>
  <si>
    <t>WSAtt_365</t>
  </si>
  <si>
    <t>WSAtt_1</t>
  </si>
  <si>
    <t>WSAtt_67</t>
  </si>
  <si>
    <t>WSAtt_360</t>
  </si>
  <si>
    <t>WSAtt_368</t>
  </si>
  <si>
    <t>WSAtt_396</t>
  </si>
  <si>
    <t>WSAtt_370</t>
  </si>
  <si>
    <t>WSAtt_383</t>
  </si>
  <si>
    <t>WSAtt_369</t>
  </si>
  <si>
    <t>los altos</t>
  </si>
  <si>
    <t>WSAtt_408</t>
  </si>
  <si>
    <t>WSAtt_374</t>
  </si>
  <si>
    <t>WSAtt_371</t>
  </si>
  <si>
    <t>WSAtt_376</t>
  </si>
  <si>
    <t>WSAtt_571</t>
  </si>
  <si>
    <t>WSAtt_109</t>
  </si>
  <si>
    <t>WSAtt_110</t>
  </si>
  <si>
    <t>WSAtt_348</t>
  </si>
  <si>
    <t>WSAtt_171</t>
  </si>
  <si>
    <t>WSAtt_373</t>
  </si>
  <si>
    <t>WSAtt_377</t>
  </si>
  <si>
    <t>WSAtt_379</t>
  </si>
  <si>
    <t>WSAtt_395</t>
  </si>
  <si>
    <t xml:space="preserve">Lafayette, </t>
  </si>
  <si>
    <t>WSAtt_397</t>
  </si>
  <si>
    <t xml:space="preserve">Foster City </t>
  </si>
  <si>
    <t>WSAtt_32</t>
  </si>
  <si>
    <t>WSAtt_382</t>
  </si>
  <si>
    <t>WSAtt_381</t>
  </si>
  <si>
    <t>WSAtt_404</t>
  </si>
  <si>
    <t>WSAtt_375</t>
  </si>
  <si>
    <t>WSAtt_332</t>
  </si>
  <si>
    <t>WSAtt_386</t>
  </si>
  <si>
    <t>WSAtt_393</t>
  </si>
  <si>
    <t>WSAtt_388</t>
  </si>
  <si>
    <t>WSAtt_394</t>
  </si>
  <si>
    <t>sunnyvale</t>
  </si>
  <si>
    <t>WSAtt_372</t>
  </si>
  <si>
    <t>WSAtt_400</t>
  </si>
  <si>
    <t>WSAtt_401</t>
  </si>
  <si>
    <t>WSAtt_399</t>
  </si>
  <si>
    <t>WSAtt_385</t>
  </si>
  <si>
    <t>WSAtt_402</t>
  </si>
  <si>
    <t>WSAtt_413</t>
  </si>
  <si>
    <t>WSAtt_444</t>
  </si>
  <si>
    <t>WSAtt_144</t>
  </si>
  <si>
    <t>WSAtt_519</t>
  </si>
  <si>
    <t>WSAtt_417</t>
  </si>
  <si>
    <t>WSAtt_418</t>
  </si>
  <si>
    <t>WSAtt_761</t>
  </si>
  <si>
    <t>WSAtt_425</t>
  </si>
  <si>
    <t>fresno</t>
  </si>
  <si>
    <t>WSAtt_758</t>
  </si>
  <si>
    <t>WSAtt_771</t>
  </si>
  <si>
    <t>WSAtt_421</t>
  </si>
  <si>
    <t>WSAtt_256</t>
  </si>
  <si>
    <t>WSAtt_422</t>
  </si>
  <si>
    <t>WSAtt_416</t>
  </si>
  <si>
    <t>WSAtt_411</t>
  </si>
  <si>
    <t>WSAtt_509</t>
  </si>
  <si>
    <t>WSAtt_427</t>
  </si>
  <si>
    <t>WSAtt_428</t>
  </si>
  <si>
    <t>WSAtt_429</t>
  </si>
  <si>
    <t>WSAtt_431</t>
  </si>
  <si>
    <t>WSAtt_434</t>
  </si>
  <si>
    <t>WSAtt_409</t>
  </si>
  <si>
    <t>WSAtt_448</t>
  </si>
  <si>
    <t>WSAtt_410</t>
  </si>
  <si>
    <t>WSAtt_210</t>
  </si>
  <si>
    <t>WSAtt_511</t>
  </si>
  <si>
    <t>WSAtt_232</t>
  </si>
  <si>
    <t>WSAtt_438</t>
  </si>
  <si>
    <t>WSAtt_442</t>
  </si>
  <si>
    <t>WSAtt_424</t>
  </si>
  <si>
    <t>WSAtt_447</t>
  </si>
  <si>
    <t>WSAtt_450</t>
  </si>
  <si>
    <t>WSAtt_19</t>
  </si>
  <si>
    <t>WSAtt_211</t>
  </si>
  <si>
    <t>WSAtt_420</t>
  </si>
  <si>
    <t>WSAtt_452</t>
  </si>
  <si>
    <t>WSAtt_454</t>
  </si>
  <si>
    <t>WSAtt_497</t>
  </si>
  <si>
    <t>WSAtt_453</t>
  </si>
  <si>
    <t>WSAtt_149</t>
  </si>
  <si>
    <t>WSAtt_458</t>
  </si>
  <si>
    <t>WSAtt_512</t>
  </si>
  <si>
    <t>WSAtt_483</t>
  </si>
  <si>
    <t>WSAtt_459</t>
  </si>
  <si>
    <t>WSAtt_739</t>
  </si>
  <si>
    <t>WSAtt_341</t>
  </si>
  <si>
    <t>WSAtt_69</t>
  </si>
  <si>
    <t>WSAtt_775</t>
  </si>
  <si>
    <t>WSAtt_500</t>
  </si>
  <si>
    <t>WSAtt_255</t>
  </si>
  <si>
    <t>WSAtt_495</t>
  </si>
  <si>
    <t>WSAtt_462</t>
  </si>
  <si>
    <t>WSAtt_461</t>
  </si>
  <si>
    <t>WSAtt_463</t>
  </si>
  <si>
    <t>WSAtt_774</t>
  </si>
  <si>
    <t>WSAtt_759</t>
  </si>
  <si>
    <t>WSAtt_2</t>
  </si>
  <si>
    <t>WSAtt_502</t>
  </si>
  <si>
    <t>WSAtt_346</t>
  </si>
  <si>
    <t>WSAtt_126</t>
  </si>
  <si>
    <t>WSAtt_436</t>
  </si>
  <si>
    <t>WSAtt_465</t>
  </si>
  <si>
    <t>WSAtt_701</t>
  </si>
  <si>
    <t>WSAtt_251</t>
  </si>
  <si>
    <t>WSAtt_581</t>
  </si>
  <si>
    <t>WSAtt_504</t>
  </si>
  <si>
    <t>WSAtt_475</t>
  </si>
  <si>
    <t>WSAtt_474</t>
  </si>
  <si>
    <t>WSAtt_496</t>
  </si>
  <si>
    <t>WSAtt_467</t>
  </si>
  <si>
    <t>WSAtt_772</t>
  </si>
  <si>
    <t>WSAtt_468</t>
  </si>
  <si>
    <t>WSAtt_466</t>
  </si>
  <si>
    <t>WSAtt_469</t>
  </si>
  <si>
    <t>WSAtt_587</t>
  </si>
  <si>
    <t>WSAtt_472</t>
  </si>
  <si>
    <t>WSAtt_66</t>
  </si>
  <si>
    <t>WSAtt_423</t>
  </si>
  <si>
    <t>WSAtt_780</t>
  </si>
  <si>
    <t>WSAtt_676</t>
  </si>
  <si>
    <t xml:space="preserve">Antioch </t>
  </si>
  <si>
    <t>WSAtt_479</t>
  </si>
  <si>
    <t>WSAtt_89</t>
  </si>
  <si>
    <t>WSAtt_506</t>
  </si>
  <si>
    <t>WSAtt_415</t>
  </si>
  <si>
    <t>WSAtt_485</t>
  </si>
  <si>
    <t>WSAtt_261</t>
  </si>
  <si>
    <t>WSAtt_237</t>
  </si>
  <si>
    <t>WSAtt_270</t>
  </si>
  <si>
    <t>WSAtt_717</t>
  </si>
  <si>
    <t>WSAtt_501</t>
  </si>
  <si>
    <t>WSAtt_125</t>
  </si>
  <si>
    <t>WSAtt_487</t>
  </si>
  <si>
    <t>WSAtt_489</t>
  </si>
  <si>
    <t>WSAtt_750</t>
  </si>
  <si>
    <t>WSAtt_457</t>
  </si>
  <si>
    <t>WSAtt_767</t>
  </si>
  <si>
    <t>WSAtt_542</t>
  </si>
  <si>
    <t>WSAtt_482</t>
  </si>
  <si>
    <t>pittsburg, ca</t>
  </si>
  <si>
    <t>WSAtt_257</t>
  </si>
  <si>
    <t>WSAtt_491</t>
  </si>
  <si>
    <t>WSAtt_505</t>
  </si>
  <si>
    <t>WSAtt_486</t>
  </si>
  <si>
    <t>WSAtt_492</t>
  </si>
  <si>
    <t>WSAtt_786</t>
  </si>
  <si>
    <t>WSAtt_494</t>
  </si>
  <si>
    <t>WSAtt_648</t>
  </si>
  <si>
    <t>WSAtt_160</t>
  </si>
  <si>
    <t>WSAtt_493</t>
  </si>
  <si>
    <t>WSAtt_510</t>
  </si>
  <si>
    <t>WSAtt_530</t>
  </si>
  <si>
    <t>WSAtt_762</t>
  </si>
  <si>
    <t>WSAtt_515</t>
  </si>
  <si>
    <t>WSAtt_364</t>
  </si>
  <si>
    <t>WSAtt_516</t>
  </si>
  <si>
    <t>WSAtt_749</t>
  </si>
  <si>
    <t>WSAtt_524</t>
  </si>
  <si>
    <t>WSAtt_525</t>
  </si>
  <si>
    <t>WSAtt_528</t>
  </si>
  <si>
    <t>WSAtt_532</t>
  </si>
  <si>
    <t>WSAtt_522</t>
  </si>
  <si>
    <t>WSAtt_534</t>
  </si>
  <si>
    <t>WSAtt_535</t>
  </si>
  <si>
    <t>WSAtt_538</t>
  </si>
  <si>
    <t>WSAtt_543</t>
  </si>
  <si>
    <t>WSAtt_209</t>
  </si>
  <si>
    <t>WSAtt_550</t>
  </si>
  <si>
    <t>WSAtt_439</t>
  </si>
  <si>
    <t>WSAtt_559</t>
  </si>
  <si>
    <t>WSAtt_561</t>
  </si>
  <si>
    <t>WSAtt_544</t>
  </si>
  <si>
    <t>WSAtt_446</t>
  </si>
  <si>
    <t>WSAtt_545</t>
  </si>
  <si>
    <t>WSAtt_547</t>
  </si>
  <si>
    <t>WSAtt_549</t>
  </si>
  <si>
    <t>WSAtt_644</t>
  </si>
  <si>
    <t>WSAtt_548</t>
  </si>
  <si>
    <t>WSAtt_546</t>
  </si>
  <si>
    <t>WSAtt_783</t>
  </si>
  <si>
    <t>WSAtt_551</t>
  </si>
  <si>
    <t>Kerman</t>
  </si>
  <si>
    <t>WSAtt_266</t>
  </si>
  <si>
    <t>WSAtt_552</t>
  </si>
  <si>
    <t>WSAtt_553</t>
  </si>
  <si>
    <t>WSAtt_560</t>
  </si>
  <si>
    <t>WSAtt_565</t>
  </si>
  <si>
    <t>WSAtt_367</t>
  </si>
  <si>
    <t>WSAtt_443</t>
  </si>
  <si>
    <t>WSAtt_562</t>
  </si>
  <si>
    <t>WSAtt_252</t>
  </si>
  <si>
    <t>WSAtt_564</t>
  </si>
  <si>
    <t>WSAtt_563</t>
  </si>
  <si>
    <t>WSAtt_673</t>
  </si>
  <si>
    <t>WSAtt_569</t>
  </si>
  <si>
    <t>WSAtt_277</t>
  </si>
  <si>
    <t>WSAtt_272</t>
  </si>
  <si>
    <t>WSAtt_598</t>
  </si>
  <si>
    <t>WSAtt_630</t>
  </si>
  <si>
    <t>WSAtt_572</t>
  </si>
  <si>
    <t>WSAtt_573</t>
  </si>
  <si>
    <t>WSAtt_600</t>
  </si>
  <si>
    <t>WSAtt_582</t>
  </si>
  <si>
    <t>WSAtt_580</t>
  </si>
  <si>
    <t>WSAtt_658</t>
  </si>
  <si>
    <t>WSAtt_575</t>
  </si>
  <si>
    <t>WSAtt_586</t>
  </si>
  <si>
    <t>WSAtt_588</t>
  </si>
  <si>
    <t>WSAtt_596</t>
  </si>
  <si>
    <t>WSAtt_187</t>
  </si>
  <si>
    <t>WSAtt_592</t>
  </si>
  <si>
    <t>WSAtt_568</t>
  </si>
  <si>
    <t>WSAtt_577</t>
  </si>
  <si>
    <t>WSAtt_584</t>
  </si>
  <si>
    <t>WSAtt_591</t>
  </si>
  <si>
    <t>Sunnyside Library Homeowner Workshop: Energy Savings and Rebates</t>
  </si>
  <si>
    <t>WSAtt_593</t>
  </si>
  <si>
    <t>WSAtt_594</t>
  </si>
  <si>
    <t>WSAtt_226</t>
  </si>
  <si>
    <t>WSAtt_614</t>
  </si>
  <si>
    <t>WSAtt_599</t>
  </si>
  <si>
    <t>pleasant hill</t>
  </si>
  <si>
    <t>WSAtt_70</t>
  </si>
  <si>
    <t>WSAtt_604</t>
  </si>
  <si>
    <t>WSAtt_72</t>
  </si>
  <si>
    <t>WSAtt_602</t>
  </si>
  <si>
    <t>Oct 12, 2011</t>
  </si>
  <si>
    <t>el sobrante</t>
  </si>
  <si>
    <t>WSAtt_589</t>
  </si>
  <si>
    <t>WSAtt_286</t>
  </si>
  <si>
    <t>WSAtt_605</t>
  </si>
  <si>
    <t>WSAtt_567</t>
  </si>
  <si>
    <t>WSAtt_603</t>
  </si>
  <si>
    <t>WSAtt_751</t>
  </si>
  <si>
    <t>WSAtt_585</t>
  </si>
  <si>
    <t>WSAtt_217</t>
  </si>
  <si>
    <t>WSAtt_670</t>
  </si>
  <si>
    <t>WSAtt_107</t>
  </si>
  <si>
    <t>WSAtt_578</t>
  </si>
  <si>
    <t>WSAtt_607</t>
  </si>
  <si>
    <t>WSAtt_73</t>
  </si>
  <si>
    <t>WSAtt_608</t>
  </si>
  <si>
    <t>WSAtt_574</t>
  </si>
  <si>
    <t>WSAtt_609</t>
  </si>
  <si>
    <t>WSAtt_612</t>
  </si>
  <si>
    <t>WSAtt_611</t>
  </si>
  <si>
    <t>WSAtt_65</t>
  </si>
  <si>
    <t>WSAtt_520</t>
  </si>
  <si>
    <t>WSAtt_583</t>
  </si>
  <si>
    <t>WSAtt_661</t>
  </si>
  <si>
    <t>WSAtt_426</t>
  </si>
  <si>
    <t>WSAtt_785</t>
  </si>
  <si>
    <t>WSAtt_618</t>
  </si>
  <si>
    <t>WSAtt_576</t>
  </si>
  <si>
    <t>WSAtt_777</t>
  </si>
  <si>
    <t>WSAtt_619</t>
  </si>
  <si>
    <t>WSAtt_718</t>
  </si>
  <si>
    <t>WSAtt_129</t>
  </si>
  <si>
    <t>WSAtt_134</t>
  </si>
  <si>
    <t>WSAtt_284</t>
  </si>
  <si>
    <t>WSAtt_633</t>
  </si>
  <si>
    <t>WSAtt_632</t>
  </si>
  <si>
    <t>WSAtt_628</t>
  </si>
  <si>
    <t>WSAtt_405</t>
  </si>
  <si>
    <t>WSAtt_662</t>
  </si>
  <si>
    <t>WSAtt_651</t>
  </si>
  <si>
    <t>Unincorporated - Redwood City</t>
  </si>
  <si>
    <t>WSAtt_678</t>
  </si>
  <si>
    <t>WSAtt_637</t>
  </si>
  <si>
    <t>WSAtt_641</t>
  </si>
  <si>
    <t>WSAtt_643</t>
  </si>
  <si>
    <t>WSAtt_642</t>
  </si>
  <si>
    <t>WSAtt_657</t>
  </si>
  <si>
    <t>clovis</t>
  </si>
  <si>
    <t>WSAtt_646</t>
  </si>
  <si>
    <t>WSAtt_645</t>
  </si>
  <si>
    <t>WSAtt_649</t>
  </si>
  <si>
    <t>WSAtt_782</t>
  </si>
  <si>
    <t>WSAtt_660</t>
  </si>
  <si>
    <t>WSAtt_654</t>
  </si>
  <si>
    <t>WSAtt_221</t>
  </si>
  <si>
    <t>WSAtt_655</t>
  </si>
  <si>
    <t>WSAtt_665</t>
  </si>
  <si>
    <t>WSAtt_668</t>
  </si>
  <si>
    <t>WSAtt_738</t>
  </si>
  <si>
    <t>WSAtt_621</t>
  </si>
  <si>
    <t>WSAtt_656</t>
  </si>
  <si>
    <t>WSAtt_667</t>
  </si>
  <si>
    <t>WSAtt_671</t>
  </si>
  <si>
    <t>WSAtt_695</t>
  </si>
  <si>
    <t>WSAtt_146</t>
  </si>
  <si>
    <t>WSAtt_696</t>
  </si>
  <si>
    <t>WSAtt_677</t>
  </si>
  <si>
    <t>WSAtt_488</t>
  </si>
  <si>
    <t>WSAtt_686</t>
  </si>
  <si>
    <t>WSAtt_682</t>
  </si>
  <si>
    <t>WSAtt_680</t>
  </si>
  <si>
    <t>WSAtt_626</t>
  </si>
  <si>
    <t>WSAtt_684</t>
  </si>
  <si>
    <t>WSAtt_685</t>
  </si>
  <si>
    <t>WSAtt_679</t>
  </si>
  <si>
    <t>WSAtt_683</t>
  </si>
  <si>
    <t>WSAtt_681</t>
  </si>
  <si>
    <t>WSAtt_79</t>
  </si>
  <si>
    <t>WSAtt_754</t>
  </si>
  <si>
    <t>WSAtt_49</t>
  </si>
  <si>
    <t>WSAtt_623</t>
  </si>
  <si>
    <t>Foster City</t>
  </si>
  <si>
    <t>WSAtt_697</t>
  </si>
  <si>
    <t>WSAtt_691</t>
  </si>
  <si>
    <t>WSAtt_690</t>
  </si>
  <si>
    <t>WSAtt_672</t>
  </si>
  <si>
    <t>WSAtt_692</t>
  </si>
  <si>
    <t>WSAtt_220</t>
  </si>
  <si>
    <t>WSAtt_689</t>
  </si>
  <si>
    <t>WSAtt_508</t>
  </si>
  <si>
    <t>WSAtt_639</t>
  </si>
  <si>
    <t>WSAtt_663</t>
  </si>
  <si>
    <t>WSAtt_724</t>
  </si>
  <si>
    <t>WSAtt_709</t>
  </si>
  <si>
    <t>WSAtt_699</t>
  </si>
  <si>
    <t>WSAtt_702</t>
  </si>
  <si>
    <t>WSAtt_720</t>
  </si>
  <si>
    <t>WSAtt_713</t>
  </si>
  <si>
    <t>WSAtt_700</t>
  </si>
  <si>
    <t>WSAtt_705</t>
  </si>
  <si>
    <t>WSAtt_652</t>
  </si>
  <si>
    <t>WSAtt_704</t>
  </si>
  <si>
    <t>Sep 20, 2011</t>
  </si>
  <si>
    <t>WSAtt_715</t>
  </si>
  <si>
    <t>WSAtt_712</t>
  </si>
  <si>
    <t>WSAtt_620</t>
  </si>
  <si>
    <t>WSAtt_558</t>
  </si>
  <si>
    <t>WSAtt_46</t>
  </si>
  <si>
    <t>WSAtt_716</t>
  </si>
  <si>
    <t>WSAtt_707</t>
  </si>
  <si>
    <t>WSAtt_407</t>
  </si>
  <si>
    <t>WSAtt_721</t>
  </si>
  <si>
    <t>WSAtt_722</t>
  </si>
  <si>
    <t>WSAtt_728</t>
  </si>
  <si>
    <t>WSAtt_729</t>
  </si>
  <si>
    <t>WSAtt_480</t>
  </si>
  <si>
    <t>WSAtt_731</t>
  </si>
  <si>
    <t>WSAtt_763</t>
  </si>
  <si>
    <t>WSAtt_675</t>
  </si>
  <si>
    <t>WSAtt_732</t>
  </si>
  <si>
    <t>redwood city</t>
  </si>
  <si>
    <t>WSAtt_498</t>
  </si>
  <si>
    <t>WSAtt_30</t>
  </si>
  <si>
    <t>WSAtt_357</t>
  </si>
  <si>
    <t>WSAtt_740</t>
  </si>
  <si>
    <t>WSAtt_735</t>
  </si>
  <si>
    <t>WSAtt_734</t>
  </si>
  <si>
    <t>WSAtt_736</t>
  </si>
  <si>
    <t>WSAtt_744</t>
  </si>
  <si>
    <t>WSAtt_13</t>
  </si>
  <si>
    <t>WSAtt_28</t>
  </si>
  <si>
    <t>WSAtt_68</t>
  </si>
  <si>
    <t>WSAtt_470</t>
  </si>
  <si>
    <t>WSAtt_57</t>
  </si>
  <si>
    <t>Marin</t>
  </si>
  <si>
    <t>WSAtt_77</t>
  </si>
  <si>
    <t>WSAtt_81</t>
  </si>
  <si>
    <t>WSAtt_82</t>
  </si>
  <si>
    <t>WSAtt_91</t>
  </si>
  <si>
    <t>WSAtt_83</t>
  </si>
  <si>
    <t>WSAtt_157</t>
  </si>
  <si>
    <t>WSAtt_180</t>
  </si>
  <si>
    <t>orinda</t>
  </si>
  <si>
    <t>WSAtt_165</t>
  </si>
  <si>
    <t>WSAtt_206</t>
  </si>
  <si>
    <t>WSAtt_263</t>
  </si>
  <si>
    <t>WSAtt_556</t>
  </si>
  <si>
    <t>WSAtt_317</t>
  </si>
  <si>
    <t>WSAtt_324</t>
  </si>
  <si>
    <t>WSAtt_347</t>
  </si>
  <si>
    <t>WSAtt_398</t>
  </si>
  <si>
    <t>WSAtt_15</t>
  </si>
  <si>
    <t>WSAtt_743</t>
  </si>
  <si>
    <t>WSAtt_441</t>
  </si>
  <si>
    <t>WSAtt_449</t>
  </si>
  <si>
    <t>WSAtt_162</t>
  </si>
  <si>
    <t>WSAtt_513</t>
  </si>
  <si>
    <t>WSAtt_242</t>
  </si>
  <si>
    <t>WSAtt_517</t>
  </si>
  <si>
    <t>WSAtt_557</t>
  </si>
  <si>
    <t>WSAtt_778</t>
  </si>
  <si>
    <t>WSAtt_104</t>
  </si>
  <si>
    <t>WSAtt_616</t>
  </si>
  <si>
    <t>WSAtt_481</t>
  </si>
  <si>
    <t>WSAtt_96</t>
  </si>
  <si>
    <t>WSAtt_606</t>
  </si>
  <si>
    <t>WSAtt_634</t>
  </si>
  <si>
    <t>WSAtt_635</t>
  </si>
  <si>
    <t>WSAtt_477</t>
  </si>
  <si>
    <t>WSAtt_688</t>
  </si>
  <si>
    <t>WSAtt_706</t>
  </si>
  <si>
    <t>WSAtt_733</t>
  </si>
  <si>
    <t>WSAtt_745</t>
  </si>
  <si>
    <t>WSAtt_737</t>
  </si>
  <si>
    <t>WSAtt_378</t>
  </si>
  <si>
    <t>0621753e-fd5d-486b-8bdc-a39599077049</t>
  </si>
  <si>
    <t>Menard Systems</t>
  </si>
  <si>
    <t>WSAtt_526</t>
  </si>
  <si>
    <t>08e83ad5-f349-412a-ac95-794c9a6ab31c</t>
  </si>
  <si>
    <t>4.0)FinalAppSubmitted</t>
  </si>
  <si>
    <t>WSAtt_579</t>
  </si>
  <si>
    <t>09211465-c8a1-4342-844d-a13d0c19edb9</t>
  </si>
  <si>
    <t>WSAtt_392</t>
  </si>
  <si>
    <t>0ebcc90d-cf22-409a-a220-e3c1b63d865b</t>
  </si>
  <si>
    <t>WSAtt_590</t>
  </si>
  <si>
    <t>0f3f4015-5249-4b77-a7d5-4f021cd07c0c</t>
  </si>
  <si>
    <t>WSAtt_208</t>
  </si>
  <si>
    <t>1847df98-6dab-42f6-8e87-f70c96274d88</t>
  </si>
  <si>
    <t>WSAtt_433</t>
  </si>
  <si>
    <t>1ec54b16-2700-4c55-9f53-1f30820ccc88</t>
  </si>
  <si>
    <t>3.0)WorkAuthorized</t>
  </si>
  <si>
    <t>WSAtt_195</t>
  </si>
  <si>
    <t>204cf692-296c-4800-b729-8a20e290d516</t>
  </si>
  <si>
    <t>95070</t>
  </si>
  <si>
    <t>WSAtt_92</t>
  </si>
  <si>
    <t>WSAtt_329</t>
  </si>
  <si>
    <t>24b6def1-3960-4a17-b0c3-ebb0d8e65b20</t>
  </si>
  <si>
    <t>WSAtt_169</t>
  </si>
  <si>
    <t>28da2af5-14fb-4fc6-8e88-c21ff59019f1</t>
  </si>
  <si>
    <t>WSAtt_299</t>
  </si>
  <si>
    <t>2a1b48f0-07c6-4bf8-9818-b004a2455978</t>
  </si>
  <si>
    <t>WSAtt_230</t>
  </si>
  <si>
    <t>2af15c25-b3a3-4ef8-b235-86d3da51d151</t>
  </si>
  <si>
    <t>WSAtt_94</t>
  </si>
  <si>
    <t>2b30ff8d-70cc-4839-87f3-fb4f9b1b7aab</t>
  </si>
  <si>
    <t>RESIDENTIAL HEATING AND AIR</t>
  </si>
  <si>
    <t>WSAtt_245</t>
  </si>
  <si>
    <t>38ea8662-741f-4f4b-af7f-ea01e7ad8d5f</t>
  </si>
  <si>
    <t>WSAtt_514</t>
  </si>
  <si>
    <t>3e303a30-8c5a-42af-b819-224823361365</t>
  </si>
  <si>
    <t>WSAtt_137</t>
  </si>
  <si>
    <t>3ecec55c-7e05-4ef1-ab98-e955a1aabb45</t>
  </si>
  <si>
    <t>WSAtt_636</t>
  </si>
  <si>
    <t>3fa48297-4c1b-47aa-8c2d-03feb3999bbc</t>
  </si>
  <si>
    <t>WSAtt_312</t>
  </si>
  <si>
    <t>408d224a-95ba-42bf-93d1-f4fe1787ba79</t>
  </si>
  <si>
    <t>AVA Construction</t>
  </si>
  <si>
    <t>WSAtt_698</t>
  </si>
  <si>
    <t>437f7909-385e-4e97-ad1d-c215749e78d3</t>
  </si>
  <si>
    <t>2.0)PrelimAppSubmitted</t>
  </si>
  <si>
    <t>WSAtt_503</t>
  </si>
  <si>
    <t>44ae637c-fd0f-4f0e-8b15-bb4cca6520f0</t>
  </si>
  <si>
    <t>Energy Conservation Options</t>
  </si>
  <si>
    <t>WSAtt_437</t>
  </si>
  <si>
    <t>4a7aa35a-edb0-4f04-a171-b8a67e7927da</t>
  </si>
  <si>
    <t>95128</t>
  </si>
  <si>
    <t>WSAtt_529</t>
  </si>
  <si>
    <t>50297b77-abd7-41f7-93a9-08d16acb690d</t>
  </si>
  <si>
    <t>95148</t>
  </si>
  <si>
    <t>WSAtt_135</t>
  </si>
  <si>
    <t>50629ca8-f57b-424f-8cb4-4ff603c800ff</t>
  </si>
  <si>
    <t>WSAtt_7</t>
  </si>
  <si>
    <t>5ca4350a-fbbd-4eb6-8e08-903815d2a35b</t>
  </si>
  <si>
    <t>WSAtt_219</t>
  </si>
  <si>
    <t>669cd41a-ce92-4cf5-9443-b177eeee5204</t>
  </si>
  <si>
    <t>WSAtt_95</t>
  </si>
  <si>
    <t>6bc1eb5a-e140-4321-8228-51008fcd08b3</t>
  </si>
  <si>
    <t>WSAtt_615</t>
  </si>
  <si>
    <t>6ef62e82-ece9-45a3-9969-5c46c7418659</t>
  </si>
  <si>
    <t>94014</t>
  </si>
  <si>
    <t>WSAtt_103</t>
  </si>
  <si>
    <t>729bf24e-2bc5-4f9d-9269-a893fd0b3b10</t>
  </si>
  <si>
    <t>WSAtt_10</t>
  </si>
  <si>
    <t>76b5f89c-096c-4681-9055-05884ccbfcbe</t>
  </si>
  <si>
    <t>95051</t>
  </si>
  <si>
    <t>WSAtt_627</t>
  </si>
  <si>
    <t>79bf29e3-0d4c-4f59-adc5-30e6d9ba93d1</t>
  </si>
  <si>
    <t>WSAtt_730</t>
  </si>
  <si>
    <t>Redwood City, CA</t>
  </si>
  <si>
    <t>WSAtt_490</t>
  </si>
  <si>
    <t>86084760-f6e8-406b-9087-aeafdc22dab8</t>
  </si>
  <si>
    <t>1.0)Preliminary</t>
  </si>
  <si>
    <t>Home Tight</t>
  </si>
  <si>
    <t>WSAtt_250</t>
  </si>
  <si>
    <t>898dd463-3e07-4a85-902c-826a266c7121</t>
  </si>
  <si>
    <t>WSAtt_172</t>
  </si>
  <si>
    <t>WSAtt_747</t>
  </si>
  <si>
    <t>9e83a37a-dc7e-4bae-91b3-863248ce2555</t>
  </si>
  <si>
    <t>94065</t>
  </si>
  <si>
    <t>WSAtt_192</t>
  </si>
  <si>
    <t>aa763dcb-1d63-46d1-a3cb-c922e5642090</t>
  </si>
  <si>
    <t>WSAtt_617</t>
  </si>
  <si>
    <t>b586ca06-fafc-4c9e-ba57-d9c7e9bbce71</t>
  </si>
  <si>
    <t>94063</t>
  </si>
  <si>
    <t>WSAtt_222</t>
  </si>
  <si>
    <t>b6fe8752-7f93-41ea-86c3-7b0e5891c5cf</t>
  </si>
  <si>
    <t>WSAtt_33</t>
  </si>
  <si>
    <t>b72f4243-62fd-4f26-be69-37410c367d39</t>
  </si>
  <si>
    <t>b9d895a1-bc15-46d2-ba1c-dcde1202ac03</t>
  </si>
  <si>
    <t>WSAtt_316</t>
  </si>
  <si>
    <t>bace5214-dc3e-4102-8800-b83770c1b40f</t>
  </si>
  <si>
    <t>WSAtt_35</t>
  </si>
  <si>
    <t>c05092b7-17b8-4b4a-8c85-2325f63b12b6</t>
  </si>
  <si>
    <t>94403</t>
  </si>
  <si>
    <t>WSAtt_61</t>
  </si>
  <si>
    <t>WSAtt_282</t>
  </si>
  <si>
    <t>cac9e811-1044-4d0c-990b-2df9955116a7</t>
  </si>
  <si>
    <t>WSAtt_523</t>
  </si>
  <si>
    <t>cb38764a-6f34-4720-88b5-87110bc3f420</t>
  </si>
  <si>
    <t>94044</t>
  </si>
  <si>
    <t>WSAtt_199</t>
  </si>
  <si>
    <t>d01b54a7-01fc-485b-aad0-ff3f7e106c6c</t>
  </si>
  <si>
    <t>WSAtt_755</t>
  </si>
  <si>
    <t>d1401c9a-c9be-4599-ba03-a59cb78df81e</t>
  </si>
  <si>
    <t>94015</t>
  </si>
  <si>
    <t>WSAtt_362</t>
  </si>
  <si>
    <t>d39c568d-9f95-409c-a0e3-ea2a1515e2c6</t>
  </si>
  <si>
    <t>WSAtt_389</t>
  </si>
  <si>
    <t>d6c1f7e1-2fc4-4a04-aa19-ebe834815e07</t>
  </si>
  <si>
    <t>e266ea73-954e-4d86-9b2b-962fcfc452ff</t>
  </si>
  <si>
    <t>WSAtt_499</t>
  </si>
  <si>
    <t>e424e9c0-8e92-4517-941d-392e020ca316</t>
  </si>
  <si>
    <t>WSAtt_723</t>
  </si>
  <si>
    <t>e7525ae2-a40f-4b38-be8b-0bbbae0e2171</t>
  </si>
  <si>
    <t>WSAtt_366</t>
  </si>
  <si>
    <t>e84e0d7e-f69d-40ed-abe3-7c53257030fc</t>
  </si>
  <si>
    <t>WSAtt_56</t>
  </si>
  <si>
    <t>eab5120a-d52f-4bcd-9c7d-3ce9de84304c</t>
  </si>
  <si>
    <t>WSAtt_322</t>
  </si>
  <si>
    <t>ec0a9cae-0f13-497b-bbbc-e6d001d3090d</t>
  </si>
  <si>
    <t>WSAtt_205</t>
  </si>
  <si>
    <t>edc38d39-ac66-4d44-92f0-410be7a0cd4d</t>
  </si>
  <si>
    <t>WSAtt_650</t>
  </si>
  <si>
    <t>edea806d-2e1a-468e-ac20-5bac478be959</t>
  </si>
  <si>
    <t>WSAtt_349</t>
  </si>
  <si>
    <t>efdd4c38-18b1-48b8-80cd-120143ecdf54</t>
  </si>
  <si>
    <t>WSAtt_478</t>
  </si>
  <si>
    <t>Zero Energy Contracting, Inc.</t>
  </si>
  <si>
    <t>WSAtt_622</t>
  </si>
  <si>
    <t>f49bcf77-ffbb-49c1-8bd4-8e3a4ceff2cc</t>
  </si>
  <si>
    <t>Barriers</t>
  </si>
  <si>
    <t>Contractors: Lack of awareness of programs</t>
  </si>
  <si>
    <t>Contractors: Lack of experience with whole-house approach and modeling</t>
  </si>
  <si>
    <t>Contractors: Lack of business and collaborative skills</t>
  </si>
  <si>
    <t>General:  Governmental regulations and permitting process</t>
  </si>
  <si>
    <t>File Name Components</t>
  </si>
  <si>
    <t>[PhaseName]</t>
  </si>
  <si>
    <t>TaskLead</t>
  </si>
  <si>
    <t>ODC</t>
  </si>
  <si>
    <t>SBW</t>
  </si>
  <si>
    <t>Qualitative Evidence</t>
  </si>
  <si>
    <t>[ODC or SBW]_WHEval</t>
  </si>
  <si>
    <t>[Type the caption here as it will appear in the report] this is about as long as a caption needs to be I think</t>
  </si>
  <si>
    <t>Caption1</t>
  </si>
  <si>
    <t>Caption2</t>
  </si>
  <si>
    <t>Caption3</t>
  </si>
  <si>
    <t>Caption4</t>
  </si>
  <si>
    <t>Caption5</t>
  </si>
  <si>
    <t>Caption6</t>
  </si>
  <si>
    <t>Data Source</t>
  </si>
  <si>
    <t>Customers: Lack of awareness of programs and energy efficiency benefits</t>
  </si>
  <si>
    <t>Customers: Lack of contact with qualified contractors</t>
  </si>
  <si>
    <t>Customers: Effort required to find and negotiate multiple programs</t>
  </si>
  <si>
    <t>Customers: First cost of doing multiple energy efficiency measures in a short time</t>
  </si>
  <si>
    <t>Customers: Lack of access to financing;</t>
  </si>
  <si>
    <t>["This workbook", [Name(s) file and query] or "none"]</t>
  </si>
  <si>
    <t>Fulfillment</t>
  </si>
  <si>
    <t>QA/QC</t>
  </si>
  <si>
    <t>Captions</t>
  </si>
  <si>
    <t>DataSource</t>
  </si>
  <si>
    <t>Marketing Effectiveness</t>
  </si>
  <si>
    <t>Program Manager</t>
  </si>
  <si>
    <t>Local Entity</t>
  </si>
  <si>
    <t>File Review</t>
  </si>
  <si>
    <t>Training Assessment</t>
  </si>
  <si>
    <t>On-Site</t>
  </si>
  <si>
    <t>Multiple</t>
  </si>
  <si>
    <t>This should be 12 columns with a width of 8.43 each.</t>
  </si>
  <si>
    <t>This should be 28 rows with a height of 15 each.</t>
  </si>
  <si>
    <t>Line chart with data-point markers</t>
  </si>
  <si>
    <t>Time</t>
  </si>
  <si>
    <t>To add or remove data points from all lines, insert or delete ROWS of data ABOVE the last row.
To add or remove lines of data, insert or delete COLUMNS of data to the LEFT of the last column.</t>
  </si>
  <si>
    <t>Line chart without data-point markers</t>
  </si>
  <si>
    <t>See note below</t>
  </si>
  <si>
    <t>Cluster column chart</t>
  </si>
  <si>
    <t>Cluster 1</t>
  </si>
  <si>
    <t>Cluster 2</t>
  </si>
  <si>
    <t>Cluster 3</t>
  </si>
  <si>
    <t>Cluster 4</t>
  </si>
  <si>
    <t>Cluster 5</t>
  </si>
  <si>
    <t>Cluster 6</t>
  </si>
  <si>
    <t>Column 1</t>
  </si>
  <si>
    <t>Column 2</t>
  </si>
  <si>
    <t>Column 3</t>
  </si>
  <si>
    <t>Column 4</t>
  </si>
  <si>
    <t>Column 5</t>
  </si>
  <si>
    <t>To add or remove whole clusters of chart columns, insert or delete COLUMNS to the LEFT of the last column.
To add or remove individual columns within each cluster, insert or delete ROWS of data ABOVE the last row.</t>
  </si>
  <si>
    <t>Stacked column chart</t>
  </si>
  <si>
    <t>Portion 1</t>
  </si>
  <si>
    <t>Portion 2</t>
  </si>
  <si>
    <t>Portion 3</t>
  </si>
  <si>
    <t>Portion 4</t>
  </si>
  <si>
    <t>Portion 5</t>
  </si>
  <si>
    <t>To add or remove whole chart columns, insert or delete COLUMNS to the LEFT of the last column.
To add or remove portions of a chart column, insert or delete ROWS of data ABOVE the last row.</t>
  </si>
  <si>
    <t>Pie chart</t>
  </si>
  <si>
    <t>Edit Data Labels to control which values are displayed.</t>
  </si>
  <si>
    <t>Apple</t>
  </si>
  <si>
    <t>Blueberry</t>
  </si>
  <si>
    <t>Boysenberry</t>
  </si>
  <si>
    <t>Cherry</t>
  </si>
  <si>
    <t>Key Lime</t>
  </si>
  <si>
    <t>Lemon Merangue</t>
  </si>
  <si>
    <t>Marionberry</t>
  </si>
  <si>
    <t>Mincemeat</t>
  </si>
  <si>
    <t>Peach</t>
  </si>
  <si>
    <t>Pecan</t>
  </si>
  <si>
    <t>Pumpkin</t>
  </si>
  <si>
    <t>Rhubarb</t>
  </si>
  <si>
    <t>Strawberry</t>
  </si>
  <si>
    <t>To add or remove data, insert or delete rows ABOVE the last line.</t>
  </si>
  <si>
    <t>Styles for Formatting Tables for Pasting into Word</t>
  </si>
  <si>
    <t>Style Inventory:</t>
  </si>
  <si>
    <t>tbl head</t>
  </si>
  <si>
    <t>tbl head c</t>
  </si>
  <si>
    <t>tbl head r</t>
  </si>
  <si>
    <t>tbl text</t>
  </si>
  <si>
    <t>tbl text c</t>
  </si>
  <si>
    <t>tbl text r</t>
  </si>
  <si>
    <t>tbl strong</t>
  </si>
  <si>
    <t>tbl strong c</t>
  </si>
  <si>
    <t>tbl strong r</t>
  </si>
  <si>
    <t>Sample Table:</t>
  </si>
  <si>
    <t>End Use</t>
  </si>
  <si>
    <t>Source</t>
  </si>
  <si>
    <t>Zone</t>
  </si>
  <si>
    <t>Total</t>
  </si>
  <si>
    <t>1</t>
  </si>
  <si>
    <t>2</t>
  </si>
  <si>
    <t>3</t>
  </si>
  <si>
    <t>Heating</t>
  </si>
  <si>
    <t>Metered</t>
  </si>
  <si>
    <t>Cooling</t>
  </si>
  <si>
    <t>Measured</t>
  </si>
  <si>
    <t>Lighting</t>
  </si>
  <si>
    <t>Estimated</t>
  </si>
  <si>
    <t>Instructions for Formatting Tables for Pasting into Word</t>
  </si>
  <si>
    <t>Headings</t>
  </si>
  <si>
    <t>Apply the following Excel styles to format column headings:</t>
  </si>
  <si>
    <r>
      <t>n</t>
    </r>
    <r>
      <rPr>
        <sz val="11"/>
        <color theme="1"/>
        <rFont val="Times New Roman"/>
        <family val="1"/>
      </rPr>
      <t xml:space="preserve">  </t>
    </r>
    <r>
      <rPr>
        <sz val="11"/>
        <color theme="1"/>
        <rFont val="Calibri"/>
        <family val="2"/>
        <scheme val="minor"/>
      </rPr>
      <t>tbl head (left justified)</t>
    </r>
  </si>
  <si>
    <r>
      <t>n</t>
    </r>
    <r>
      <rPr>
        <sz val="11"/>
        <color theme="1"/>
        <rFont val="Times New Roman"/>
        <family val="1"/>
      </rPr>
      <t xml:space="preserve">  </t>
    </r>
    <r>
      <rPr>
        <sz val="11"/>
        <color theme="1"/>
        <rFont val="Calibri"/>
        <family val="2"/>
        <scheme val="minor"/>
      </rPr>
      <t>tbl head c (centered)</t>
    </r>
  </si>
  <si>
    <r>
      <t>n</t>
    </r>
    <r>
      <rPr>
        <sz val="11"/>
        <color theme="1"/>
        <rFont val="Times New Roman"/>
        <family val="1"/>
      </rPr>
      <t xml:space="preserve">  </t>
    </r>
    <r>
      <rPr>
        <sz val="11"/>
        <color theme="1"/>
        <rFont val="Calibri"/>
        <family val="2"/>
        <scheme val="minor"/>
      </rPr>
      <t>tbl head r (right-justified)</t>
    </r>
  </si>
  <si>
    <t>Alternatively, you can format these cells manually as follows:</t>
  </si>
  <si>
    <r>
      <t>n</t>
    </r>
    <r>
      <rPr>
        <sz val="11"/>
        <color theme="1"/>
        <rFont val="Times New Roman"/>
        <family val="1"/>
      </rPr>
      <t xml:space="preserve">  </t>
    </r>
    <r>
      <rPr>
        <sz val="11"/>
        <color theme="1"/>
        <rFont val="Calibri"/>
        <family val="2"/>
        <scheme val="minor"/>
      </rPr>
      <t>Format using Cambria Bold text.</t>
    </r>
  </si>
  <si>
    <r>
      <t>n</t>
    </r>
    <r>
      <rPr>
        <sz val="11"/>
        <color theme="1"/>
        <rFont val="Times New Roman"/>
        <family val="1"/>
      </rPr>
      <t xml:space="preserve">  </t>
    </r>
    <r>
      <rPr>
        <sz val="11"/>
        <color theme="1"/>
        <rFont val="Calibri"/>
        <family val="2"/>
        <scheme val="minor"/>
      </rPr>
      <t>Left-, center-, or right-justify the cells as desired.</t>
    </r>
  </si>
  <si>
    <r>
      <t>n</t>
    </r>
    <r>
      <rPr>
        <sz val="11"/>
        <color theme="1"/>
        <rFont val="Times New Roman"/>
        <family val="1"/>
      </rPr>
      <t xml:space="preserve">  </t>
    </r>
    <r>
      <rPr>
        <sz val="11"/>
        <color theme="1"/>
        <rFont val="Calibri"/>
        <family val="2"/>
        <scheme val="minor"/>
      </rPr>
      <t xml:space="preserve">Set vertical alignment to </t>
    </r>
    <r>
      <rPr>
        <i/>
        <sz val="11"/>
        <color theme="1"/>
        <rFont val="Calibri"/>
        <family val="2"/>
        <scheme val="minor"/>
      </rPr>
      <t>Center</t>
    </r>
    <r>
      <rPr>
        <sz val="11"/>
        <color theme="1"/>
        <rFont val="Calibri"/>
        <family val="2"/>
        <scheme val="minor"/>
      </rPr>
      <t>.</t>
    </r>
  </si>
  <si>
    <t>Apply the following Excel styles to format normal data cells:</t>
  </si>
  <si>
    <r>
      <t>n</t>
    </r>
    <r>
      <rPr>
        <sz val="11"/>
        <color theme="1"/>
        <rFont val="Times New Roman"/>
        <family val="1"/>
      </rPr>
      <t xml:space="preserve">  </t>
    </r>
    <r>
      <rPr>
        <sz val="11"/>
        <color theme="1"/>
        <rFont val="Calibri"/>
        <family val="2"/>
        <scheme val="minor"/>
      </rPr>
      <t>tbl text (left justified)</t>
    </r>
  </si>
  <si>
    <r>
      <t>n</t>
    </r>
    <r>
      <rPr>
        <sz val="11"/>
        <color theme="1"/>
        <rFont val="Times New Roman"/>
        <family val="1"/>
      </rPr>
      <t xml:space="preserve">  </t>
    </r>
    <r>
      <rPr>
        <sz val="11"/>
        <color theme="1"/>
        <rFont val="Calibri"/>
        <family val="2"/>
        <scheme val="minor"/>
      </rPr>
      <t>tbl text c (centered)</t>
    </r>
  </si>
  <si>
    <r>
      <t>n</t>
    </r>
    <r>
      <rPr>
        <sz val="11"/>
        <color theme="1"/>
        <rFont val="Times New Roman"/>
        <family val="1"/>
      </rPr>
      <t xml:space="preserve">  </t>
    </r>
    <r>
      <rPr>
        <sz val="11"/>
        <color theme="1"/>
        <rFont val="Calibri"/>
        <family val="2"/>
        <scheme val="minor"/>
      </rPr>
      <t>tbl text r (right-justified)</t>
    </r>
  </si>
  <si>
    <t>Alternatively, you can format these cells manually as follows</t>
  </si>
  <si>
    <r>
      <t>n</t>
    </r>
    <r>
      <rPr>
        <sz val="11"/>
        <color theme="1"/>
        <rFont val="Times New Roman"/>
        <family val="1"/>
      </rPr>
      <t xml:space="preserve">  </t>
    </r>
    <r>
      <rPr>
        <sz val="11"/>
        <color theme="1"/>
        <rFont val="Calibri"/>
        <family val="2"/>
        <scheme val="minor"/>
      </rPr>
      <t>Format using Calibri (</t>
    </r>
    <r>
      <rPr>
        <i/>
        <sz val="11"/>
        <color theme="1"/>
        <rFont val="Calibri"/>
        <family val="2"/>
        <scheme val="minor"/>
      </rPr>
      <t>not</t>
    </r>
    <r>
      <rPr>
        <sz val="11"/>
        <color theme="1"/>
        <rFont val="Calibri"/>
        <family val="2"/>
        <scheme val="minor"/>
      </rPr>
      <t xml:space="preserve"> bold) text.</t>
    </r>
  </si>
  <si>
    <r>
      <t>n</t>
    </r>
    <r>
      <rPr>
        <sz val="11"/>
        <color theme="1"/>
        <rFont val="Times New Roman"/>
        <family val="1"/>
      </rPr>
      <t xml:space="preserve">  </t>
    </r>
    <r>
      <rPr>
        <sz val="11"/>
        <color theme="1"/>
        <rFont val="Calibri"/>
        <family val="2"/>
        <scheme val="minor"/>
      </rPr>
      <t xml:space="preserve">Set vertical alignment to </t>
    </r>
    <r>
      <rPr>
        <i/>
        <sz val="11"/>
        <color theme="1"/>
        <rFont val="Calibri"/>
        <family val="2"/>
        <scheme val="minor"/>
      </rPr>
      <t>Top</t>
    </r>
    <r>
      <rPr>
        <sz val="11"/>
        <color theme="1"/>
        <rFont val="Calibri"/>
        <family val="2"/>
        <scheme val="minor"/>
      </rPr>
      <t>.</t>
    </r>
  </si>
  <si>
    <t>Apply the following Excel styles to format “strong” data cells (e.g., totals and subheadings):</t>
  </si>
  <si>
    <r>
      <t>n</t>
    </r>
    <r>
      <rPr>
        <sz val="11"/>
        <color theme="1"/>
        <rFont val="Times New Roman"/>
        <family val="1"/>
      </rPr>
      <t xml:space="preserve">  </t>
    </r>
    <r>
      <rPr>
        <sz val="11"/>
        <color theme="1"/>
        <rFont val="Calibri"/>
        <family val="2"/>
        <scheme val="minor"/>
      </rPr>
      <t>tbl strong (left justified)</t>
    </r>
  </si>
  <si>
    <r>
      <t>n</t>
    </r>
    <r>
      <rPr>
        <sz val="11"/>
        <color theme="1"/>
        <rFont val="Times New Roman"/>
        <family val="1"/>
      </rPr>
      <t xml:space="preserve">  </t>
    </r>
    <r>
      <rPr>
        <sz val="11"/>
        <color theme="1"/>
        <rFont val="Calibri"/>
        <family val="2"/>
        <scheme val="minor"/>
      </rPr>
      <t>tbl strong c (centered)</t>
    </r>
  </si>
  <si>
    <r>
      <t>n</t>
    </r>
    <r>
      <rPr>
        <sz val="11"/>
        <color theme="1"/>
        <rFont val="Times New Roman"/>
        <family val="1"/>
      </rPr>
      <t xml:space="preserve">  </t>
    </r>
    <r>
      <rPr>
        <sz val="11"/>
        <color theme="1"/>
        <rFont val="Calibri"/>
        <family val="2"/>
        <scheme val="minor"/>
      </rPr>
      <t>tbl strong r (right-justified)</t>
    </r>
  </si>
  <si>
    <r>
      <t>n</t>
    </r>
    <r>
      <rPr>
        <sz val="11"/>
        <color theme="1"/>
        <rFont val="Times New Roman"/>
        <family val="1"/>
      </rPr>
      <t xml:space="preserve">  </t>
    </r>
    <r>
      <rPr>
        <sz val="11"/>
        <color theme="1"/>
        <rFont val="Calibri"/>
        <family val="2"/>
        <scheme val="minor"/>
      </rPr>
      <t>Format using Calibri bold text.</t>
    </r>
  </si>
  <si>
    <t>A Note About Additional Formatting</t>
  </si>
  <si>
    <t>To apply a style to one or more cells:</t>
  </si>
  <si>
    <t>1. Select the cell(s).</t>
  </si>
  <si>
    <t>2. Select the Home tab on the Ribbon, and locate the Styles group.</t>
  </si>
  <si>
    <r>
      <t xml:space="preserve">3. Depending on how "collapsed" the Styles group is, do </t>
    </r>
    <r>
      <rPr>
        <i/>
        <sz val="11"/>
        <color theme="1"/>
        <rFont val="Calibri"/>
        <family val="2"/>
      </rPr>
      <t>one</t>
    </r>
    <r>
      <rPr>
        <sz val="11"/>
        <color theme="1"/>
        <rFont val="Calibri"/>
        <family val="2"/>
        <scheme val="minor"/>
      </rPr>
      <t xml:space="preserve"> of the following:</t>
    </r>
  </si>
  <si>
    <r>
      <t>n</t>
    </r>
    <r>
      <rPr>
        <sz val="11"/>
        <color theme="1"/>
        <rFont val="Calibri"/>
        <family val="2"/>
        <scheme val="minor"/>
      </rPr>
      <t> Select the desired style in the Style gallery.</t>
    </r>
  </si>
  <si>
    <r>
      <t>n</t>
    </r>
    <r>
      <rPr>
        <sz val="11"/>
        <color theme="1"/>
        <rFont val="Calibri"/>
        <family val="2"/>
        <scheme val="minor"/>
      </rPr>
      <t> Click the Cell Styles button, then select the desired style from the Custom area of the style gallery.</t>
    </r>
  </si>
  <si>
    <r>
      <t>n</t>
    </r>
    <r>
      <rPr>
        <sz val="11"/>
        <color theme="1"/>
        <rFont val="Calibri"/>
        <family val="2"/>
        <scheme val="minor"/>
      </rPr>
      <t> Click the Styles button, then select the desired style from the style gallery.</t>
    </r>
  </si>
  <si>
    <t>Chart Type</t>
  </si>
  <si>
    <t>Chart Tab</t>
  </si>
  <si>
    <t>Data Tab</t>
  </si>
  <si>
    <t>This workbook contains templates for several types of charts. For each type of chart, there is a tab for the chart itself and a tab for its data. The names of these tabs all begin with "Cht" and continue with an abbreviation of the type of chart. The name of the data tab ends with a "d." The following table explains this nomenclature.</t>
  </si>
  <si>
    <r>
      <t xml:space="preserve">3. Right-click either selected tab, then select </t>
    </r>
    <r>
      <rPr>
        <i/>
        <sz val="11"/>
        <color theme="1"/>
        <rFont val="Calibri"/>
        <family val="2"/>
      </rPr>
      <t>Move or Copy</t>
    </r>
    <r>
      <rPr>
        <sz val="11"/>
        <color theme="1"/>
        <rFont val="Calibri"/>
        <family val="2"/>
        <scheme val="minor"/>
      </rPr>
      <t>.</t>
    </r>
  </si>
  <si>
    <r>
      <t xml:space="preserve">6. Click </t>
    </r>
    <r>
      <rPr>
        <i/>
        <sz val="11"/>
        <color theme="1"/>
        <rFont val="Calibri"/>
        <family val="2"/>
      </rPr>
      <t>OK</t>
    </r>
    <r>
      <rPr>
        <sz val="11"/>
        <color theme="1"/>
        <rFont val="Calibri"/>
        <family val="2"/>
        <scheme val="minor"/>
      </rPr>
      <t>.</t>
    </r>
  </si>
  <si>
    <r>
      <t>n</t>
    </r>
    <r>
      <rPr>
        <sz val="11"/>
        <color theme="1"/>
        <rFont val="Times New Roman"/>
        <family val="1"/>
      </rPr>
      <t xml:space="preserve">  </t>
    </r>
    <r>
      <rPr>
        <sz val="11"/>
        <color theme="1"/>
        <rFont val="Calibri"/>
        <family val="2"/>
        <scheme val="minor"/>
      </rPr>
      <t xml:space="preserve">Make sure your Excel table contains </t>
    </r>
    <r>
      <rPr>
        <i/>
        <sz val="11"/>
        <color theme="1"/>
        <rFont val="Calibri"/>
        <family val="2"/>
        <scheme val="minor"/>
      </rPr>
      <t>no fonts other than</t>
    </r>
    <r>
      <rPr>
        <sz val="11"/>
        <color theme="1"/>
        <rFont val="Calibri"/>
        <family val="2"/>
        <scheme val="minor"/>
      </rPr>
      <t xml:space="preserve"> Cambria bold, Calibri, and Calibri bold. If it does, those cells will not convert properly.</t>
    </r>
  </si>
  <si>
    <r>
      <t>n</t>
    </r>
    <r>
      <rPr>
        <sz val="11"/>
        <color theme="1"/>
        <rFont val="Times New Roman"/>
        <family val="1"/>
      </rPr>
      <t xml:space="preserve">  </t>
    </r>
    <r>
      <rPr>
        <sz val="11"/>
        <color theme="1"/>
        <rFont val="Calibri"/>
        <family val="2"/>
        <scheme val="minor"/>
      </rPr>
      <t>Any other formatting (such as text color, point size, italics, cell borders and shading) will be discarded during the conversion in Word, so you don’t need to worry about that when formatting in Excel.</t>
    </r>
  </si>
  <si>
    <t>Data</t>
  </si>
  <si>
    <t>Strong Data</t>
  </si>
  <si>
    <t>This Excel workbook includes formatting styles for three categories of table elements: headings, data/text, and "strong" (emphasized) data/text. It also includes three varieties or each for cell alignment: left, center, and right.</t>
  </si>
  <si>
    <r>
      <rPr>
        <b/>
        <sz val="11"/>
        <color theme="1"/>
        <rFont val="Calibri"/>
        <family val="2"/>
      </rPr>
      <t>L</t>
    </r>
    <r>
      <rPr>
        <sz val="11"/>
        <color theme="1"/>
        <rFont val="Calibri"/>
        <family val="2"/>
        <scheme val="minor"/>
      </rPr>
      <t>ine, without data markers</t>
    </r>
  </si>
  <si>
    <r>
      <rPr>
        <b/>
        <sz val="11"/>
        <color theme="1"/>
        <rFont val="Calibri"/>
        <family val="2"/>
      </rPr>
      <t>L</t>
    </r>
    <r>
      <rPr>
        <sz val="11"/>
        <color theme="1"/>
        <rFont val="Calibri"/>
        <family val="2"/>
        <scheme val="minor"/>
      </rPr>
      <t xml:space="preserve">ine, with data </t>
    </r>
    <r>
      <rPr>
        <b/>
        <sz val="11"/>
        <color theme="1"/>
        <rFont val="Calibri"/>
        <family val="2"/>
        <scheme val="minor"/>
      </rPr>
      <t>m</t>
    </r>
    <r>
      <rPr>
        <sz val="11"/>
        <color theme="1"/>
        <rFont val="Calibri"/>
        <family val="2"/>
        <scheme val="minor"/>
      </rPr>
      <t>arkers</t>
    </r>
  </si>
  <si>
    <r>
      <rPr>
        <b/>
        <sz val="11"/>
        <color theme="1"/>
        <rFont val="Calibri"/>
        <family val="2"/>
      </rPr>
      <t>C</t>
    </r>
    <r>
      <rPr>
        <sz val="11"/>
        <color theme="1"/>
        <rFont val="Calibri"/>
        <family val="2"/>
        <scheme val="minor"/>
      </rPr>
      <t xml:space="preserve">lustered </t>
    </r>
    <r>
      <rPr>
        <b/>
        <sz val="11"/>
        <color theme="1"/>
        <rFont val="Calibri"/>
        <family val="2"/>
        <scheme val="minor"/>
      </rPr>
      <t>C</t>
    </r>
    <r>
      <rPr>
        <sz val="11"/>
        <color theme="1"/>
        <rFont val="Calibri"/>
        <family val="2"/>
        <scheme val="minor"/>
      </rPr>
      <t>olumn</t>
    </r>
  </si>
  <si>
    <r>
      <rPr>
        <b/>
        <sz val="11"/>
        <color theme="1"/>
        <rFont val="Calibri"/>
        <family val="2"/>
      </rPr>
      <t>S</t>
    </r>
    <r>
      <rPr>
        <sz val="11"/>
        <color theme="1"/>
        <rFont val="Calibri"/>
        <family val="2"/>
        <scheme val="minor"/>
      </rPr>
      <t xml:space="preserve">tacked </t>
    </r>
    <r>
      <rPr>
        <b/>
        <sz val="11"/>
        <color theme="1"/>
        <rFont val="Calibri"/>
        <family val="2"/>
        <scheme val="minor"/>
      </rPr>
      <t>C</t>
    </r>
    <r>
      <rPr>
        <sz val="11"/>
        <color theme="1"/>
        <rFont val="Calibri"/>
        <family val="2"/>
        <scheme val="minor"/>
      </rPr>
      <t>olumn</t>
    </r>
  </si>
  <si>
    <r>
      <rPr>
        <b/>
        <sz val="11"/>
        <color theme="1"/>
        <rFont val="Calibri"/>
        <family val="2"/>
      </rPr>
      <t>P</t>
    </r>
    <r>
      <rPr>
        <sz val="11"/>
        <color theme="1"/>
        <rFont val="Calibri"/>
        <family val="2"/>
        <scheme val="minor"/>
      </rPr>
      <t>ie</t>
    </r>
  </si>
  <si>
    <t>Instructions for Using the Chart Templates</t>
  </si>
  <si>
    <r>
      <t xml:space="preserve">Each chart will have its own pair of worksheets--one for the chart (and additional "housekeeping" information) and one for its data. These worksheets will be named 1, 1D, 2, 2D, 3, 3D, and so on. The intended procedure is to make </t>
    </r>
    <r>
      <rPr>
        <b/>
        <sz val="11"/>
        <color theme="1"/>
        <rFont val="Calibri"/>
        <family val="2"/>
      </rPr>
      <t>copies</t>
    </r>
    <r>
      <rPr>
        <sz val="11"/>
        <color theme="1"/>
        <rFont val="Calibri"/>
        <family val="2"/>
        <scheme val="minor"/>
      </rPr>
      <t xml:space="preserve"> of the appropriate pair of "Cht" template worksheets, insert them in the correct worksheet position, rename them properly, and then edit the data and the chart to accommodate the actual (non-template) data. The following instructions explain how to do this step-by-step.</t>
    </r>
  </si>
  <si>
    <t>To make a copy of a pair of chart-template worksheets:</t>
  </si>
  <si>
    <t>1. Select the template worksheet for the type of chart you want.</t>
  </si>
  <si>
    <t>2. Hold down the Ctrl key and click the tab of the corresponding data worksheet (same tab name but with "d" added).</t>
  </si>
  <si>
    <r>
      <t xml:space="preserve">4. In the </t>
    </r>
    <r>
      <rPr>
        <i/>
        <sz val="11"/>
        <color theme="1"/>
        <rFont val="Calibri"/>
        <family val="2"/>
      </rPr>
      <t>Before sheet</t>
    </r>
    <r>
      <rPr>
        <sz val="11"/>
        <color theme="1"/>
        <rFont val="Calibri"/>
        <family val="2"/>
        <scheme val="minor"/>
      </rPr>
      <t xml:space="preserve"> list, select the first sheet </t>
    </r>
    <r>
      <rPr>
        <i/>
        <sz val="11"/>
        <color theme="1"/>
        <rFont val="Calibri"/>
        <family val="2"/>
        <scheme val="minor"/>
      </rPr>
      <t>after</t>
    </r>
    <r>
      <rPr>
        <sz val="11"/>
        <color theme="1"/>
        <rFont val="Calibri"/>
        <family val="2"/>
        <scheme val="minor"/>
      </rPr>
      <t xml:space="preserve"> all the existing pairs of chart tabs.</t>
    </r>
  </si>
  <si>
    <r>
      <rPr>
        <sz val="11"/>
        <color theme="1"/>
        <rFont val="Calibri"/>
        <family val="2"/>
      </rPr>
      <t xml:space="preserve">5. </t>
    </r>
    <r>
      <rPr>
        <b/>
        <sz val="11"/>
        <color rgb="FFC00000"/>
        <rFont val="Calibri"/>
        <family val="2"/>
      </rPr>
      <t>Important:</t>
    </r>
    <r>
      <rPr>
        <sz val="11"/>
        <color theme="1"/>
        <rFont val="Calibri"/>
        <family val="2"/>
        <scheme val="minor"/>
      </rPr>
      <t xml:space="preserve"> Make sure the </t>
    </r>
    <r>
      <rPr>
        <i/>
        <sz val="11"/>
        <color theme="1"/>
        <rFont val="Calibri"/>
        <family val="2"/>
        <scheme val="minor"/>
      </rPr>
      <t>Create a copy</t>
    </r>
    <r>
      <rPr>
        <sz val="11"/>
        <color theme="1"/>
        <rFont val="Calibri"/>
        <family val="2"/>
        <scheme val="minor"/>
      </rPr>
      <t xml:space="preserve"> checkbox </t>
    </r>
    <r>
      <rPr>
        <b/>
        <sz val="11"/>
        <color theme="1"/>
        <rFont val="Calibri"/>
        <family val="2"/>
        <scheme val="minor"/>
      </rPr>
      <t>does</t>
    </r>
    <r>
      <rPr>
        <sz val="11"/>
        <color theme="1"/>
        <rFont val="Calibri"/>
        <family val="2"/>
        <scheme val="minor"/>
      </rPr>
      <t xml:space="preserve"> contain a checkmark.</t>
    </r>
  </si>
  <si>
    <r>
      <t xml:space="preserve">7. Rename the two new worksheets according to their position in the sequence. For example, if they follow worksheets </t>
    </r>
    <r>
      <rPr>
        <b/>
        <sz val="11"/>
        <color theme="1"/>
        <rFont val="Calibri"/>
        <family val="2"/>
      </rPr>
      <t>8</t>
    </r>
    <r>
      <rPr>
        <sz val="11"/>
        <color theme="1"/>
        <rFont val="Calibri"/>
        <family val="2"/>
        <scheme val="minor"/>
      </rPr>
      <t xml:space="preserve"> and </t>
    </r>
    <r>
      <rPr>
        <b/>
        <sz val="11"/>
        <color theme="1"/>
        <rFont val="Calibri"/>
        <family val="2"/>
        <scheme val="minor"/>
      </rPr>
      <t>8D</t>
    </r>
    <r>
      <rPr>
        <sz val="11"/>
        <color theme="1"/>
        <rFont val="Calibri"/>
        <family val="2"/>
        <scheme val="minor"/>
      </rPr>
      <t xml:space="preserve">, name the new worksheets </t>
    </r>
    <r>
      <rPr>
        <b/>
        <sz val="11"/>
        <color theme="1"/>
        <rFont val="Calibri"/>
        <family val="2"/>
        <scheme val="minor"/>
      </rPr>
      <t>9</t>
    </r>
    <r>
      <rPr>
        <sz val="11"/>
        <color theme="1"/>
        <rFont val="Calibri"/>
        <family val="2"/>
        <scheme val="minor"/>
      </rPr>
      <t xml:space="preserve"> and </t>
    </r>
    <r>
      <rPr>
        <b/>
        <sz val="11"/>
        <color theme="1"/>
        <rFont val="Calibri"/>
        <family val="2"/>
        <scheme val="minor"/>
      </rPr>
      <t>9D</t>
    </r>
    <r>
      <rPr>
        <sz val="11"/>
        <color theme="1"/>
        <rFont val="Calibri"/>
        <family val="2"/>
        <scheme val="minor"/>
      </rPr>
      <t>.</t>
    </r>
  </si>
  <si>
    <r>
      <t xml:space="preserve">This should create a new pair of worksheets with the same names as the originals but ending in </t>
    </r>
    <r>
      <rPr>
        <b/>
        <sz val="10"/>
        <color theme="1"/>
        <rFont val="Calibri"/>
        <family val="2"/>
        <scheme val="minor"/>
      </rPr>
      <t>(2)</t>
    </r>
    <r>
      <rPr>
        <sz val="10"/>
        <color theme="1"/>
        <rFont val="Calibri"/>
        <family val="2"/>
        <scheme val="minor"/>
      </rPr>
      <t xml:space="preserve">. If the tab names do not end in </t>
    </r>
    <r>
      <rPr>
        <b/>
        <sz val="10"/>
        <color theme="1"/>
        <rFont val="Calibri"/>
        <family val="2"/>
        <scheme val="minor"/>
      </rPr>
      <t>(2)</t>
    </r>
    <r>
      <rPr>
        <sz val="10"/>
        <color theme="1"/>
        <rFont val="Calibri"/>
        <family val="2"/>
        <scheme val="minor"/>
      </rPr>
      <t>, you probably forgot step 5. Before you proceed, move the two tabs back to their original position and start over.</t>
    </r>
  </si>
  <si>
    <t>Line 1</t>
  </si>
  <si>
    <t>Line 2</t>
  </si>
  <si>
    <t>Line 3</t>
  </si>
  <si>
    <t>Line 4</t>
  </si>
  <si>
    <t>Line 9</t>
  </si>
  <si>
    <t>Line 5</t>
  </si>
  <si>
    <t>Line 6</t>
  </si>
  <si>
    <t>Line 7</t>
  </si>
  <si>
    <t>Line 8</t>
  </si>
  <si>
    <r>
      <t xml:space="preserve">Use </t>
    </r>
    <r>
      <rPr>
        <i/>
        <sz val="11"/>
        <color theme="1"/>
        <rFont val="Calibri"/>
        <family val="2"/>
      </rPr>
      <t>Format Data Series</t>
    </r>
    <r>
      <rPr>
        <sz val="11"/>
        <color theme="1"/>
        <rFont val="Calibri"/>
        <family val="2"/>
        <scheme val="minor"/>
      </rPr>
      <t xml:space="preserve"> to "move" a line onto the primary Y axis.</t>
    </r>
  </si>
  <si>
    <t>Lines 6-8 of the template data use the secondary Y axis.</t>
  </si>
  <si>
    <t>Lines 7-9 of the template data use the secondary Y axis.</t>
  </si>
  <si>
    <t>Col 1</t>
  </si>
  <si>
    <t>Col 2</t>
  </si>
  <si>
    <t>Col 3</t>
  </si>
  <si>
    <t>Col 4</t>
  </si>
  <si>
    <t>Col 5</t>
  </si>
  <si>
    <t>Col 6</t>
  </si>
  <si>
    <t>Col 7</t>
  </si>
  <si>
    <t>Col 8</t>
  </si>
  <si>
    <t>Col 9</t>
  </si>
  <si>
    <t>Col 10</t>
  </si>
  <si>
    <t>Col 11</t>
  </si>
  <si>
    <t>Col 12</t>
  </si>
  <si>
    <t>Col 13</t>
  </si>
  <si>
    <t>Col 14</t>
  </si>
  <si>
    <t>Col 15</t>
  </si>
  <si>
    <t>If the number of columns and label widths allow, re-orient the X-axis labels to horizontal.</t>
  </si>
  <si>
    <t>X</t>
  </si>
  <si>
    <t>Y</t>
  </si>
  <si>
    <t>Series 1</t>
  </si>
  <si>
    <t>Series2</t>
  </si>
  <si>
    <t>X-Y Scatter Plot</t>
  </si>
  <si>
    <t>To add or remove data points in a series, insert or delete ROWS within each series.</t>
  </si>
  <si>
    <r>
      <t>X</t>
    </r>
    <r>
      <rPr>
        <sz val="11"/>
        <color theme="1"/>
        <rFont val="Calibri"/>
        <family val="2"/>
      </rPr>
      <t>-</t>
    </r>
    <r>
      <rPr>
        <b/>
        <sz val="11"/>
        <color theme="1"/>
        <rFont val="Calibri"/>
        <family val="2"/>
      </rPr>
      <t>Y</t>
    </r>
    <r>
      <rPr>
        <sz val="11"/>
        <color theme="1"/>
        <rFont val="Calibri"/>
        <family val="2"/>
      </rPr>
      <t xml:space="preserve"> Scatter Plot</t>
    </r>
  </si>
  <si>
    <t>Median</t>
  </si>
  <si>
    <t>Min</t>
  </si>
  <si>
    <t>Max</t>
  </si>
  <si>
    <t>Case 1</t>
  </si>
  <si>
    <t>Case 2</t>
  </si>
  <si>
    <t>Case 3</t>
  </si>
  <si>
    <t>Case 4</t>
  </si>
  <si>
    <t>Case 5</t>
  </si>
  <si>
    <t>Case 6</t>
  </si>
  <si>
    <t>Case 7</t>
  </si>
  <si>
    <t>Case 8</t>
  </si>
  <si>
    <t>Mean</t>
  </si>
  <si>
    <t>To add or remove cases, insert or delete ROWs within the existing table, ABOVE the last row.</t>
  </si>
  <si>
    <r>
      <rPr>
        <b/>
        <sz val="11"/>
        <color theme="1"/>
        <rFont val="Wingdings"/>
        <charset val="2"/>
      </rPr>
      <t>ç</t>
    </r>
    <r>
      <rPr>
        <b/>
        <sz val="11"/>
        <color theme="1"/>
        <rFont val="Calibri"/>
        <family val="2"/>
        <scheme val="minor"/>
      </rPr>
      <t xml:space="preserve"> Text in this row will appear in the legend.</t>
    </r>
  </si>
  <si>
    <r>
      <rPr>
        <b/>
        <sz val="11"/>
        <color theme="1"/>
        <rFont val="Wingdings"/>
        <charset val="2"/>
      </rPr>
      <t>ç</t>
    </r>
    <r>
      <rPr>
        <b/>
        <sz val="11"/>
        <color theme="1"/>
        <rFont val="Calibri"/>
        <family val="2"/>
        <scheme val="minor"/>
      </rPr>
      <t xml:space="preserve"> This row indicates what data must be in each column.</t>
    </r>
  </si>
  <si>
    <t>Quartile 1</t>
  </si>
  <si>
    <t>Quartile 3</t>
  </si>
  <si>
    <t>Format the numbers in the first (Median) column as you want the Y axis on the chart to be formatted.</t>
  </si>
  <si>
    <t>Case Labels</t>
  </si>
  <si>
    <t>Box-and-Whiskers Plot (with Mean)</t>
  </si>
  <si>
    <r>
      <t>B</t>
    </r>
    <r>
      <rPr>
        <sz val="11"/>
        <color theme="1"/>
        <rFont val="Calibri"/>
        <family val="2"/>
      </rPr>
      <t xml:space="preserve">ox </t>
    </r>
    <r>
      <rPr>
        <b/>
        <sz val="11"/>
        <color theme="1"/>
        <rFont val="Calibri"/>
        <family val="2"/>
      </rPr>
      <t>&amp;</t>
    </r>
    <r>
      <rPr>
        <sz val="11"/>
        <color theme="1"/>
        <rFont val="Calibri"/>
        <family val="2"/>
      </rPr>
      <t xml:space="preserve"> </t>
    </r>
    <r>
      <rPr>
        <b/>
        <sz val="11"/>
        <color theme="1"/>
        <rFont val="Calibri"/>
        <family val="2"/>
      </rPr>
      <t>W</t>
    </r>
    <r>
      <rPr>
        <sz val="11"/>
        <color theme="1"/>
        <rFont val="Calibri"/>
        <family val="2"/>
      </rPr>
      <t>hiskers</t>
    </r>
  </si>
  <si>
    <t>Reduction in house leakage</t>
  </si>
  <si>
    <t>EPRO3_Msr1_Name</t>
  </si>
  <si>
    <t>CountOfEPRO3_Msr1_Name</t>
  </si>
  <si>
    <t>SumOfEPRO3_Msr1_SvgsPercent</t>
  </si>
  <si>
    <t>Measure</t>
  </si>
  <si>
    <t>House sealing</t>
  </si>
  <si>
    <t>Attic insulation</t>
  </si>
  <si>
    <t>Wall insulation</t>
  </si>
  <si>
    <t>Duct sealing</t>
  </si>
  <si>
    <t>EPRO3_Msr2_Name</t>
  </si>
  <si>
    <t>CountOfEPRO3_Msr2_Name</t>
  </si>
  <si>
    <t>SumOfEPRO3_Msr2_SvgsPercent</t>
  </si>
  <si>
    <t>Duct insulation</t>
  </si>
  <si>
    <t>HVAC System</t>
  </si>
  <si>
    <t>Floor insulation</t>
  </si>
  <si>
    <t>Windows</t>
  </si>
  <si>
    <t>Hot water heater</t>
  </si>
  <si>
    <t>EPRO3_Msr3_Name</t>
  </si>
  <si>
    <t>CountOfEPRO3_Msr3_Name</t>
  </si>
  <si>
    <t>SumOfEPRO3_Msr3_SvgsPercent</t>
  </si>
  <si>
    <t>EPRO3_Msr4_Name</t>
  </si>
  <si>
    <t>CountOfEPRO3_Msr4_Name</t>
  </si>
  <si>
    <t>SumOfEPRO3_Msr4_SvgsPercent</t>
  </si>
  <si>
    <t>EPRO3_Msr5_Name</t>
  </si>
  <si>
    <t>CountOfEPRO3_Msr5_Name</t>
  </si>
  <si>
    <t>SumOfEPRO3_Msr5_SvgsPercent</t>
  </si>
  <si>
    <t>EPRO3_Msr6_Name</t>
  </si>
  <si>
    <t>CountOfEPRO3_Msr6_Name</t>
  </si>
  <si>
    <t>SumOfEPRO3_Msr6_SvgsPercent</t>
  </si>
  <si>
    <t>EPRO3_Msr7_Name</t>
  </si>
  <si>
    <t>CountOfEPRO3_Msr7_Name</t>
  </si>
  <si>
    <t>SumOfEPRO3_Msr7_SvgsPercent</t>
  </si>
  <si>
    <t>Hot Water Heater</t>
  </si>
  <si>
    <t>Trkg_SBW_ID</t>
  </si>
  <si>
    <t>Trkg_UpgradeType</t>
  </si>
  <si>
    <t>JRT_Pre_Billing_AnnualkWh</t>
  </si>
  <si>
    <t>EPRO2_kWhUsage</t>
  </si>
  <si>
    <t>EPRO1_kWhUsage</t>
  </si>
  <si>
    <t>EPRO3_kWhUsage</t>
  </si>
  <si>
    <t>JRT_Post_Epro_AnnualkWhUsage</t>
  </si>
  <si>
    <t>EUCA-11-000210</t>
  </si>
  <si>
    <t>Advanced</t>
  </si>
  <si>
    <t>EUCA-11-000288</t>
  </si>
  <si>
    <t>EUCA-11-000178</t>
  </si>
  <si>
    <t>EUCA-11-000195</t>
  </si>
  <si>
    <t>EUCA-11-000222</t>
  </si>
  <si>
    <t>EUCA-11-000190</t>
  </si>
  <si>
    <t>EUCA-11-000180</t>
  </si>
  <si>
    <t>EUCA-11-000170</t>
  </si>
  <si>
    <t>EUCA-11-000164</t>
  </si>
  <si>
    <t>EUCA-11-000123</t>
  </si>
  <si>
    <t>EUCA-11-000115</t>
  </si>
  <si>
    <t>EUCA-11-000112</t>
  </si>
  <si>
    <t>EUCA-11-000289</t>
  </si>
  <si>
    <t>EUCA-11-000213</t>
  </si>
  <si>
    <t>EUCA-11-000215</t>
  </si>
  <si>
    <t>EUCA-11-000162</t>
  </si>
  <si>
    <t>dee29ac9-852b-4aaa-9945-4cf69b6b8855</t>
  </si>
  <si>
    <t>c5fc25b2-2da8-4044-980e-cd8dfb7dc2d9</t>
  </si>
  <si>
    <t>ba3895b0-374c-4e95-8686-59c91b0944f1</t>
  </si>
  <si>
    <t>cd436ece-0698-48fd-8158-f5e086a3b6ae</t>
  </si>
  <si>
    <t>d5a80b45-564d-483d-bc1e-30e9e30eb8e6</t>
  </si>
  <si>
    <t>ee8b110b-cc81-45fc-b592-62847709eb08</t>
  </si>
  <si>
    <t>2af2d706-ffcb-4d9e-85f5-3a59f80623fd</t>
  </si>
  <si>
    <t>7c8cbeae-bb2c-4ac1-adb9-339dc0a534cb</t>
  </si>
  <si>
    <t>c38605d6-d13b-4808-bd50-ed3638759021</t>
  </si>
  <si>
    <t>91bf2d9c-ea03-47e1-bc69-44dd80ded291</t>
  </si>
  <si>
    <t>689ebebf-3708-46d5-8ae6-48a58b323acb</t>
  </si>
  <si>
    <t>918ae78a-a929-490e-bcc0-683e9b284f0c</t>
  </si>
  <si>
    <t>7f25e65a-5cbf-492d-b7c4-b9345ae88bec</t>
  </si>
  <si>
    <t>62d24b61-9c65-4bf8-8c9a-c730a63fb960</t>
  </si>
  <si>
    <t>f2627e72-9d50-4820-9c59-6fbcd13b1e33</t>
  </si>
  <si>
    <t>4f59c9c4-e7f2-47e0-9054-12aeae29def1</t>
  </si>
  <si>
    <t>a2f5e210-9de1-4138-ba15-63d2b74cca85</t>
  </si>
  <si>
    <t>aa09f4a4-ab1a-434e-a539-bf8e1681335a</t>
  </si>
  <si>
    <t>4aedcceb-c5cb-4f23-8d6d-10380f166351</t>
  </si>
  <si>
    <t>c675a8ef-dc81-4b03-8eff-d5293deaf5ec</t>
  </si>
  <si>
    <t>abc1251c-f9fd-4d18-bdc4-de24b73b385b</t>
  </si>
  <si>
    <t>1782d21c-e08e-4217-a8cb-a6c3549eb63e</t>
  </si>
  <si>
    <t>3b01d68c-e02a-4897-98ec-94031cc79646</t>
  </si>
  <si>
    <t>79b1593a-0731-48e3-a6b8-c616a2126184</t>
  </si>
  <si>
    <t>0492c28e-112f-4f5e-8afa-df604f454933</t>
  </si>
  <si>
    <t>28471994-8b25-4e0e-9e7b-010d0484fd0b</t>
  </si>
  <si>
    <t>b0d0ba57-7edc-44a4-8c92-75cd7e9cfa94</t>
  </si>
  <si>
    <t>8f9d9fa0-cbf3-4b9c-9a7f-1afaafc2d54c</t>
  </si>
  <si>
    <t>86a1d053-47b8-411c-9554-5c72aa0adde1</t>
  </si>
  <si>
    <t>dcbc7998-9275-4bcc-924e-af84c6a384af</t>
  </si>
  <si>
    <t>cb0eb532-fa2f-421a-896b-67548cb3f604</t>
  </si>
  <si>
    <t>f336818d-0702-4815-bbe6-050f6bb2f699</t>
  </si>
  <si>
    <t>2241f5da-d1a6-4be5-82fa-49dd5c1db5e4</t>
  </si>
  <si>
    <t>0599e922-b022-4701-8c01-6c83d45bee8f</t>
  </si>
  <si>
    <t>e067acde-7f45-46d7-a3e8-79a64359b2c4</t>
  </si>
  <si>
    <t>2b9d2422-7c80-467b-903c-5025424593a0</t>
  </si>
  <si>
    <t>d3df091e-1df0-4ea3-b83b-1ae42be40cea</t>
  </si>
  <si>
    <t>54b315ab-6252-4fb3-bf37-6f3417fec503</t>
  </si>
  <si>
    <t>d9847b55-968b-45b6-913d-d5ebf5d7b88e</t>
  </si>
  <si>
    <t>ea7d3b73-d1b6-4ea8-991f-917497a788e4</t>
  </si>
  <si>
    <t>5fbed4e4-0a8d-4db5-8ac6-e528bb56aca8</t>
  </si>
  <si>
    <t>c65049f3-4254-4b94-a6cd-3aef1f14211a</t>
  </si>
  <si>
    <t>9d9fa498-9104-4163-9d8e-45d536d14b08</t>
  </si>
  <si>
    <t>bbb1b910-96e0-4b71-bf34-9daf7175957b</t>
  </si>
  <si>
    <t>b88dd2f6-fe65-4e31-b8fc-565e6aa68b35</t>
  </si>
  <si>
    <t>c7be677d-f159-44d5-adf9-57b7eaf7666d</t>
  </si>
  <si>
    <t>90646329-5339-431d-aed9-c3c82328a437</t>
  </si>
  <si>
    <t>ed8d539e-9060-4088-a4a1-c805297f6eac</t>
  </si>
  <si>
    <t>39d8d0cc-8a1a-4b51-aa00-897eed7dd2b7</t>
  </si>
  <si>
    <t>65506749-aa10-4cc5-89b6-69ecb93e7103</t>
  </si>
  <si>
    <t>JRT_Pre_Billing_AnnualTherms</t>
  </si>
  <si>
    <t>EPRO3_ThermsUsage</t>
  </si>
  <si>
    <t>PreQC_DESKCL_CFM50</t>
  </si>
  <si>
    <t>Basic</t>
  </si>
  <si>
    <t>Trkg_IOU</t>
  </si>
  <si>
    <t>Trkg_RandomOrder</t>
  </si>
  <si>
    <t>Trkg_IOU_JobID</t>
  </si>
  <si>
    <t>Trkg_SBW_JobStatus</t>
  </si>
  <si>
    <t>Trkg_Pilot</t>
  </si>
  <si>
    <t>Trkg_CustomerName</t>
  </si>
  <si>
    <t>Trkg_CustomerAddress</t>
  </si>
  <si>
    <t>Trkg_CustomerCity</t>
  </si>
  <si>
    <t>Trkg_CustomerZip</t>
  </si>
  <si>
    <t>Trkg_CustomerCounty</t>
  </si>
  <si>
    <t>Trkg_ElectricAccountNumber</t>
  </si>
  <si>
    <t>Trkg_GasAccountNumber</t>
  </si>
  <si>
    <t>Trkg_ContractorName</t>
  </si>
  <si>
    <t>Trkg_Date_AuditOrSignature</t>
  </si>
  <si>
    <t>Trkg_Date_PrelimAppSubmitted</t>
  </si>
  <si>
    <t>Trkg_Date_WorkAuthorized</t>
  </si>
  <si>
    <t>Trkg_Date_FinalAppSubmitted</t>
  </si>
  <si>
    <t>Trkg_Date_RebateApproved</t>
  </si>
  <si>
    <t>Trkg_Date_CheckSent</t>
  </si>
  <si>
    <t>Trkg_BldgSquareFeet</t>
  </si>
  <si>
    <t>Trkg_BldgVintage</t>
  </si>
  <si>
    <t>Trkg_PrelimSavings_kWh</t>
  </si>
  <si>
    <t>Trkg_PrelimSavings_kW</t>
  </si>
  <si>
    <t>Trkg_PrelimSavings_Therms</t>
  </si>
  <si>
    <t>Trkg_PrelimSavings_Percent</t>
  </si>
  <si>
    <t>Trkg_PrelimSavings_Rebate</t>
  </si>
  <si>
    <t>Trkg_FinalSavings_kWh</t>
  </si>
  <si>
    <t>Trkg_FinalSavings_kW</t>
  </si>
  <si>
    <t>Trkg_FinalSavings_Therms</t>
  </si>
  <si>
    <t>Trkg_FinalSavings_Percent</t>
  </si>
  <si>
    <t>Trkg_FinalSavings_Rebate</t>
  </si>
  <si>
    <t>Letter3_Date_RebateApproved</t>
  </si>
  <si>
    <t>Letter3_RebateAmount</t>
  </si>
  <si>
    <t>AppealLetter_Date</t>
  </si>
  <si>
    <t>AppealLetter_SavingsPercent</t>
  </si>
  <si>
    <t>EPRO1_Date</t>
  </si>
  <si>
    <t>EPRO1_SqFt</t>
  </si>
  <si>
    <t>EPRO1_Msrs_TotalSvgsPercent</t>
  </si>
  <si>
    <t>EPRO1_kWHSavings</t>
  </si>
  <si>
    <t>EPRO1_ThermsUsage</t>
  </si>
  <si>
    <t>EPRO1_ThermsSavings</t>
  </si>
  <si>
    <t>EPRO1_SavingsPercent</t>
  </si>
  <si>
    <t>EPRO2_Date</t>
  </si>
  <si>
    <t>EPRO2_SqFt</t>
  </si>
  <si>
    <t>EPRO2_Msrs_TotalSvgsPercent</t>
  </si>
  <si>
    <t>EPRO2_kWHSavings</t>
  </si>
  <si>
    <t>EPRO2_ThermsUsage</t>
  </si>
  <si>
    <t>EPRO2_ThermsSavings</t>
  </si>
  <si>
    <t>EPRO2_SavingsPercent</t>
  </si>
  <si>
    <t>EPRO3_Date</t>
  </si>
  <si>
    <t>EPRO3_SqFt</t>
  </si>
  <si>
    <t>EPRO3_Msr1_SvgsPercent</t>
  </si>
  <si>
    <t>EPRO3_Msr2_SvgsPercent</t>
  </si>
  <si>
    <t>EPRO3_Msr3_SvgsPercent</t>
  </si>
  <si>
    <t>EPRO3_Msr4_SvgsPercent</t>
  </si>
  <si>
    <t>EPRO3_Msr5_SvgsPercent</t>
  </si>
  <si>
    <t>EPRO3_Msr6_SvgsPercent</t>
  </si>
  <si>
    <t>EPRO3_Msr7_SvgsPercent</t>
  </si>
  <si>
    <t>EPRO3_Msr8_Name</t>
  </si>
  <si>
    <t>EPRO3_Msr8_SvgsPercent</t>
  </si>
  <si>
    <t>EPRO3_Msr9_Name</t>
  </si>
  <si>
    <t>EPRO3_Msr9_SvgsPercent</t>
  </si>
  <si>
    <t>EPRO3_Msr10_Name</t>
  </si>
  <si>
    <t>EPRO3_Msr10_SvgsPercent</t>
  </si>
  <si>
    <t>EPRO3_Msrs_TotalSvgsPercent</t>
  </si>
  <si>
    <t>EPRO3_kWHSavings</t>
  </si>
  <si>
    <t>EPRO3_ThermsSavings</t>
  </si>
  <si>
    <t>EPRO3_SavingsPercent</t>
  </si>
  <si>
    <t>JRT_Pre_AuditDate</t>
  </si>
  <si>
    <t>JRT_Pre_Contractor_Check</t>
  </si>
  <si>
    <t>JRT_Pre_CustomerName_Check</t>
  </si>
  <si>
    <t>JRT_Pre_UpgradeType</t>
  </si>
  <si>
    <t>JRT_Pre_CFM50_Infiltration</t>
  </si>
  <si>
    <t>JRT_Pre_DuctLeakage_CFM25</t>
  </si>
  <si>
    <t>JRT_Pre_CFM50_TestPass</t>
  </si>
  <si>
    <t>JRT_Pre_SqFt</t>
  </si>
  <si>
    <t>JRT_Pre_Epro_AnnualkWhUsage</t>
  </si>
  <si>
    <t>JRT_Pre_Epro_ProposedAnnualkWhUsage</t>
  </si>
  <si>
    <t>JRT_Pre_Epro_kWhSavings</t>
  </si>
  <si>
    <t>JRT_Pre_Epro_AnnualThermsUsage</t>
  </si>
  <si>
    <t>JRT_Pre_Epro_ProposedAnnualThermsUsage</t>
  </si>
  <si>
    <t>JRT_Pre_Epro_ThermsSavings</t>
  </si>
  <si>
    <t>JRT_Pre_Epro_SavingsPercent</t>
  </si>
  <si>
    <t>JRT_Post_Date_JobComplete</t>
  </si>
  <si>
    <t>JRT_Post_CFM50_Infiltration</t>
  </si>
  <si>
    <t>JRT_Post_DuctLeakage_CFM25</t>
  </si>
  <si>
    <t>JRT_Post_DuctLeakage_CFM25_Pass</t>
  </si>
  <si>
    <t>JRT_Post_Epro_ProposedAnnualkWhUsage</t>
  </si>
  <si>
    <t>JRT_Post_Epro_kWhSavings</t>
  </si>
  <si>
    <t>JRT_Post_Epro_AnnualThermsUsage</t>
  </si>
  <si>
    <t>JRT_Post_Epro_ProposedAnnualThermsUsage</t>
  </si>
  <si>
    <t>JRT_Post_Epro_ThermsSavings</t>
  </si>
  <si>
    <t>JRT_Post_Epro_SavingsPercent</t>
  </si>
  <si>
    <t>JRT_Post_measure_cost</t>
  </si>
  <si>
    <t>PreQC_RPT_kWhSavings</t>
  </si>
  <si>
    <t>PreQC_RPT_ThermSavings</t>
  </si>
  <si>
    <t>PreQC_RPT_TotalSavingsPercent</t>
  </si>
  <si>
    <t>PreQC_RPT_CombustionSafety_FAIL</t>
  </si>
  <si>
    <t>PreQC_RPT_MechanicalVentilation_Required</t>
  </si>
  <si>
    <t>PreQC_RPT_nMajorIssues</t>
  </si>
  <si>
    <t>PreQC_RPT_nMinorIssues</t>
  </si>
  <si>
    <t>PreQC_RPT_Issue1</t>
  </si>
  <si>
    <t>PreQC_RPT_Issue2</t>
  </si>
  <si>
    <t>PreQC_DESKCL_nModelingIssues</t>
  </si>
  <si>
    <t>PreQC_DESKCL_kWhSavings</t>
  </si>
  <si>
    <t>PreQC_DESKCL_CFM25</t>
  </si>
  <si>
    <t>PreQC_DESKCL_ThermSavings</t>
  </si>
  <si>
    <t>PreQC_DESKCL_TotalSavingsPercent</t>
  </si>
  <si>
    <t>PostQC_RPT_kWhSavings</t>
  </si>
  <si>
    <t>PostQC_RPT_ThermSavings</t>
  </si>
  <si>
    <t>PostQC_RPT_TotalSavingsPercent</t>
  </si>
  <si>
    <t>PostQC_RPT_CombustionSafety_FAIL</t>
  </si>
  <si>
    <t>PostQC_RPT_MechanicalVentilation_Required</t>
  </si>
  <si>
    <t>PostQC_RPT_nMajorIssues</t>
  </si>
  <si>
    <t>PostQC_RPT_nMinorIssues</t>
  </si>
  <si>
    <t>PostQC_RPT_Issue1</t>
  </si>
  <si>
    <t>PostQC_RPT_Issue2</t>
  </si>
  <si>
    <t>PostQC_DESKCL_nModelingIssues</t>
  </si>
  <si>
    <t>PostQC_DESKCL_kWhSavings</t>
  </si>
  <si>
    <t>PostQC_DESKCL_ThermSavings</t>
  </si>
  <si>
    <t>PostQC_DESKCL_TotalSavingsPercent</t>
  </si>
  <si>
    <t>PostQC_DESKCL_CFM50_Post_Infiltration</t>
  </si>
  <si>
    <t>PostQC_DESKCL_DuctLeakage_CFM25_Percent</t>
  </si>
  <si>
    <t>JRT_Pre_HeatingCapacity</t>
  </si>
  <si>
    <t>JRT_Post_HeatingCapacity</t>
  </si>
  <si>
    <t>JRT_Pre_CoolingCapacity</t>
  </si>
  <si>
    <t>JRT_Post_CoolingCapacity</t>
  </si>
  <si>
    <t>Covina</t>
  </si>
  <si>
    <t>91722</t>
  </si>
  <si>
    <t>SoCal Remodeling Products</t>
  </si>
  <si>
    <t>Asbestos possible in ducts</t>
  </si>
  <si>
    <t>Gas leakage at furnace</t>
  </si>
  <si>
    <t>Claremont</t>
  </si>
  <si>
    <t>91711</t>
  </si>
  <si>
    <t>Home Performance Matters</t>
  </si>
  <si>
    <t>Possible asbestos in ducts, 28% assumed</t>
  </si>
  <si>
    <t>Building leakage not reduced to .35ACH or 14%</t>
  </si>
  <si>
    <t>Mechanical ventilation recommended - 75% of BAS</t>
  </si>
  <si>
    <t xml:space="preserve">Valencia </t>
  </si>
  <si>
    <t>91354</t>
  </si>
  <si>
    <t>52. Comfort Control Corporation</t>
  </si>
  <si>
    <t>Duct test did not reach pressure</t>
  </si>
  <si>
    <t>Contractor to install mechanical ventilation - 60% of BAS</t>
  </si>
  <si>
    <t>Palmdale</t>
  </si>
  <si>
    <t>93551</t>
  </si>
  <si>
    <t>SolarCity</t>
  </si>
  <si>
    <t>Mechanical ventilation required</t>
  </si>
  <si>
    <t>EUCA-11-000229</t>
  </si>
  <si>
    <t>Huntington Beach</t>
  </si>
  <si>
    <t>92646</t>
  </si>
  <si>
    <t>ORANGE</t>
  </si>
  <si>
    <t>Wes Harding Construction Inc.</t>
  </si>
  <si>
    <t>Progressive Insulation and Windows</t>
  </si>
  <si>
    <t xml:space="preserve">Pomona </t>
  </si>
  <si>
    <t>91767</t>
  </si>
  <si>
    <t>68. Zero Energy Contracting, Inc.</t>
  </si>
  <si>
    <t>Possible asbestos in ducts</t>
  </si>
  <si>
    <t>West Covina</t>
  </si>
  <si>
    <t>91791</t>
  </si>
  <si>
    <t>EUCA-11-000361</t>
  </si>
  <si>
    <t>Lake Elsinore</t>
  </si>
  <si>
    <t>92532</t>
  </si>
  <si>
    <t>RIVERSIDE</t>
  </si>
  <si>
    <t>REEIS CA Inc.</t>
  </si>
  <si>
    <t>EUCA-11-000362</t>
  </si>
  <si>
    <t>Rancho Cucamonga</t>
  </si>
  <si>
    <t>91730</t>
  </si>
  <si>
    <t>SAN BERNARDINO</t>
  </si>
  <si>
    <t>Hacienda Heights</t>
  </si>
  <si>
    <t>91745</t>
  </si>
  <si>
    <t>Lakewood</t>
  </si>
  <si>
    <t>90715</t>
  </si>
  <si>
    <t>CAZ failed</t>
  </si>
  <si>
    <t>Possible asbestos in duct - no test</t>
  </si>
  <si>
    <t>Proposed HVAC system may be undersized</t>
  </si>
  <si>
    <t>Outside DHW CAZ failed</t>
  </si>
  <si>
    <t>Shower thermostat valve not installed</t>
  </si>
  <si>
    <t>91766</t>
  </si>
  <si>
    <t>San Dimas</t>
  </si>
  <si>
    <t>91773</t>
  </si>
  <si>
    <t>Post duct-leakage does not meet minimum requirements</t>
  </si>
  <si>
    <t>Post building leakage does not meet minimum requirements</t>
  </si>
  <si>
    <t>EUCA-11-000151</t>
  </si>
  <si>
    <t>EUCA-11-000127</t>
  </si>
  <si>
    <t>Corona</t>
  </si>
  <si>
    <t>92882</t>
  </si>
  <si>
    <t>Calabasas</t>
  </si>
  <si>
    <t>91302</t>
  </si>
  <si>
    <t>CAZ failed worst-case conditions</t>
  </si>
  <si>
    <t>EUCA-11-000122</t>
  </si>
  <si>
    <t xml:space="preserve">La Verne </t>
  </si>
  <si>
    <t>91750</t>
  </si>
  <si>
    <t>Failed CAZ testing</t>
  </si>
  <si>
    <t>Mechanical ventilation required, not installed</t>
  </si>
  <si>
    <t>Torrance</t>
  </si>
  <si>
    <t>90503</t>
  </si>
  <si>
    <t>Energy Services &amp; Technologies, Inc.</t>
  </si>
  <si>
    <t>Beverly Hills</t>
  </si>
  <si>
    <t>90212</t>
  </si>
  <si>
    <t>Residential Energy Assesment Services, Inc.</t>
  </si>
  <si>
    <t>Failed CAZ</t>
  </si>
  <si>
    <t>EPRO model has serious flaws</t>
  </si>
  <si>
    <t>Xuemei Kashou</t>
  </si>
  <si>
    <t>ACHn incorrect</t>
  </si>
  <si>
    <t>Duct leakage not verified</t>
  </si>
  <si>
    <t>Robert  Pitman</t>
  </si>
  <si>
    <t>93637</t>
  </si>
  <si>
    <t>MADERA</t>
  </si>
  <si>
    <t>Jerry Blancato</t>
  </si>
  <si>
    <t>93611</t>
  </si>
  <si>
    <t>1. CAZ Net Depressurization calculated incorrectly, please correct.</t>
  </si>
  <si>
    <t>Adrian Chew</t>
  </si>
  <si>
    <t>94127</t>
  </si>
  <si>
    <t>SAN FRANCISCO</t>
  </si>
  <si>
    <t>Ben  Wimberly</t>
  </si>
  <si>
    <t>93710</t>
  </si>
  <si>
    <t xml:space="preserve">1. Scope of work is showing R-50 insulation, Energy pro model is showing R66. Please correct </t>
  </si>
  <si>
    <t>Bradley Canady</t>
  </si>
  <si>
    <t>Lathrop</t>
  </si>
  <si>
    <t>95330</t>
  </si>
  <si>
    <t>SAN JOAQUIN</t>
  </si>
  <si>
    <t>Green Home Solutions by Grupe</t>
  </si>
  <si>
    <t>Tony Fang</t>
  </si>
  <si>
    <t>94132</t>
  </si>
  <si>
    <t>water heater fail, CO 32 ppm, draft -2.3</t>
  </si>
  <si>
    <t>Leak at furnace, issue will be fixed when heater is repaired</t>
  </si>
  <si>
    <t xml:space="preserve">1) The Cas form is missing the test out data for the CAZ and the duct test. Please fix and return to Build It Green. </t>
  </si>
  <si>
    <t>Michael Succo</t>
  </si>
  <si>
    <t>95650</t>
  </si>
  <si>
    <t xml:space="preserve">1. The CAS Measurements Form is missing relevant CAZ testing results. Please explain why it is not tested and or provide ALL CAZ test results and resubmit if you have results. If you do not Build It Green will except measurements through the first day of the upgrade work. Please submit for review. </t>
  </si>
  <si>
    <t xml:space="preserve">2. There are no gas leakage test results in CAS Measurement Form. Even if the gas test did not find gas leak(s), it still needs to be reported in the gas leaks notes as: No Gas Leaks. NO NEED TO RESUBMIT for this item. </t>
  </si>
  <si>
    <t xml:space="preserve">1. CAZ Zone portion of the CAS Measurements Sheets is not filled out correctly. Please refer to the BPI Technical Standards Pg. 14/17 and correct the form. </t>
  </si>
  <si>
    <t xml:space="preserve">2. Duct Sealing and Insulation not noted in scope of work/contract, but is included in the Energy Pro alternatives. Please clarify or correct energy pro model. </t>
  </si>
  <si>
    <t>Stephan Bugaj Anu Vikram</t>
  </si>
  <si>
    <t>1. Energy Pro Duct leakage needs to be recalculated - 420/(70*21.7)</t>
  </si>
  <si>
    <t>2. Energy Pro Walls on floor1 and 2nd floor crawl needs to be selected as new, this is how Energy Pro knows not calculate this into the alternative savings.</t>
  </si>
  <si>
    <t>Sharon &amp; Lon Estes</t>
  </si>
  <si>
    <t>Stockton</t>
  </si>
  <si>
    <t>95207</t>
  </si>
  <si>
    <t>1) There are no CAZ test results or CAS test results for the primary heating system. Please collect missing data upon start of job and provide updated test-in results to Build It Green.</t>
  </si>
  <si>
    <t xml:space="preserve">1) The Duct Leakage cfm on the CAS Form does not match the credit taken in the Energy Pro bld model. Please fix and return to Build It Green. </t>
  </si>
  <si>
    <t>Paul McNees</t>
  </si>
  <si>
    <t>Ultimate Home Performance</t>
  </si>
  <si>
    <t>Frances Taylor</t>
  </si>
  <si>
    <t>94123</t>
  </si>
  <si>
    <t>Building Efficiency</t>
  </si>
  <si>
    <t>No Combustion air.. Add combustion air</t>
  </si>
  <si>
    <t>Replace furnace with sealed combustion</t>
  </si>
  <si>
    <t xml:space="preserve">Airflow and Duct Leakage, CFM 25: No testing... b/c all ducts are unaccessible for sealing.  The ducts exist in soffits and between floors only.   If ducts were found to be leaky there would be no way to seal them. </t>
  </si>
  <si>
    <t>Mike McKibben</t>
  </si>
  <si>
    <t>95765</t>
  </si>
  <si>
    <t>PRE IJRT is missing 12 month utility usage. Please fill in and return to Build It Green.</t>
  </si>
  <si>
    <t xml:space="preserve">Warning: we are approving but are a bit confused as to the amount of floors. IJRT and Compass show one floor but BLD shows two floors. Is the BLD right or the Compass and IJRT. Please make sure to correct before project finals. </t>
  </si>
  <si>
    <t xml:space="preserve">The CAS form is still incomplete, There should be 2 zones, one for w/h and one for heating. </t>
  </si>
  <si>
    <t xml:space="preserve">Test out is the same as test in. Change on CAS form and Compass and IJRT, KB </t>
  </si>
  <si>
    <t>Virginia  Toney</t>
  </si>
  <si>
    <t xml:space="preserve">1. On test out- there should still be a worst case testing, even with sealed combustion appliances. kb </t>
  </si>
  <si>
    <t>Judith Zugelder</t>
  </si>
  <si>
    <t>legacy - no pre install files/info</t>
  </si>
  <si>
    <t>post-install files missing</t>
  </si>
  <si>
    <t>Roopal Desai</t>
  </si>
  <si>
    <t>Piedmont</t>
  </si>
  <si>
    <t>94611</t>
  </si>
  <si>
    <t>ALAMEDA</t>
  </si>
  <si>
    <t xml:space="preserve">BIG staff did not input a test-in blower door number when entering this job to Compass, so test-in number says zero. Actual test-in was 5600 CFM50. I'm not sure if the zero test in number is lowering the calculated rebate. </t>
  </si>
  <si>
    <t>Alejandro &amp; Guadalupe Rodriguez &amp; Morales</t>
  </si>
  <si>
    <t xml:space="preserve">No CAZ testing was done. Please collect missing CAZ data upon start of job and provide updated test-in results to Build It Green. </t>
  </si>
  <si>
    <t xml:space="preserve">1) The Building Leakage from the CAS form test-in does not match the test-in leakage in the Energy Pro bld model. Please fix and return to Build It Green.
2) Please provide the BA BPI numbers for the test-n and test-out persons and return to Build It Green. </t>
  </si>
  <si>
    <t>Lavan Jeeva</t>
  </si>
  <si>
    <t>Hayward</t>
  </si>
  <si>
    <t>94544</t>
  </si>
  <si>
    <t xml:space="preserve">Existing house was run with R12 attic in Energy Pro. Code for that vintage is R19. Submit photo that demonstrates actual value is R12. </t>
  </si>
  <si>
    <t xml:space="preserve">Not Approved. Please read notes below, correct and resubmit Test Measurements (CAS) form, Scope of Work and photos of manometer for duct leakage or set EnergyPro model to correct percentage (duct leakage is calculated using nominal system airflow of .0217 CFM x furnace output or 400 CFM per ton of cooling) or select "Duct Leakage not Verified" and resubmit BLD and XML files. </t>
  </si>
  <si>
    <t>3. The Contract docs contain no Scope of Work description. Scope of Work should match EnergyPro model. Please add/correct and resubmit.</t>
  </si>
  <si>
    <t>4. Duct Leakage is high, for leakage percentages greater than 30% provide a manometer photo showing the duct pressurization and CFM reading along with additional photos of the catastrophic failure of the duct system.</t>
  </si>
  <si>
    <t>Dua Moua</t>
  </si>
  <si>
    <t>95210</t>
  </si>
  <si>
    <t>replace water heater</t>
  </si>
  <si>
    <t xml:space="preserve">1) There are no CAZ test results or CAS test results for the primary heating system. Please collect missing data upon start of job and provide updated test-in results to Build It Green. </t>
  </si>
  <si>
    <t>Tao Deng</t>
  </si>
  <si>
    <t>Campbell</t>
  </si>
  <si>
    <t>95008</t>
  </si>
  <si>
    <t>Kun Su Chiang</t>
  </si>
  <si>
    <t>Millbrae</t>
  </si>
  <si>
    <t>94030</t>
  </si>
  <si>
    <t xml:space="preserve">1. Please do not put in a duct leakage percentage, since no duct test was performed you cannot say it was verified with a percentage. Please change to duct leakage not verified, also any future submitted application should reflect this if no duct blaster was performed. </t>
  </si>
  <si>
    <t xml:space="preserve">home has asbestos present </t>
  </si>
  <si>
    <t xml:space="preserve">2. Air sealing is not in the scope of work, but is included in Energy Pro Alternatives. Please clarify or correct. </t>
  </si>
  <si>
    <t>Gary Kaufmann</t>
  </si>
  <si>
    <t>94521</t>
  </si>
  <si>
    <t xml:space="preserve">3. Duct leakage is very high. Please confirm leakage cfm with a picture of manometer reading and pictures of duct system to explain such high leakage. Please resubmit.
</t>
  </si>
  <si>
    <t>Paul Hayes</t>
  </si>
  <si>
    <t>Bernice Cure</t>
  </si>
  <si>
    <t>Benicia</t>
  </si>
  <si>
    <t>94510</t>
  </si>
  <si>
    <t>SOLANO</t>
  </si>
  <si>
    <t>4/13/201</t>
  </si>
  <si>
    <t xml:space="preserve">1. Energy Pro 5 model duct leakage appears to be calculated incorrectly. Cooling loads should be used over heating since cooling requires more energy. Please recalculate for 400cfm/ton of cooling on future submitted applications.
</t>
  </si>
  <si>
    <t xml:space="preserve">  2. Energy Pro 5 model is showing all the walls and floor as having an R-13 value. The roof is showing an R-19. Insulation was not required on homes during the year this home was built. Can you verify this as being the correct R-values? 
1. Energy Pro 5 model duct leakage appears to be calculated incorrectly. Cooling loads should be used over heating since cooling requires more energy. Please recalculate for 400cfm/ton of cooling on future submitted applications.
2. Energy Pro 5 model is showing all the walls and floor as having an R-13 value. The roof is showing an R-19. Insulation was not required on homes during the year this home was built. Can you verify this as being the correct R-values? 
 </t>
  </si>
  <si>
    <t>Tom Wilkerson</t>
  </si>
  <si>
    <t>n/a</t>
  </si>
  <si>
    <t>Ventilation Required/Recommended (BAS or ASHRAE 62.2): VENTILATION NOT REQUIRED HOWEVER WE DID INSTALL 2  PANASONIC VENTILATING BATH FANS 
DHW NOT DRAFT TESTED DUE TO B VENT PIPE (NO DRILL BVENT)
HEATING UNIT EXISTS OUTSIDE OF HOME AND IS UNEFFECTED BY WORSTCASE 
HEATING UNIT NOT DRAFT TESTED DUE TO LACK OF PIPE AT INDUCER MOTOR</t>
  </si>
  <si>
    <t>Jennifer Randt</t>
  </si>
  <si>
    <t>Emeryville</t>
  </si>
  <si>
    <t>94608</t>
  </si>
  <si>
    <t>1. The PG&amp;E Service IDs are incorrect. They are two unique 10-digit numbers, labeled Service ID that can be found on the homeowner's utility bill. They are different from the meter #. If the job is all-electric, or only one utility is provided by PG&amp;E, only one service ID is required. We need these numbers in order to submit the job. Build It Green has supplied, please correct this on all future submittals.</t>
  </si>
  <si>
    <t>3. CAZ Zone all zeroes indicates CAZ was not tested. Please clarify.</t>
  </si>
  <si>
    <t>Dirk Pranke</t>
  </si>
  <si>
    <t>1. Energy Pro model building square footage does not match IJRT report. Please correct but no need to resubmit.</t>
  </si>
  <si>
    <t>2. - There are no gas leakage test results in CAS Measurement Form. Even if the gas test did not find gas leak(s), it still needs to be reported in the gas leaks notes as: No Gas Leaks. NO NEED TO RESUBMIT.</t>
  </si>
  <si>
    <t>James Lonergan</t>
  </si>
  <si>
    <t>94112</t>
  </si>
  <si>
    <t>TEST OUT:water heater: "Gas leak at valve.. fix in scope of work"</t>
  </si>
  <si>
    <r>
      <rPr>
        <b/>
        <sz val="11"/>
        <color theme="1"/>
        <rFont val="Calibri"/>
        <family val="2"/>
        <scheme val="minor"/>
      </rPr>
      <t>TEST OUT</t>
    </r>
    <r>
      <rPr>
        <sz val="11"/>
        <color theme="1"/>
        <rFont val="Calibri"/>
        <family val="2"/>
        <scheme val="minor"/>
      </rPr>
      <t>: CFM 25: No testing- Supply Ducts in soffits and are un-able to seal if found leaky.    But we did seal  the return air duct b/c it was a key area of the homes building leakage.</t>
    </r>
  </si>
  <si>
    <t xml:space="preserve">Hi David: (PRE) IJRT has absolutely NO information. The post is fine, but the PRE must have customer name, address, phone, etc plus all the utility information, Test in results, house information, hot water heater info, HVAC system info, Proposed job data, PG&amp;E EUC Rebate value info....the whole sheet is empty. IF you open it here on Compass, can you see it and all the red to the right? It won't let me Approve without it. Please. Thank you. </t>
  </si>
  <si>
    <t>Katrina Waller</t>
  </si>
  <si>
    <t>Suisun</t>
  </si>
  <si>
    <t>94585</t>
  </si>
  <si>
    <t xml:space="preserve">BLD has been adjusted to duct leakage not verified, as the leakage is greater then 30% and no solid pictures showing the leaky areas. </t>
  </si>
  <si>
    <t xml:space="preserve">TEST OUT: NOTES: NO GAS LEAKS, HVAC and DHW not working </t>
  </si>
  <si>
    <t xml:space="preserve">1. It appears the BPI put his CAZ limit in the Ambient c/o box, Please advise them they need to be very careful when filling in the boxes. The name was incorrect as well. These errors can cause PG&amp;E to reject projects. </t>
  </si>
  <si>
    <t>Yong Bai</t>
  </si>
  <si>
    <t>94605</t>
  </si>
  <si>
    <t>1. On the Test Measurements (CAS) form, duct leakage is listed as 25 CFM25. Calculated based on existing HVAC equipment specs (Nominal), existing leakage rounds up to 2%, not 10% as called out in EnergyPro (please enter CFM25 used to calculate duct leakage percentage in the HVAC Distribution tab, it’s currently listed as “0”). Please clarify, correct and resubmit whichever file is incorrect (CAS form or BLD and XML files).</t>
  </si>
  <si>
    <t>Greg Hrones</t>
  </si>
  <si>
    <t>Santa Rosa</t>
  </si>
  <si>
    <t>95409</t>
  </si>
  <si>
    <t>SONOMA</t>
  </si>
  <si>
    <t>CAL Custom Building Services, Inc</t>
  </si>
  <si>
    <t xml:space="preserve">2. Duct leakage is very high. Please confirm leakage cfm with a picture of manometer reading and pictures of duct system to explain such high leakage. In the future, any duct leakage over 30% Build It Green will need photos of ducts and manometer reading. </t>
  </si>
  <si>
    <t>Edward Ely</t>
  </si>
  <si>
    <t>94531</t>
  </si>
  <si>
    <t>Roger Hogan</t>
  </si>
  <si>
    <t>94523</t>
  </si>
  <si>
    <t xml:space="preserve">test out: HVAC is high efficiency furnace, mechanically assisted, can't drill pipe for draft </t>
  </si>
  <si>
    <t>Sarah Pollock</t>
  </si>
  <si>
    <t>94619</t>
  </si>
  <si>
    <t>1)Cas report needs Test In Duct Leakage.</t>
  </si>
  <si>
    <t xml:space="preserve">2)EnergyPro Bld Orientation is off. Bld 0, Front Wall 270, Rear Wall 270, R Wall 0, L Wall 0. This throws
the calculations off. Remove one bld file from Compass. </t>
  </si>
  <si>
    <t>3) Energy pro, under "building" is showing walls off orientation. 2 walls are modeled at 270 and 2 at 0</t>
  </si>
  <si>
    <t>Brett Vejar</t>
  </si>
  <si>
    <t>Oakdale</t>
  </si>
  <si>
    <t>95361</t>
  </si>
  <si>
    <t>STANISLAUS</t>
  </si>
  <si>
    <t>Kevin Kopczynski</t>
  </si>
  <si>
    <t>3. The duct insulation is inconsistent with the vintage of the building. Update the insulation on the ducts to be consistent with vintage of building (R-2.1) or confirm that there is currently no insulation.</t>
  </si>
  <si>
    <t>4. The duct leakage calculation is high. If you are using actual airflow to calculate the leakage, please provide the actual airflow you’re using as the basis for your calculation. If you are using nominal airflow, the calculations is incorrect—please correct and resubmit the EnergyPro BLD and XML files.</t>
  </si>
  <si>
    <t>Kelly Bennett</t>
  </si>
  <si>
    <t xml:space="preserve">Still not seeing any CAS measurements for furnace or water heater. Were those performed? </t>
  </si>
  <si>
    <t xml:space="preserve">1. You are supposed to to CAS Measurements on test out even though there was no equipment change. Where you told this did not need to be done? please provide us with test out data for the combustion appliances. </t>
  </si>
  <si>
    <t>Li  Cui</t>
  </si>
  <si>
    <t>4. Please change HVAC system new to existing in the distribution tab, and calculate duct leakage based on cooling load 400cfm/ton.</t>
  </si>
  <si>
    <t xml:space="preserve">5. Scope of work is stating attic insulation, Energy Pro is stating Roof insulation. please clarify how roof is going to R-38. </t>
  </si>
  <si>
    <t>1. No indication on CAS Form that the house was tested for gas leaks. Please clarify if test was performed.</t>
  </si>
  <si>
    <t>Joe Guitron</t>
  </si>
  <si>
    <t>Matt Crosbie</t>
  </si>
  <si>
    <t>Windsor</t>
  </si>
  <si>
    <t>95492</t>
  </si>
  <si>
    <t>N/A</t>
  </si>
  <si>
    <t>Art &amp; Charlotte Junqueiro</t>
  </si>
  <si>
    <t>Tracy</t>
  </si>
  <si>
    <t>95376</t>
  </si>
  <si>
    <t xml:space="preserve">1) The EnergyPro bld model took credit for Duct Leakage less than or equal to 9% leakage, the CAS report shows that the final Duct Leakage based on a 4 ton system replacement at 50% . Please address this and return to Build It Green. </t>
  </si>
  <si>
    <t>John Foster</t>
  </si>
  <si>
    <t>Lincoln</t>
  </si>
  <si>
    <t>95648</t>
  </si>
  <si>
    <t>2) The EnergyPro bld model took credit for Duct Leakage less than or equal to 15% leakage, the CAS report shows that the final Duct Leakage based on an existing 3.5 ton system is 23% . Please address this and return to Build It Green.</t>
  </si>
  <si>
    <t xml:space="preserve">3) The EnergyPro model took a credit for building Leakage of 1613 CFM at CFM50 the test out leakage on the CAS report is 2992 CFM, please correct data and return to Build It Green. </t>
  </si>
  <si>
    <t>Larry Katzeff</t>
  </si>
  <si>
    <t xml:space="preserve">2. The roof alternative initially said R-0 roof with attic I believe. It did not reflect the building model which shows the roof as a cathedral ceiling. I suggested the building roof be corrected to have an attic. Also, the scope of work says blow in cellulose in attic. So, the models ceiling is still incorrectly modeled. It appears that changing this will drop the saving below 15%. Please correct the Energy Pro Model, if it is below 15% you will have to re apply as a Basic application, not advanced.
</t>
  </si>
  <si>
    <t xml:space="preserve">3. No Duct leakage CFM 25 in CAS Measurements Form. How was 28% duct leakage in EP5 calculated? </t>
  </si>
  <si>
    <t>Michael Adelberg</t>
  </si>
  <si>
    <t>Doug Alburger</t>
  </si>
  <si>
    <t>1. Duct leakage calculated incorrectly, Please calculate 21.7cfm/1000 btuh output, for heating only systems. Please calculate correctly on future submitted applications</t>
  </si>
  <si>
    <t>Cathern &amp; Rosendo Castro</t>
  </si>
  <si>
    <t>95219</t>
  </si>
  <si>
    <t xml:space="preserve">1) The square footage of the floors makes no sense. You have the 1st floor as 1238 SF, the 2nd floor as 1239, yet on the IJRT you have a total square footage of 1238 for two stories. Please correct the slab and the roof as necessary as you make changes and then resubmit the EnergyPro model and XML file. </t>
  </si>
  <si>
    <t>Lawrence Boyd</t>
  </si>
  <si>
    <t>El Dorado Hills</t>
  </si>
  <si>
    <t>95762</t>
  </si>
  <si>
    <t>EL DORADO</t>
  </si>
  <si>
    <t>Gilmore Heating and Air</t>
  </si>
  <si>
    <t>na</t>
  </si>
  <si>
    <t xml:space="preserve">1. Water Heater fuel type does not match between docs. Please update docs. No Need To Resubmit. </t>
  </si>
  <si>
    <t xml:space="preserve">Not Approved. Please correct the CAS Measurements form with the correct owner name (there is no such person as Larry O'Neil associated with this address--the PG&amp;E account holder is Lawrence Boyd and the other person listed on your contract is Alice O'Neil). Please upload revised CAS form, then the project will be approved and move forward for rebate. </t>
  </si>
  <si>
    <t xml:space="preserve">1. The BPI analyst needs to include their certification # on the CAS Measurements form. Please provide. </t>
  </si>
  <si>
    <t>Lew Douglas</t>
  </si>
  <si>
    <t>94618</t>
  </si>
  <si>
    <t>4. Please select duct leakage not verified in Energy Pro since ducts were not tested due to Asbestos.</t>
  </si>
  <si>
    <t xml:space="preserve">1. Blower Door CFM50 in IJRT/Compass does not match CAS Measurements Form and Energy Pro. Please Clarify </t>
  </si>
  <si>
    <t>Fortunata Keller</t>
  </si>
  <si>
    <t>Manteca</t>
  </si>
  <si>
    <t>95336</t>
  </si>
  <si>
    <t>1) Proposal states that windows to be installed will have u factor of .30 and SHGC of .30 but your energy pro model is showing them modeled at .40. Please correct for full phase.</t>
  </si>
  <si>
    <t xml:space="preserve">2) Compass is missing utility account numbers. Please correct before going on to Full phase.  </t>
  </si>
  <si>
    <t>Rudy Calderon</t>
  </si>
  <si>
    <t xml:space="preserve">Rejected. This job was not reviewed. 1. Duct leakage is high. Please confirm leakage cfm with pictures of duct system to explain such high leakage. Any duct leakage over 30% Build It Green will need photos of ducts. The other option is to select “Duct Leakage Not Verified” which calculates a 30% leakage. </t>
  </si>
  <si>
    <t xml:space="preserve">Bld shows 15% duct leakage. And this number (CFM 25=185) is not in agreement with CAS form. But both figures are under 30% as far as we could calculate. Marisa: you will want all info to agree as far as BLD and CAS form. </t>
  </si>
  <si>
    <t xml:space="preserve">Additionally, your contract and Compass show different customer costs. Compass does reflect proposed cost at $10, 629 but after rebates, etc. Customer costs are different. These can easily be corrected. We will approve but warn of changes needed. Thank you. </t>
  </si>
  <si>
    <t>Amy Flick</t>
  </si>
  <si>
    <t>94595</t>
  </si>
  <si>
    <t>1. The PG&amp;E Service IDs are incorrect. They are two unique 10-digit numbers, labeled Service ID, that can be found on the homeowner's utility bill. They are different from the meter #. If the job is all-electric, or only one utility is provided by PG&amp;E, only one service ID is required. We need these numbers in order to submit the job.</t>
  </si>
  <si>
    <t>3. Energy Pro shows existing wall heater but zero btu for output. Please correct the EnergyPro model and resubmit the BLD and SML files.</t>
  </si>
  <si>
    <t>IOU</t>
  </si>
  <si>
    <t>SMUD</t>
  </si>
  <si>
    <t>Access database EUCAProcessReview; query "SBW_trkg_lagtimes3"</t>
  </si>
  <si>
    <t>Days from Preliminary Application to Work Authorized</t>
  </si>
  <si>
    <t>Days from Work Authorized to Work Complete</t>
  </si>
  <si>
    <t>Days from Work Complete to Rebate Approved</t>
  </si>
  <si>
    <t>Number of Post-Pilot Rebate Approved Jobs</t>
  </si>
  <si>
    <t>Gas Utility</t>
  </si>
  <si>
    <t>Electric Utility</t>
  </si>
  <si>
    <t>Upgrade Type</t>
  </si>
  <si>
    <t>Time lags due to IOU processing</t>
  </si>
  <si>
    <t>SCE Count</t>
  </si>
  <si>
    <t>SCE Avg Svgs</t>
  </si>
  <si>
    <t>PG&amp;E Count</t>
  </si>
  <si>
    <t>PG&amp;E Avg Svgs</t>
  </si>
  <si>
    <t>EUCAProcessReview.accdb queries  "SBW_SCEFiles_Msrs", "SBW_PGEFiles_Msrs"  and variants (make obvious edits to query)</t>
  </si>
  <si>
    <t>Total Energy Savings in completed jobs</t>
  </si>
  <si>
    <t>Billing Total energy</t>
  </si>
  <si>
    <t>Model total energy</t>
  </si>
  <si>
    <t>%diff total energy billing to model</t>
  </si>
  <si>
    <t>%diff kWh billing to model</t>
  </si>
  <si>
    <t>%diff therms billing to model</t>
  </si>
  <si>
    <t>This workbook, FileReviewW12</t>
  </si>
  <si>
    <t>Energy Savings Percentage</t>
  </si>
  <si>
    <t>Query SBW_Files_PGESvgsPercent:</t>
  </si>
  <si>
    <t>Difference in Savings between pre Application and pre QC</t>
  </si>
  <si>
    <t>Difference in Savings between pre Application and Final QC Value</t>
  </si>
  <si>
    <t>CountOfJob ID</t>
  </si>
  <si>
    <t>AvgOfEnergy Savings Percentage</t>
  </si>
  <si>
    <t>Tracking Data</t>
  </si>
  <si>
    <t>Pre to Pre QC CFM50 percent change</t>
  </si>
  <si>
    <t>Pre to Post CFM50 percent change</t>
  </si>
  <si>
    <t>Pre to Pre QC CFM25 percent change</t>
  </si>
  <si>
    <t>Pre to Post CFM25 percent change</t>
  </si>
  <si>
    <t>PostQC_DESKCL_BldgVolume</t>
  </si>
  <si>
    <t>PostQC_DESKCL_N-factor</t>
  </si>
  <si>
    <t>PostQC_DESKCL_PreACH</t>
  </si>
  <si>
    <t>PostQC_DESKCL_PostACH</t>
  </si>
  <si>
    <t>This workbook, sheet FileReviewW12</t>
  </si>
  <si>
    <t>Pre and post ACH</t>
  </si>
  <si>
    <t>SCE %of measures</t>
  </si>
  <si>
    <t>PG&amp;E %of measures</t>
  </si>
  <si>
    <t>SCE % of sites</t>
  </si>
  <si>
    <t>PG&amp;E % of sites</t>
  </si>
  <si>
    <t>IOU_JobID</t>
  </si>
  <si>
    <t>CountofPreAppReturned</t>
  </si>
  <si>
    <t>01cd9a0e-4d72-4373-a98a-0e6c007e5442</t>
  </si>
  <si>
    <t>02e41664-24d4-4d5f-9d85-fb3f4df8d62f</t>
  </si>
  <si>
    <t>04f5c08b-01f4-4ac5-b36f-bf63c997212d</t>
  </si>
  <si>
    <t>065a8861-9326-4048-9c97-93bf859e8f79</t>
  </si>
  <si>
    <t>068ec803-2f61-4023-b98c-748720547def</t>
  </si>
  <si>
    <t>06e167fa-b630-4b84-8e40-64b2aa374208</t>
  </si>
  <si>
    <t>07495a22-6606-496d-b470-269c58c2423b</t>
  </si>
  <si>
    <t>0809e262-fa74-4ef0-8660-e1086a036bbd</t>
  </si>
  <si>
    <t>086fa815-69b6-4aed-a3ba-89d6e0b5c396</t>
  </si>
  <si>
    <t>08ba386b-24ad-4ba1-80fd-4b1e7d68b41a</t>
  </si>
  <si>
    <t>097034bc-3cf4-4e6c-8b0c-49bc6eaf2b75</t>
  </si>
  <si>
    <t>09a11150-d918-4d98-a4a5-46923aa2f51c</t>
  </si>
  <si>
    <t>09f5e715-8f02-4a02-bf2a-4accd3171634</t>
  </si>
  <si>
    <t>0aad194e-b682-4f62-8253-ee5522a34482</t>
  </si>
  <si>
    <t>0ae893d4-9666-430d-ae03-0e80f70f2e23</t>
  </si>
  <si>
    <t>0b7ed4aa-c8a3-42c1-8e87-1b07317c7ebd</t>
  </si>
  <si>
    <t>0c7f1adf-0da2-40d0-9b0a-f1ab7cc7b138</t>
  </si>
  <si>
    <t>0ec72f9c-58c9-48a0-9165-a4cdc0a5929f</t>
  </si>
  <si>
    <t>0f5ae784-1a6e-4b8b-b73b-4d8427f07237</t>
  </si>
  <si>
    <t>0ffd1c79-fffe-4566-958b-3096f9dabf29</t>
  </si>
  <si>
    <t>106daa95-22e9-44e4-9b2c-42406830748b</t>
  </si>
  <si>
    <t>11731ab7-74ef-4048-b596-332650b5fddc</t>
  </si>
  <si>
    <t>129557b5-5651-40d4-a41c-41475d010b73</t>
  </si>
  <si>
    <t>159c332d-11dc-4d29-9f5f-73e7b8cd9e4c</t>
  </si>
  <si>
    <t>166d9553-d77d-42b1-9e4c-0efea5b611fc</t>
  </si>
  <si>
    <t>1935754e-919d-46e6-bc42-249ab34f40b1</t>
  </si>
  <si>
    <t>1a2fc624-7c31-4c52-ba18-93e462db3ea2</t>
  </si>
  <si>
    <t>1d5f362e-5855-4d5a-96ba-8b34b481fc68</t>
  </si>
  <si>
    <t>1d758ea7-174d-4bcc-986a-005c29b57ab6</t>
  </si>
  <si>
    <t>1def61a1-1db0-409f-8e33-1038aa57fef9</t>
  </si>
  <si>
    <t>1e03e54b-3b17-491e-b24e-0b9a4adf3dde</t>
  </si>
  <si>
    <t>1e6ea197-305b-4f08-a11e-92d743cd7169</t>
  </si>
  <si>
    <t>20e87f6b-837b-4189-9318-8e61c41963e2</t>
  </si>
  <si>
    <t>21872ed1-be89-4a81-ae10-92d5ba2bae8b</t>
  </si>
  <si>
    <t>227133d4-c924-49cc-b05f-92c5b5a8ebd8</t>
  </si>
  <si>
    <t>229dcc18-9086-4fec-bf69-7358b546e49e</t>
  </si>
  <si>
    <t>23822e31-3d26-4c06-88ee-bee0b358207f</t>
  </si>
  <si>
    <t>25b42c3e-fb81-468f-bb49-5556a0e51dfc</t>
  </si>
  <si>
    <t>25bbcf5f-227d-48eb-9a25-201b70a03f21</t>
  </si>
  <si>
    <t>260456a6-af24-4316-8c3e-021438047d2a</t>
  </si>
  <si>
    <t>26f56073-b06e-478a-a74e-eff11c3c4525</t>
  </si>
  <si>
    <t>26f5d4b3-6a39-46aa-87c4-f9678db653ad</t>
  </si>
  <si>
    <t>282ca3b3-78b4-4131-90ce-a2f931afa460</t>
  </si>
  <si>
    <t>2c04cf76-0e7f-4463-9769-df2a680886c9</t>
  </si>
  <si>
    <t>2d9da672-925b-48ed-9a24-b78482f0eed4</t>
  </si>
  <si>
    <t>2da34f42-74e0-4703-a0c1-4492c7cb02b2</t>
  </si>
  <si>
    <t>2dade3ec-fd74-4cba-b701-93844e118e1e</t>
  </si>
  <si>
    <t>30276c3d-3fa6-4225-b0f2-d4008e4cf74c</t>
  </si>
  <si>
    <t>314b1899-085f-4fa2-8403-88f56f8b3e0c</t>
  </si>
  <si>
    <t>33d700e9-9a45-46f0-b11b-ddd59371f7e1</t>
  </si>
  <si>
    <t>34b96582-97fc-497e-a7bf-4ab017970544</t>
  </si>
  <si>
    <t>355c4598-0c96-4a5d-b8f5-1b5300d3a82f</t>
  </si>
  <si>
    <t>36b64e89-44ff-4840-be13-dc0d460d7ca9</t>
  </si>
  <si>
    <t>37300909-0692-4ec8-bc93-1f17a431d81f</t>
  </si>
  <si>
    <t>38624061-016a-45f9-9bc6-4eb0a4e962dc</t>
  </si>
  <si>
    <t>38976428-361e-41b7-bbb4-b8c9309145e3</t>
  </si>
  <si>
    <t>3969c495-2d1d-4e41-b7d2-f22f64ee3f3c</t>
  </si>
  <si>
    <t>3ce92ca7-d6e4-43ec-9074-06da1f161cd3</t>
  </si>
  <si>
    <t>3e3d1ee4-74a6-4fc0-9055-df9f10c2ce73</t>
  </si>
  <si>
    <t>3e6fbc19-ea22-4dc6-b88e-4c5ecd704f0a</t>
  </si>
  <si>
    <t>3ebfa022-4c12-4d21-9b22-15208a09362f</t>
  </si>
  <si>
    <t>4135cd5f-ce7a-4a21-a718-1ca54fff9dc5</t>
  </si>
  <si>
    <t>41d7be5b-df66-4292-b75d-8e439ed332ac</t>
  </si>
  <si>
    <t>42569ac2-204f-4957-b4c5-80ce20547d3c</t>
  </si>
  <si>
    <t>45cc11da-357b-4957-823e-3dcb54230f16</t>
  </si>
  <si>
    <t>46bc2fc7-708a-4fbb-a4c7-d3d2a07ddf7b</t>
  </si>
  <si>
    <t>48dbb765-25b2-4618-b9a3-584b66dd8791</t>
  </si>
  <si>
    <t>490b5b0d-7a6c-4bbb-bf3a-fd99e3a7243c</t>
  </si>
  <si>
    <t>492526d2-bf6b-4b9c-a3c5-d6d4900bdcc2</t>
  </si>
  <si>
    <t>49ae8e5d-1032-4286-93c5-49a2722b5ecb</t>
  </si>
  <si>
    <t>4a93a39b-0c8e-497d-9418-1bac143bba63</t>
  </si>
  <si>
    <t>4ad0ecf1-31d3-4188-977a-a610840d0ab0</t>
  </si>
  <si>
    <t>4cbb44da-b0a7-41e6-afc4-ce03e1732c12</t>
  </si>
  <si>
    <t>4cbfb69f-664c-43b0-814f-16232fdae20b</t>
  </si>
  <si>
    <t>4e62ed71-ad2f-40fe-a15c-2010593f4037</t>
  </si>
  <si>
    <t>4fa0ed33-0473-4114-a28a-dd88f6dc58b3</t>
  </si>
  <si>
    <t>5127bcbe-96a4-4624-89e8-05800a566171</t>
  </si>
  <si>
    <t>517b49b1-d74b-43c8-b146-f33f6bd0523b</t>
  </si>
  <si>
    <t>52cdff10-a37f-4f99-8664-2142e404cfc1</t>
  </si>
  <si>
    <t>53464869-43f8-4d67-a973-82a47dd96e07</t>
  </si>
  <si>
    <t>53affe5b-4f3a-4f3d-981f-7395b90b8656</t>
  </si>
  <si>
    <t>548a2c3c-f553-4ebc-9b3d-85cee3ffce39</t>
  </si>
  <si>
    <t>559a4c14-ade9-4a14-a968-ad32f3012b5f</t>
  </si>
  <si>
    <t>5668d9f4-c3f7-4824-8762-031bab1ab058</t>
  </si>
  <si>
    <t>58656d0c-ccff-467f-b123-ebaf89497ec7</t>
  </si>
  <si>
    <t>5abc9975-6382-4caa-9330-5cd555e9fda3</t>
  </si>
  <si>
    <t>600c93e7-055f-4a09-bfaa-552538e6ecfe</t>
  </si>
  <si>
    <t>6065b563-5ce6-47f7-9746-f848aafb8b8e</t>
  </si>
  <si>
    <t>61269313-ee98-4ab1-9372-f9f6ba2a2629</t>
  </si>
  <si>
    <t>621a2afa-1cae-4040-9e54-31c4a1e2c883</t>
  </si>
  <si>
    <t>64120f88-b5a1-4966-9bb0-80a44d15763a</t>
  </si>
  <si>
    <t>684153a9-f6ad-4729-85e3-4ffa730952de</t>
  </si>
  <si>
    <t>692de3d6-eea1-4a6f-9a59-1a8715bd633d</t>
  </si>
  <si>
    <t>69d4f6e5-b622-4e5f-9280-8007f84e34ea</t>
  </si>
  <si>
    <t>6bbc980d-5500-4e81-9fe9-11278d6d07d3</t>
  </si>
  <si>
    <t>6f21931b-b430-4af7-aafc-c5bf888b4754</t>
  </si>
  <si>
    <t>6ffbc901-f486-4a83-aaff-dbc8515725d9</t>
  </si>
  <si>
    <t>718851d5-f858-4864-bf62-073ae1290100</t>
  </si>
  <si>
    <t>71d64bff-fbad-4062-b166-160477367bf8</t>
  </si>
  <si>
    <t>725cca69-482b-427e-b266-37cdaa742812</t>
  </si>
  <si>
    <t>72c4befc-9e25-438a-9aca-7e7c874a4d3b</t>
  </si>
  <si>
    <t>73111524-b8e6-4eeb-97fb-7cd9b8927e3c</t>
  </si>
  <si>
    <t>73aaf046-cabe-43f8-be91-bf839ad870a2</t>
  </si>
  <si>
    <t>73b39c85-0fc4-4920-93e7-34a3145c6c4e</t>
  </si>
  <si>
    <t>75e23af2-53e9-49d1-9073-1681149658c6</t>
  </si>
  <si>
    <t>7631af01-6233-4d84-b284-83a1a6d3a97b</t>
  </si>
  <si>
    <t>77a2c9f0-0165-4692-877f-aa53fe267aa7</t>
  </si>
  <si>
    <t>77b8f086-bd2e-454b-8ba5-ab01108111d3</t>
  </si>
  <si>
    <t>784a05af-e574-4989-b412-2f196db8a64d</t>
  </si>
  <si>
    <t>785ae151-0656-4c18-ac09-bdeb65c76f7f</t>
  </si>
  <si>
    <t>78d3d413-7985-4bf6-a426-02ae255cf10f</t>
  </si>
  <si>
    <t>79bccebc-6a53-47d8-906d-22020d797bc1</t>
  </si>
  <si>
    <t>79fe6400-9e0f-4080-a431-6186145991cb</t>
  </si>
  <si>
    <t>7abb3901-b4b5-4642-9c53-152ad3db5374</t>
  </si>
  <si>
    <t>7c1db1e4-89b6-40bd-9705-fd02387bc965</t>
  </si>
  <si>
    <t>7db7ff53-d6c3-467f-9255-4c02f3795032</t>
  </si>
  <si>
    <t>7dd708fb-16ac-4109-ba49-3bb6c39d83ff</t>
  </si>
  <si>
    <t>7fdb44e7-b98c-4653-961f-5317372cc28b</t>
  </si>
  <si>
    <t>822e9391-00ab-4799-b928-ebada64fd7b1</t>
  </si>
  <si>
    <t>83d7c848-93e6-41e3-88d7-4ee07bb295cc</t>
  </si>
  <si>
    <t>83ebe213-397a-4a17-b803-33ee29beb483</t>
  </si>
  <si>
    <t>846303a2-b87e-4862-ba6a-3bf54b87ba62</t>
  </si>
  <si>
    <t>85dfd020-d8fb-4fe8-8b30-0e2c6c41dcf4</t>
  </si>
  <si>
    <t>86b9f07c-11d8-42db-b924-ca799d7b309c</t>
  </si>
  <si>
    <t>88c5447d-b6e4-4b06-816c-050631e49add</t>
  </si>
  <si>
    <t>8a74d58d-063b-4278-986d-609e2eecc062</t>
  </si>
  <si>
    <t>8b063ed7-98fc-4322-8555-c48fffcb4904</t>
  </si>
  <si>
    <t>8e000921-1068-47ed-b42c-e49471e138d6</t>
  </si>
  <si>
    <t>8f4dd48c-adf8-48cc-a908-5baa24591c99</t>
  </si>
  <si>
    <t>8f5f9ff9-dfe0-45df-820d-368f845aada4</t>
  </si>
  <si>
    <t>911da425-5a46-4dca-be4a-d4a60fcc8a24</t>
  </si>
  <si>
    <t>91757768-d2d7-4bcd-a105-a9eae9e4b4eb</t>
  </si>
  <si>
    <t>91a38c8f-2b05-4e3e-9761-83f466a20ecb</t>
  </si>
  <si>
    <t>91f5e63a-63c7-4811-af1b-56bebd922ed8</t>
  </si>
  <si>
    <t>924f323b-36f9-41ce-95fc-40f3659051dc</t>
  </si>
  <si>
    <t>9324ccb6-b108-4672-bee9-bf9eef10b02e</t>
  </si>
  <si>
    <t>94640875-f532-43eb-bad7-97872c242053</t>
  </si>
  <si>
    <t>94ef31b0-554b-450f-9f16-c9ea040b2a6f</t>
  </si>
  <si>
    <t>95c2052e-08db-4760-805a-dcf20e750b2d</t>
  </si>
  <si>
    <t>9600f4b3-99d8-4163-864e-bea74a1826a9</t>
  </si>
  <si>
    <t>967b9384-9d83-4084-af54-aaa2bdb39044</t>
  </si>
  <si>
    <t>97146e53-464a-41c5-b749-c9568dc81c5f</t>
  </si>
  <si>
    <t>97541600-cc2b-40b3-b850-d3743a029baf</t>
  </si>
  <si>
    <t>9758e1d4-05fe-4285-b6f7-3bfe34f363a8</t>
  </si>
  <si>
    <t>97c8f0af-690f-4411-a9f0-ccbcb84e000f</t>
  </si>
  <si>
    <t>984e9384-8a9f-4a8c-a547-89296aa62bcf</t>
  </si>
  <si>
    <t>9a3cc554-8869-47b0-aefc-ac2a8bc52e08</t>
  </si>
  <si>
    <t>9be3bb21-96c8-4ebb-af91-69deff5c2ebb</t>
  </si>
  <si>
    <t>9c877429-7c53-4cc4-bb7a-e3c5b9e48885</t>
  </si>
  <si>
    <t>9c9f1bed-3f97-4ca1-ad2b-f39b3519d240</t>
  </si>
  <si>
    <t>9cc937cb-a1c8-4eb9-9981-573397ef5850</t>
  </si>
  <si>
    <t>9cf6c333-7a68-49de-82e9-455301146b79</t>
  </si>
  <si>
    <t>9f33bfde-5c0a-4f21-8d7f-341808992d3e</t>
  </si>
  <si>
    <t>a043a7ae-670e-4042-bfe2-91f8f0234116</t>
  </si>
  <si>
    <t>a0de44bd-6c8e-4082-9cc7-68fd9efb6e86</t>
  </si>
  <si>
    <t>a17aaf20-46a9-4eae-9ac2-396f7552123e</t>
  </si>
  <si>
    <t>a2050a8c-a859-42ed-a222-fce41b639e89</t>
  </si>
  <si>
    <t>a28d2524-f982-4947-b9a1-a952453d9562</t>
  </si>
  <si>
    <t>a2d1ddd0-640f-4c6c-b6b1-e15cbc7420ad</t>
  </si>
  <si>
    <t>a39b753e-933c-4b39-90dc-29b2d04df6ff</t>
  </si>
  <si>
    <t>a5c154b3-4a6b-4b78-8a8c-19ab63cbc49a</t>
  </si>
  <si>
    <t>a702f964-0604-4138-886e-8f725a788c24</t>
  </si>
  <si>
    <t>a75eca56-3bdc-4c90-b64a-37054269e79b</t>
  </si>
  <si>
    <t>a7bc8ec1-75d2-4cfd-becd-718d6363bb64</t>
  </si>
  <si>
    <t>a9408fde-a1de-48ca-a95d-d79dcce9050f</t>
  </si>
  <si>
    <t>aac461b0-78c9-4e38-9bcc-f12d98eeac69</t>
  </si>
  <si>
    <t>ab1f2de6-a772-44f1-a3c0-8a51ed6f1896</t>
  </si>
  <si>
    <t>ac002ea0-25be-4314-8e7c-bcaa85a82ca8</t>
  </si>
  <si>
    <t>ae58cf84-e7b7-4fc1-9738-c595c0481562</t>
  </si>
  <si>
    <t>aea2d0d0-774c-40f7-b68b-668ddbff3c61</t>
  </si>
  <si>
    <t>aea3fa7e-7a8e-41f1-b1e8-cc08562e4df5</t>
  </si>
  <si>
    <t>af1f89ca-3c97-4cbc-ba1d-0586d8c4f380</t>
  </si>
  <si>
    <t>af649086-a02d-47e2-a002-8c84a5a98bdd</t>
  </si>
  <si>
    <t>b2922ca0-68a9-4c27-b1f9-2eda9f9ae114</t>
  </si>
  <si>
    <t>b2f074d9-4ebc-4c80-acb5-6dfca9f5628a</t>
  </si>
  <si>
    <t>b34b9659-0d64-4d5d-b068-bcec429a34c9</t>
  </si>
  <si>
    <t>b417d19f-2c07-4490-9c32-1a0b472508f7</t>
  </si>
  <si>
    <t>b78f5404-09b5-46bd-96a5-b94a093a0561</t>
  </si>
  <si>
    <t>b92fd10e-6a79-4b4f-afc7-d2a2d35a5d3c</t>
  </si>
  <si>
    <t>b9351c07-8467-4225-be22-ea90618d2bb6</t>
  </si>
  <si>
    <t>ba66919b-1078-4db0-b460-779182f00aae</t>
  </si>
  <si>
    <t>bce85389-c7c2-4eb9-ac33-0088287175b1</t>
  </si>
  <si>
    <t>beb91fca-536a-4bea-98c4-4abbd20e8bbf</t>
  </si>
  <si>
    <t>c07de6d5-daeb-46f5-8359-323d4fc6f27e</t>
  </si>
  <si>
    <t>c1c4c77e-acb9-49f9-badc-7b1a069d2bf9</t>
  </si>
  <si>
    <t>c45800db-faa8-40b8-9537-0e192aeeb82e</t>
  </si>
  <si>
    <t>c4a7875f-ae10-4fbc-8698-fc9be2eaa3b0</t>
  </si>
  <si>
    <t>c5190e12-b03c-4f85-be5b-645704c5fb1f</t>
  </si>
  <si>
    <t>c5360839-63e5-43f1-9ef3-27da4148f09e</t>
  </si>
  <si>
    <t>c5436bdb-baa4-40de-a097-62cdbf7bd2e7</t>
  </si>
  <si>
    <t>c74c6efd-638f-4dca-8724-57226bc5ee49</t>
  </si>
  <si>
    <t>c79df1ce-2b89-4fb9-a75d-6794be7686bd</t>
  </si>
  <si>
    <t>c835a91b-6f7c-401b-ba60-dc9ff00056d9</t>
  </si>
  <si>
    <t>c8f56422-4251-4bef-885f-7d3acd3847a3</t>
  </si>
  <si>
    <t>cb5218d7-55ca-40fb-9327-d672d78ac9ec</t>
  </si>
  <si>
    <t>cbcbd0c1-f69d-4edd-a4a2-6f1f96c1dc7e</t>
  </si>
  <si>
    <t>cdaccb3d-ccbc-4e97-a312-2ab685e26edb</t>
  </si>
  <si>
    <t>cdb0193c-0696-487c-a192-43404ceda1dc</t>
  </si>
  <si>
    <t>ce2db0ce-9d9f-45cb-8b7c-e3316f1bab2c</t>
  </si>
  <si>
    <t>ce7e847d-da08-4137-b130-fcdab7f537e5</t>
  </si>
  <si>
    <t>cec2421e-2bb6-4a7b-a76d-5bcc37060902</t>
  </si>
  <si>
    <t>cf8719ca-8926-4edb-8fbe-33bb3667d557</t>
  </si>
  <si>
    <t>d0b262d3-0384-4a7d-9287-ceab5e3488b2</t>
  </si>
  <si>
    <t>d25806fc-028f-48ff-b663-3058db244f93</t>
  </si>
  <si>
    <t>d349be34-cc84-4d7a-98c6-577794c50889</t>
  </si>
  <si>
    <t>d3663da1-ce37-4246-9c69-0fec0fa3a5de</t>
  </si>
  <si>
    <t>d3fbe923-e8d1-4755-b372-201d9cc2f75a</t>
  </si>
  <si>
    <t>d58f9339-eb06-4b9f-a32c-a8a1b4b3293f</t>
  </si>
  <si>
    <t>d6c69d99-f17d-42f0-b95f-3ec754e44cd1</t>
  </si>
  <si>
    <t>d8bc502c-5b5f-4c6c-8702-321381551520</t>
  </si>
  <si>
    <t>d97db89c-9697-47f7-92bc-ac22e53b73ac</t>
  </si>
  <si>
    <t>da74a8d5-80e6-46c9-9af9-e1a0c6bd35f4</t>
  </si>
  <si>
    <t>da908d79-2201-4521-8085-f59e0613a03b</t>
  </si>
  <si>
    <t>dcd8d00e-3e78-4f1b-ae4c-1e42b8577db0</t>
  </si>
  <si>
    <t>de25c902-e0ee-4032-94b9-4facc5dc7c8b</t>
  </si>
  <si>
    <t>debe27e3-73d6-446c-b34d-f40cae85872b</t>
  </si>
  <si>
    <t>df454523-7151-4f64-83d4-2bc0bb225c7b</t>
  </si>
  <si>
    <t>df774d8c-f5fa-4775-938c-a4b641f699e3</t>
  </si>
  <si>
    <t>dff09c4c-7ffc-4aa7-8654-e5e33a2c3a85</t>
  </si>
  <si>
    <t>e09bc438-d211-4c39-8950-2a22d019496e</t>
  </si>
  <si>
    <t>e0bb67b3-603c-48de-8fb2-183ebc4e90bd</t>
  </si>
  <si>
    <t>e11593ec-679e-4228-bd44-f02f33d84f57</t>
  </si>
  <si>
    <t>e2952814-160d-4103-b7b6-4fea84286f3d</t>
  </si>
  <si>
    <t>e3cef861-7bd8-40e6-8101-14ce32714046</t>
  </si>
  <si>
    <t>e525d7cd-49b3-46f3-ab6f-20ff1cd2f370</t>
  </si>
  <si>
    <t>e6392b18-e455-457b-b372-582e815de7f7</t>
  </si>
  <si>
    <t>e9598911-4fd8-443e-a592-20c53912362d</t>
  </si>
  <si>
    <t>eae15804-bcd5-4c78-8bcf-f9b9667ce951</t>
  </si>
  <si>
    <t>eafb81df-843c-47f6-ad1c-78358b8f641e</t>
  </si>
  <si>
    <t>ebc03c80-23e0-4114-9f47-f7e41bd62450</t>
  </si>
  <si>
    <t>ec306318-d8fe-40f3-87d7-e2937bec06e0</t>
  </si>
  <si>
    <t>ec829762-07a0-4240-a81d-ea83b5d2f745</t>
  </si>
  <si>
    <t>ecaadd9e-0bd2-4b6b-a92f-ad481a72fe58</t>
  </si>
  <si>
    <t>ed95d05d-e8a2-4d95-8c67-d64062cbb0ac</t>
  </si>
  <si>
    <t>edf24947-9dd2-495a-997a-4fea89093637</t>
  </si>
  <si>
    <t>edff6827-d44b-4ef1-9f65-08e78fee5daf</t>
  </si>
  <si>
    <t>efdfc30e-82bb-4cf0-a108-72e369cf7c89</t>
  </si>
  <si>
    <t>f0a07572-54bd-46ea-a498-07ccab6bc2a9</t>
  </si>
  <si>
    <t>f19b0360-354f-400a-9497-11acbf9663de</t>
  </si>
  <si>
    <t>f2408deb-3fd5-4d36-8b4c-a5c16fdd9633</t>
  </si>
  <si>
    <t>f6d87932-6371-4c4f-85b5-a9a5d03855d0</t>
  </si>
  <si>
    <t>f8950a43-3b80-45a1-bac2-d372b4210ebf</t>
  </si>
  <si>
    <t>fa858f70-2f11-4827-aa88-fb5fcbee05cf</t>
  </si>
  <si>
    <t>fc444244-5000-491a-a6cd-8e54abb5bb6b</t>
  </si>
  <si>
    <t>fcbc9bb6-bf0e-4f01-bca7-1d45af4b500f</t>
  </si>
  <si>
    <t>fcf37958-8e8c-4fed-88ea-460ba27138c2</t>
  </si>
  <si>
    <t>fe6418c2-c75d-45bd-a1fe-5ad3b9906add</t>
  </si>
  <si>
    <t>CountofPostAppReturned</t>
  </si>
  <si>
    <t>NA</t>
  </si>
  <si>
    <t>Average Number of Times Pre-Application is Returned to Contractor
(PG&amp;E n=301)</t>
  </si>
  <si>
    <t>Average Number of Times Post-Application is Returned to Contractor
(PG&amp;E n=301)</t>
  </si>
  <si>
    <t>This workbook, sheet FileReviewW12 and EUCAProcessReview.accdb queries "SBW_PGE_PartFrame_PreApp_ReturnedCount" and "SBW_PGE_PartFrame_PostApp_ReturnedCount"</t>
  </si>
  <si>
    <t>Reviewer Comment</t>
  </si>
  <si>
    <t xml:space="preserve">This workbook, sheet FileReviewW12 </t>
  </si>
  <si>
    <t>PG&amp;E count</t>
  </si>
  <si>
    <t>Safety Issue</t>
  </si>
  <si>
    <t>PG&amp;E (n=51)</t>
  </si>
  <si>
    <t>Possible asbestos in ducts - noted by inspector</t>
  </si>
  <si>
    <t>Possible asbestos in ducts - noted by contractor</t>
  </si>
  <si>
    <t>CAZ failure in Test-in</t>
  </si>
  <si>
    <t>CAZ failure in Test-out</t>
  </si>
  <si>
    <t>CAZ failure not corrected after Test-in failure</t>
  </si>
  <si>
    <t>Mechanical ventilation recommended or required - noted in pre-application</t>
  </si>
  <si>
    <t>Mechanical ventilation recommended or required - noted in post-application</t>
  </si>
  <si>
    <t>Safety issues</t>
  </si>
  <si>
    <t>File Review and Tracking Data</t>
  </si>
  <si>
    <t>Apparent instance of fire and mold hazard due to incorrect floor insulation installation</t>
  </si>
  <si>
    <t>Heating reduction</t>
  </si>
  <si>
    <t>Cooling reduction</t>
  </si>
  <si>
    <t>median:</t>
  </si>
  <si>
    <t>mean:</t>
  </si>
  <si>
    <t>Average Change in heating capacity
(n=5)</t>
  </si>
  <si>
    <t>Average Change in cooling capacity
(n=6)</t>
  </si>
  <si>
    <t>Number of Sites Replacing HVAC System</t>
  </si>
  <si>
    <t>QPT1</t>
  </si>
  <si>
    <t>Number of HVAC Replacements as Part of Larger Remodel</t>
  </si>
  <si>
    <t>This workbook, sheet FileReviewW12 and EUCAProcessReview.accdb query "SBW_PartSurvey_HVACReplace"</t>
  </si>
  <si>
    <t>Final Data:Final Cost</t>
  </si>
  <si>
    <t>Koontz</t>
  </si>
  <si>
    <t>Ingle</t>
  </si>
  <si>
    <t>UpgradeType</t>
  </si>
  <si>
    <t>Job Summary:Completed Cost</t>
  </si>
  <si>
    <t>PG&amp;E Rebate %</t>
  </si>
  <si>
    <t>General:Upgrade Package</t>
  </si>
  <si>
    <t>Final Data:Final rebate $</t>
  </si>
  <si>
    <t>Measure costs</t>
  </si>
  <si>
    <t>Participant survey and tracking data</t>
  </si>
  <si>
    <t>kWh differ?</t>
  </si>
  <si>
    <t>Therms differ?</t>
  </si>
  <si>
    <t>Site 1</t>
  </si>
  <si>
    <t>Site 2</t>
  </si>
  <si>
    <t>Site 3</t>
  </si>
  <si>
    <t>Site 4</t>
  </si>
  <si>
    <t>Percent change in savings, application to reviewed</t>
  </si>
  <si>
    <t>House leakage</t>
  </si>
  <si>
    <t>Duct leakage</t>
  </si>
  <si>
    <t>Model parameters</t>
  </si>
  <si>
    <t>Measures installed</t>
  </si>
  <si>
    <t>Measure quality</t>
  </si>
  <si>
    <t>Safety</t>
  </si>
  <si>
    <t>Application savings</t>
  </si>
  <si>
    <t>Confirmed savings</t>
  </si>
  <si>
    <t>Pass</t>
  </si>
  <si>
    <t>Fail - leakage was more than double that submitted</t>
  </si>
  <si>
    <t>Pass - minor discrepancies found</t>
  </si>
  <si>
    <t>Fail - attic insulation not uniformly applied</t>
  </si>
  <si>
    <t>Fail - gas leak found</t>
  </si>
  <si>
    <t>Fail - floor insulation constitutes fire and mold hazard as installed;
gas leak found</t>
  </si>
  <si>
    <t>Year</t>
  </si>
  <si>
    <t>kWh Savings</t>
  </si>
  <si>
    <t>kW Savings</t>
  </si>
  <si>
    <t>Therms Savings</t>
  </si>
  <si>
    <t>EUCAProcessReview.accdb, queries SBW_SavingsClaimByYear</t>
  </si>
  <si>
    <t>Savings by Year</t>
  </si>
  <si>
    <t>Period</t>
  </si>
  <si>
    <t>Status</t>
  </si>
  <si>
    <t>Pilot</t>
  </si>
  <si>
    <t>In Pipeline</t>
  </si>
  <si>
    <t>Since July 1, 2011</t>
  </si>
  <si>
    <t>Complete</t>
  </si>
  <si>
    <t>Modeling Software Advantages &amp; Disadvantages</t>
  </si>
  <si>
    <t>The modeling effort revealed advantages and disadvantages to using EnergyPro and eQUEST.  The comparison is based on the use of modeling to simulate residential improvement measures with data from site visits and current test procedures, and under current budget constraints and current level of staff training.</t>
  </si>
  <si>
    <t>Equest comparison</t>
  </si>
  <si>
    <t>This finding is based on experience gained in developing the eQUEST model for comparison to the EnergyPro model.</t>
  </si>
  <si>
    <t>Modeling Software - Input Sensitivity</t>
  </si>
  <si>
    <t>Significant differences in individual measure savings were seen between EnergyPro and eQUEST due to the high sensitivity of measure related inputs in eQUEST as compared to EnergyPro.  For example, as duct leakage % is increased, energy use increases at a much higher rate in eQUEST than in EnergyPro, resulting in a much higher savings for the duct leakage measure.</t>
  </si>
  <si>
    <t>Modeling Software - Use of Defaults Affecting Accuracy</t>
  </si>
  <si>
    <t>Many default values were used in the EnergyPro models which affected their accuracy relative to utility bills.  This includes all schedules (lighting, appliances, occupancy, etc.).  A more accurate model would mean obtaining more information on site and applying this to the model.</t>
  </si>
  <si>
    <t>This finding is based on observations made during the development of the eQUEST model for comparison to the EnergyPro model.</t>
  </si>
  <si>
    <t>An eQUEST model equivalent to the EnergyPro baseline model was developed.  Measures were then added based on EnergyPro measures inputs.  Results were compared to utility bills.  EnergyPro usage was 169% higher than utility bills, while eQUEST was 226% higher, mainly due to a higher duct % leakage sensitivity relative to EnergyPro.</t>
  </si>
  <si>
    <t>An eQUEST model was developed using the same measure inputs as EnergyPro where possible.  Results show much higher savings in the eQUEST model, due primarily to duct leakage % sensitivity in the eQUEST model.</t>
  </si>
  <si>
    <t>An eQUEST model was developed using the same measure inputs as EnergyPro where possible.  Results show much higher savings in the eQUEST model, due primarily to roof u-value sensitivity in the eQUEST model.</t>
  </si>
  <si>
    <t>Modeling Software - Detail of Outputs</t>
  </si>
  <si>
    <t>Relevant to…</t>
  </si>
  <si>
    <t>EnergyPro &amp; eQUEST Software:  Advantages &amp; Disadvantages</t>
  </si>
  <si>
    <t>Observation</t>
  </si>
  <si>
    <t xml:space="preserve">Advantage </t>
  </si>
  <si>
    <t>EnergyPro</t>
  </si>
  <si>
    <t>EnergyPro is designed to take results directly from standard test procedures such as duct leakage testing and blower door testing.  Test results must be converted in detailed design mode if running eQUEST.  This can be time-consuming and requires an experienced modeler or engineer.</t>
  </si>
  <si>
    <t>EnergyPro schedules are easily customizable.  eQUEST schedules can be customized easily in the wizard, but once outside the wizard it is very time consuming.</t>
  </si>
  <si>
    <t>Many EnergyPro inputs can be changed, but changes are not reflected in the model because hidden defaults override these inputs.  An example is fan horsepower (based on square footage regardless of user input).  This can be misleading to the modeler and provide erroneous results.</t>
  </si>
  <si>
    <t>eQUEST</t>
  </si>
  <si>
    <t>When setting up a model, the wizard is used in both software programs.  Once outside the wizard, detailed design mode must then be used.  Detailed design mode is much more complex in eQUEST and requires an experienced modeler to understand.</t>
  </si>
  <si>
    <t>Sensitivity to Changes in Duct Leakage Percentage (Site 1-1057, Site 2-1058)</t>
  </si>
  <si>
    <t>% Leakage</t>
  </si>
  <si>
    <t>EnergyPro (Site 2-1058)</t>
  </si>
  <si>
    <t>eQUEST (Site 2-1058)</t>
  </si>
  <si>
    <t>EnergyPro (Site 1-1057)</t>
  </si>
  <si>
    <t>eQUEST (Site 1-1057)</t>
  </si>
  <si>
    <t>Sensitivity to Changes in Improved Roof U-Value (Site 2-1058)</t>
  </si>
  <si>
    <t>Improved Roof U-value</t>
  </si>
  <si>
    <t>Site 1-1057 Monthly kWh Comparison</t>
  </si>
  <si>
    <t>Month</t>
  </si>
  <si>
    <t>Utility Bills</t>
  </si>
  <si>
    <t>January</t>
  </si>
  <si>
    <t>February</t>
  </si>
  <si>
    <t>March</t>
  </si>
  <si>
    <t>April</t>
  </si>
  <si>
    <t>May</t>
  </si>
  <si>
    <t>June</t>
  </si>
  <si>
    <t>July</t>
  </si>
  <si>
    <t>August</t>
  </si>
  <si>
    <t>September</t>
  </si>
  <si>
    <t>October</t>
  </si>
  <si>
    <t>November</t>
  </si>
  <si>
    <t>December</t>
  </si>
  <si>
    <t>Site 1-1057 Monthly Therms Comparison</t>
  </si>
  <si>
    <t>Site 1-1057 Energy End Use Comparison</t>
  </si>
  <si>
    <t>% of Utility Bills</t>
  </si>
  <si>
    <t>---</t>
  </si>
  <si>
    <t>Site 2-1058 Monthly kWh Comparison</t>
  </si>
  <si>
    <t>Site 2-1058 Monthly Therms Comparison</t>
  </si>
  <si>
    <t>Site 2-1058 Energy End Use Comparison</t>
  </si>
  <si>
    <t>Roof Insulation</t>
  </si>
  <si>
    <t>Building Leakage</t>
  </si>
  <si>
    <t>HVAC Duct Leakage</t>
  </si>
  <si>
    <t>HVAC Duct Insulation</t>
  </si>
  <si>
    <t>Domestic Hot Water</t>
  </si>
  <si>
    <t>An eQUEST model equivalent to the EnergyPro baseline model was developed.  Measures were then added based on EnergyPro measures inputs.  Results were compared to utility bills.  EnergyPro usage was 136% higher than utility bills, while eQUEST was 156% higher, mainly due to higher space heating energy relative to EnergyPro.</t>
  </si>
  <si>
    <t>Fail - significant differences were found in building layout</t>
  </si>
  <si>
    <t>All Measures</t>
  </si>
  <si>
    <t>In 16 Advanced jobs, SCE QC in many cases made significant changes in the EnergyPro models. However, the average change in savings due to these modeling corrections was only 2%.
In 16 Advanced jobs, SCE QC in many cases led to significant differences between pre and post estimates of savings. The average difference in these estimates was 7%.
The average change in pre to post estimates of savings in 43 PG&amp;E jobs was 0%, with a very small variance.</t>
  </si>
  <si>
    <t>Site 1-1057 Combined Measure Model Savings Comparison</t>
  </si>
  <si>
    <t>Site 2-1058 Combined Measure Model Savings Comparison</t>
  </si>
  <si>
    <t>The EnergyPro residential module does not provide outputs with the same level of detail as eQUEST.  A lower level of detail means that the effects that specific inputs are having on the model cannot be fully understood.  This also affects confidence in the model results.</t>
  </si>
  <si>
    <t>In PG&amp;E tracking data, 14% of post-pilot records had no electric utility listed, 5% had no gas utility listed,
SCE had entries in all cases;
Energy (modeled) usage was not reported in most cases by PG&amp;E and not reported by SCE;
Percent energy savings were not correctly reported by PG&amp;E;
Contractor IDs were not systematically used by either IOU in addition to contractor names</t>
  </si>
  <si>
    <t>CAZ forms not filled in correctly</t>
  </si>
  <si>
    <t>Duct leakage not calculated correctly</t>
  </si>
  <si>
    <t>Model not consistent with other forms</t>
  </si>
  <si>
    <t>High duct leakage not supported with photos</t>
  </si>
  <si>
    <t>-</t>
  </si>
  <si>
    <t>PG&amp;E Desk QC found many problems with applications and Energy Pro models.  Common problems include incorrect combustion safety test forms, errors in duct leakage calculations, and model data input errors.</t>
  </si>
  <si>
    <t>Provide ongoing safety training to contractors. Issues to emphasize include possible asbestos in ducts, CAZ testing, and correct installation of insulation. All of these issues show signs of being missed by contractors.</t>
  </si>
  <si>
    <t>Ongoing safety training</t>
  </si>
  <si>
    <t>Number of Jobs</t>
  </si>
  <si>
    <t>Allow contractors to install new HVAC systems and hot water heaters prior to preliminary application in cases of need.  This would expand program participation to sites which need immediate replacement of these appliances.  Contractors will possibly be forced to oversize, due to not knowing what shell measures might be installed, but this will happen in any case if the replacement is an emergency.</t>
  </si>
  <si>
    <t>Failed - inspector was unable to reach -50 pascals pressure; contractor reported successful test</t>
  </si>
  <si>
    <t>In PG&amp;E tracking data, 14% of post-pilot records had no electric utility listed, 5% had no gas utility listed,
SCE had entries in all cases;
Energy (modeled) usage was not reported in most cases by PG&amp;E and not reported by SCE in tracking data;
Percent energy savings were not correctly reported by PG&amp;E;
Contractor IDs were not systematically used by either IOU in addition to contractor names;
Date of check being sent to homeowner was not reported in PG&amp;E tracking data</t>
  </si>
  <si>
    <t>ACH</t>
  </si>
  <si>
    <t>One of two options for program participation, the other being Basic. Any measures that can be modeled with EnergyPro can be included in an Advanced job. Energy savings must be at least 15% (PG&amp;E) or 12.5% (SCE) of annual usage.</t>
  </si>
  <si>
    <t>QC</t>
  </si>
  <si>
    <t>Quality control - refers to staff and processes used by the utilities to review applications and work of program contractors.</t>
  </si>
  <si>
    <t>Blower door test</t>
  </si>
  <si>
    <t>Test conducted by contractor to determine infiltration of air into the building.</t>
  </si>
  <si>
    <t>CFM50</t>
  </si>
  <si>
    <t>Air flow reading provided by blower door test - cubic feet per minute at -50 pascals.  The blower depressurizes the building to -50 pascals and reports the concurrent air flow.</t>
  </si>
  <si>
    <t>N-factor</t>
  </si>
  <si>
    <t>Parameter required to compute actual ACH from CFM50.  These values are climate and geographically dependent, and are part of the Lawrence Livermore National Lab procedure for determing ACH from CFM50 and building volume.</t>
  </si>
  <si>
    <t>One of two options for program participation, the other being Advanced.  Four measures must be performed at the site: 1) House sealing; 2) duct sealing; 3) attic insulation; 4) hot water pipe insulation.  Rebate is a fixed amount.  Energy savings is a prescriptive value.</t>
  </si>
  <si>
    <t>Energy savings measure required in Basic jobs and typically included in Advanced jobs.  Involves sealing joints in air distribution network with mastic.</t>
  </si>
  <si>
    <t>Duct leakage test</t>
  </si>
  <si>
    <t>Test used to determine level of duct leakage - performed pre and post installation of duct sealing.  Air is blown into the duct work to a pressure of 25 pascals.  The airflow at this pressure is the leakage.  Percent leakage is found with Title 24 methods, assuming airflows according to HVAC equipment capacity.</t>
  </si>
  <si>
    <t>CFM25</t>
  </si>
  <si>
    <t>JRT</t>
  </si>
  <si>
    <t>Job Reporting Template.  Worksheet used by contractors to apply to the program for a particular site.</t>
  </si>
  <si>
    <t>IJRT</t>
  </si>
  <si>
    <t>Interim for of JRT currently in use by PG&amp;E</t>
  </si>
  <si>
    <t>CAZ</t>
  </si>
  <si>
    <t>Combustion Appliance Zone.  This term is used in HERS training as part of the combustion safety tests.</t>
  </si>
  <si>
    <t>HERS</t>
  </si>
  <si>
    <t>BPI</t>
  </si>
  <si>
    <t>BPI Certified Analyst</t>
  </si>
  <si>
    <t>CO</t>
  </si>
  <si>
    <t>Combustion safety testing</t>
  </si>
  <si>
    <t>A BPI certified Building Analyst has completed the BPI training in auditing, including blower door and duct leakage testing, combustion safety, and whole house energy analysis.</t>
  </si>
  <si>
    <t>Building Performance Institute.  Provides training and certification in home energy audit procedures and analysis</t>
  </si>
  <si>
    <t>Carbon monoxide.  Toxic combustion by-product measured as part of combustion safety testing.</t>
  </si>
  <si>
    <t>Testing required as part of BPI energy audit protocols, which measures CO level and checks for gas leaks.</t>
  </si>
  <si>
    <t>RESNET</t>
  </si>
  <si>
    <t>Residential Energy Services Network</t>
  </si>
  <si>
    <t>CEC</t>
  </si>
  <si>
    <t>California Energy Commission</t>
  </si>
  <si>
    <t>Home Energy Rating System.  In California these standards for home energy testing and rating are administered by the CEC.</t>
  </si>
  <si>
    <t>HVAC</t>
  </si>
  <si>
    <t>Heating, ventilation, and air-conditioning</t>
  </si>
  <si>
    <t>eQuest</t>
  </si>
  <si>
    <t>DOE 2.2</t>
  </si>
  <si>
    <t>ARRA</t>
  </si>
  <si>
    <t>American Recovery and Reinvestment Act.  The federal "stimulus" act, which provides funding for local entities to assist with energy conservation efforts.</t>
  </si>
  <si>
    <t>EUC, EUCA</t>
  </si>
  <si>
    <t>Energy Upgrade California.  The statewide whole house home retrofit program.</t>
  </si>
  <si>
    <t>Duct test air flow (in CFM) with ducts pressurized to 25 pascals.</t>
  </si>
  <si>
    <t xml:space="preserve">Building simulation software, developed by Energy Soft, and approved for use by the California Energy Commission for Title 24 commissioning.  This software is used by contractors to model energy usage, pre and post energy upgrade, to establish energy savings. </t>
  </si>
  <si>
    <t>Department of Energy building energy simulation engine.</t>
  </si>
  <si>
    <t>Building energy modeling software, available from US Department of Energy.  eQuest is a front end to DOE 2.2 building energy modeling engine. eQuest is an industry standard for commercial buildings.</t>
  </si>
  <si>
    <t>WH</t>
  </si>
  <si>
    <t>Whole House.</t>
  </si>
  <si>
    <t>CBPCA</t>
  </si>
  <si>
    <t>California Building Performance Contractors Association.  Provides HERS rater training and testing.</t>
  </si>
  <si>
    <t>Current Status:Status</t>
  </si>
  <si>
    <t>Res Review:PSO Received Date</t>
  </si>
  <si>
    <t>20. Completed</t>
  </si>
  <si>
    <t>EnergyPro compared with billing records</t>
  </si>
  <si>
    <t>Pre to post changes in savings  estimates</t>
  </si>
  <si>
    <t>SCE QC imposes time gaps of one month or more between key phases of Advanced projects;
Gaps due to processing by PG&amp;E were significantly shorter:
Basic jobs are processed significantly faster than Advanced jobs</t>
  </si>
  <si>
    <t>Problems found in pre and post applications</t>
  </si>
  <si>
    <t>PG&amp;E application QC comments</t>
  </si>
  <si>
    <t>Replaced HVAC system capacity</t>
  </si>
  <si>
    <t>Rebate percentage of Advanced measure cost</t>
  </si>
  <si>
    <t xml:space="preserve">Differences between tracking databases and project files </t>
  </si>
  <si>
    <t>On-site inspections at 4 PG&amp;E Advanced job sites following contractor submissions of final applications found significant problems in modeling, submitted savings, and safety.
At 2 of the 4 sites, significant differences were found between the submitted building model and the actual building parameters. Desk QC had not identified these problems.
Gas leaks not identified by the contractor were found at 2 sites.
At one site, floor insulation was installed with exposed paper that is intended to be covered with sheetrock due to a fire hazard.
House or duct leakage test results were significantly different in 2 cases.
All measures were found to have been installed, and quality of installation was generally good.</t>
  </si>
  <si>
    <t>Site inspections findings</t>
  </si>
  <si>
    <t xml:space="preserve">Modeling Software - Site 1 Baseline -EnergyPro, eQUEST, and Utility Bill </t>
  </si>
  <si>
    <t xml:space="preserve">Modeling Software - Site 2  Baseline - EnergyPro, eQUEST, and Utility Bill </t>
  </si>
  <si>
    <t>Modeling Software - Site 1  Measures - EnergyPro &amp; eQUEST</t>
  </si>
  <si>
    <t>Modeling Software - Site 2 Measures -  EnergyPro &amp; eQUEST</t>
  </si>
  <si>
    <t>Mechanical ventilation frequency</t>
  </si>
  <si>
    <t>IOUs are not recording whether or not mechanical ventilation is actually installed, nor the capacity of the ventilation.</t>
  </si>
  <si>
    <t>IOUs are not recording whether or not mechanical ventilation is actually installed, nor the capacity of the ventilation.  One reasons for the post blower door test is to determine whether or not additional ventilation is required for safety reasons. QC is noting when it is required, but there is no final tracking of its actual installation.</t>
  </si>
  <si>
    <t>Program Delivery Strategies Differ Between SCE and PG&amp;E</t>
  </si>
  <si>
    <t>PG&amp;E and SCE have tried different methods of program delivery.  SCE has emphasized a high level of QC of contractor work. PG&amp;E has pursued a higher job count while QC and inspection procedures are under development.  PG&amp;E program personnel and contractors are developing the program by doing a greater number of jobs; SCE program personnel and contractors are developing the program with a high level of QC and feedback.  The impact on the overall savings claim appears to have been minimal with PG&amp;E’s approach – while SCE QC made many significant changes to the contractor savings estimates, the overall average change made by QC was minimal.  SCE’s lag times, especially between receipt of preliminary application and authorization to start work have been significantly longer.  The longer lag times may have especially lost HVAC and water heater replacement jobs to inclusion in the program.</t>
  </si>
  <si>
    <t>File review</t>
  </si>
  <si>
    <t>SCE has done 100% pre and post inspections; PG&amp;E has done a very small number of on-site inspections (except for safety inspections).</t>
  </si>
  <si>
    <t>Program Evaluability - File Review</t>
  </si>
  <si>
    <t>The SCE JRT format facilitates program review. Almost all information about the job is contained in the JRT, including modeling inputs. These values can be automatically uploaded to a database to enable tracking of program parameters.</t>
  </si>
  <si>
    <t>The SCE JRT can be used as the source of inputs to the Energy Pro model. The post JRT shows measures installed.  Iterations of the JRT could be used to show changes at specific sites made by QC.  The JRT is in digital form (Excel) which can be easily read into a database.</t>
  </si>
  <si>
    <t>PG&amp;E contractors installed more HVAC systems and water heaters</t>
  </si>
  <si>
    <t>Most sites had the same three measures installed</t>
  </si>
  <si>
    <t xml:space="preserve">For both utilities, 75% or more of Advanced sites installed the following measures: 1) Reduction in house leakage; 2) Attic insulation; 3) Reduction in duct leakage;
</t>
  </si>
  <si>
    <t>Caption 7</t>
  </si>
  <si>
    <t>Program Status</t>
  </si>
  <si>
    <t xml:space="preserve">The program has experienced many challenges in the first year, it is still in a start-up phase and should be treated as such when looking at its performance thus far. </t>
  </si>
  <si>
    <t xml:space="preserve">At the time of program staff interviews, the program had only been in full-operation (post-pilot) for four months. SCE and PG&amp;E program staff noted that this program has been in a “start-up” phase and that we should treat it as such when looking at its performance thus far. 
“I think (what’s) important (to remember) in this whole process is that we haven’t been out in the market place that long. And everyone is wondering why we are not hitting our goals and why our volumes are a little bit lower than anticipated. And I think it’s important to remember that this is a totally new program offering and it takes a long time to transform the market so they are ready to accept this type of program. So I wouldn’t view our lower than expected numbers as a negative. … Everybody is asking, ‘What are we going to change for the next cycle?’ … but we just haven’t had a lot of time to collect data… so it’s tough to make a lot of program changes based on the volume of jobs that we have seen to date. I think recognizing that we haven’t been in the market place that long is important. Especially when you are running a market transformation program.” – PGE Program Staff
</t>
  </si>
  <si>
    <t>Project Status</t>
  </si>
  <si>
    <t>PG&amp;E has many projects completed and in the pipeline while SCE has been slower to gain traction. Between July 2011 and February 2012, the SCE program had few participants fully completed but many more in the pipeline. The PG&amp;E program had many projects completed and many more in the pipeline.</t>
  </si>
  <si>
    <t>Program Tracking Database</t>
  </si>
  <si>
    <t>Impact of ARRA funding</t>
  </si>
  <si>
    <t xml:space="preserve">ARRA funding has presented a challenge in that local governments wanted to implement faster than the IOU's were ready and it has been challenging to coordinate the numerous entities doing marketing and offering incentives. Despite the challenges, the ARRA funding has also helped market the program and added lucrative incentives to help with participation. Overall, the IOUs and Local Entities think communication and coordination has gone well given the challenging environment. </t>
  </si>
  <si>
    <t>The ARRA funding going to local governments has presented a challenge. Many local entities have different rebates and protocols, posing a complex challenge to program administration. The program required a large amount of communication and coordination with local entities to best leverage ARRA funding to optimize program participation. ARRA funding to local county and city governments forced the program to go-to-market quicker than it was ready to from a marketing perspective. The local governments were ready to market the program before the IOUs were, especially since the IOUs were trying to coordinate all of their marketing on a statewide level. For example, one local government was asking SCE for marketing input for its marketing materials before the statewide campaign was finalized. Since the ARRA funding runs out in March, the local government needed to launch its marketing campaign as quickly as possible. This put IOUs in the position of moving forward with helping the local government’s marketing campaign prior to finalizing the statewide campaign. 
The ARRA funding has also been extremely helpful to the program by adding additional incentives to customers in some regions. This has helped the program deliver a very strong offering to the market. The ARRA funds doubled and even tripled the incentive amounts in some regions. SCE and PG&amp;E offered up to $4,000; in many cities and counties the incentives were up to $8,000 and in one city, the incentives were up to $12,000. Despite the challenging environment, SCE &amp; PG&amp;E staff mentioned that there has been good collaboration, communication, and compromise with local entities overall. The IOUs think there is a lot of potential in the local entity coordination given that local entities have established local community networks with residents and with contractors.</t>
  </si>
  <si>
    <t>Program implementers &amp; stakeholders</t>
  </si>
  <si>
    <t xml:space="preserve">The program's environment has contributed to many start-up challenges. Both SCE and PG&amp;E have experienced many challenges that are a bi-product of running a program with multiple implementers, contributors, and stakeholders in California. </t>
  </si>
  <si>
    <t xml:space="preserve">Having this many organizations involved with different roles, goals, funding sources, and timelines has caused several challenges such as the IOUs implementing a program before they were fully ready from an operational and administrative perspective and market confusion over the program. There is some tension between the local entities and IOUs since local entities are running on grants and ARRA funding and must implement quickly versus the utilities, which are planning for a long-term program. For example, a local government might change their incentive amounts without giving an IOU enough lead time to change their marketing materials going to customers in the same region. This environment also means that the IOUs must coordinate with several other organizations to make program improvements so there is statewide consistency. For example, all parties have been working toward reaching a consensus around installation specifications across the state. This is still in progress and will likely differ from current specifications; therefore, additional contractor training statewide will be needed once the specifications are finalized. 
Local entities noted that delays caused by multiple layers of stakeholders frustrate both contractors and customers. Contractors are often in the field and cannot respond quickly to small paperwork discrepancies; delays in EUC rebate processing often hold up local rebate processing; contractors have to submit paperwork twice which slows down the process and increases the chances of error. </t>
  </si>
  <si>
    <t>Program awareness building</t>
  </si>
  <si>
    <t xml:space="preserve">Many marketing efforts have been effective in driving awareness of the program. Awareness of EUC is high in PG&amp;E territory among the targeted population (29%), a significant percentage recall hearing radio ads (24%) internet (12%) and newspaper (12%) ads. Participants are primarily hearing about the program from their contractor, family/friends and utility letters. Also, in PG&amp;E territory a significant percentage of participants heard about the program through their mortgage lender. Local entities mentioned that they thought realtors would be a good marketing channel for this program since they think about property values. </t>
  </si>
  <si>
    <t xml:space="preserve">Contractors say customers often hear about the program from the website, door hangers and flyers in targeted neighborhoods, face-to-face community events, word-of-mouth and newspaper ads.
Many contractors mentioned that they were pleased to see some local and IOU marketing efforts, but that large marketing efforts like TV or radio advertisements were not effective if done in “blasts”. Many contractors are excited by the possibility of market transformation, but believed that it cannot be achieved without consistent and constant marketing over a longer period of time.
PG&amp;E staff expressed concern that local entities have created a lot of program interest, and PG&amp;E is determining how it will maintain program interest after the ARRA funding is used. As such, PG&amp;E thinks it will likely need a larger marketing budget to maintain and/or increase customer interest. 
</t>
  </si>
  <si>
    <t>Complex program to convey in mass media channels</t>
  </si>
  <si>
    <t xml:space="preserve">Program staff and contractors agree that a major marketing challenge is the complex nature of the program, which makes it difficult to explain in short media channels. SCE is creating an online media campaign to address this challenge and PG&amp;E is hoping that home makeover contests might help address this as well. </t>
  </si>
  <si>
    <t>Contractor marketing assessment</t>
  </si>
  <si>
    <t xml:space="preserve">The EUC website is effective lead generation for low volume contractors while large volume contractors that have their own marketing resources find that a mix of methods is working for them. </t>
  </si>
  <si>
    <t xml:space="preserve">The EUC website appears to be effective for lead generation for low volume contractors, they are relying heavily on the website, program marketing and local entity marketing to generate leads. Higher volume contractors have the resources to compliment EUC marketing efforts with their own. These contractors have found door hangers and flyers in targeted neighborhoods to be an effective method for them. 
SCE has also helped contractors market the program. SCE gave contractors door hangers, buck slips for value pack coupons, program folders with paperwork to share with customers, and signs and table cloths for contractors to bring to events and conferences. According to SCE staff, the highest performing program contractor successfully canvassed neighborhoods with thousands of door hangers. 
SCE program implementation staff has also conducted trainings with contractors on how to sell the program effectively. This is part of monthly contractor training meetings where contractors may come for a live half-day training session that includes multiple tracks, i.e., EnergyPro, QC, and sales. Contractors can choose which tracks to attend. The sales track does not often get a lot of participation. The program also has a contractor-facing website whereby contractors can receive sales training via webinars. Yet, sales training is often a challenge for the program as contractors are often resistant to sales training. 
SCE has plans for many different kinds of marketing in the near-future including yard signs and car magnets for contractors.
</t>
  </si>
  <si>
    <t>Effective channels for gaining attendance at workshops</t>
  </si>
  <si>
    <t xml:space="preserve">Email, local events and direct mail are the most effective channels for getting customers to attend workshops. Marketing has also generated a fair amount of word of mouth regarding the program and driving workshop attendance. </t>
  </si>
  <si>
    <t>Workshop effectiveness</t>
  </si>
  <si>
    <t xml:space="preserve">PG&amp;E workshops conducted thus far seem effective in educating customers on the program and motivating them to participate. However, it is too early in the program to make a stronger statement regarding workshop effectiveness since there can be significant lag between workshop attendance and the customer's job appearing in program tracking. </t>
  </si>
  <si>
    <t>PG&amp;E staff thinks the homeowner workshops have been the most successful effort thus far, especially when they have community leaders or local government officials in attendance as it boosts program trust. 
Local entities have found that the complexity of the program, as well as other programs that act in conjunction with the EUC, is best explained in person. Per their experience hosting workshops thus far, the events are effective at allowing implementers and contractors to present the program in necessary detail.</t>
  </si>
  <si>
    <t>EUC website needs improvement</t>
  </si>
  <si>
    <t xml:space="preserve">Participant website feedback is good but LA County focus groups suggest that the website can serve as a barrier. Half of participants have visited the website, most give it a high rating although SCE customers rate it low for "accurately reflecting what they experienced in the program". According to program management staff, the website is has been a source of confusion for customers given that many customers are unclear of where to go next after they visit the website. LA County focus groups found that the website is giving some misinformation and has some navigational issues. </t>
  </si>
  <si>
    <t>EUC website ownership</t>
  </si>
  <si>
    <t>Program staff has found CEC ownership of the EUC website challenging from a marketing perspective and hopes that control of the website will eventually transfer to the IOUs.</t>
  </si>
  <si>
    <t>Another marketing challenge for the utilities has been the EUC website. The CEC runs the main program website and the IOUs do not have access to customer information for people that go to the website and enter their information (zip code, address, etc). If the IOUs had access to this information, they could follow up with interested customers and develop a targeted marketing campaign for these customers. IOUs suggested that the program move control of the EUC website from the CEC to the utilities and work towards a website that is more user-friendly.</t>
  </si>
  <si>
    <t>Cost, time and finding a contractor prevent customer participation</t>
  </si>
  <si>
    <t xml:space="preserve">Workshop participants said they have not participated in the program yet because of cost and because they have not had the time to find a contractor or haven't found a contractor yet. LA county focus groups supported this finding and also suggested that requiring the use of a pre-approved contractor is a roadblock for many participants as well. </t>
  </si>
  <si>
    <t xml:space="preserve">Per focus groups conducted with LA county non-participants, "top among the impediments [for program participation] was cost, including that the rebates did not cover enough cost and that participants would not recoup their investment. The [customers] did not feel the website provided any information to the contrary of their perception that the cost would still be too high" and "requiring the use of a pre-approved contractor is a roadblock for many participants". </t>
  </si>
  <si>
    <t>Financing plays a large role in this program's potential success</t>
  </si>
  <si>
    <t xml:space="preserve">Contractors mentioned that financing was the number reason they often get jobs and lack of it is the number reason they do not get jobs. Program management staff also mentioned that financing plays a large role in this program's potential success. Among program participants, 45% percent used financing to pay for their EUC upgrades. </t>
  </si>
  <si>
    <t>Sales by Contractors</t>
  </si>
  <si>
    <r>
      <t>Many program managers mentioned that the way to ensure this program's success is to make financing easier for customers to obtain for these types of programs and help market financing options to customers. Contractors agreed that financing plays a key role in their ability to sell WH projects. The program faces the challenge of marketing a program that encourages a substantial investment from customers in difficult economic conditions. Given these conditions, program management staff believes that having a financing option available to customers will help the program reach its goals. Currently, there is a lack of a central financing resource. Previous financing programs such as PACE and Home Star were available in SCE territory during the program’s planning process but are no longer available. Beyond banks, the financing currently available to customers is through smaller third parties, which only cover a small portion of the utilities’ service area and have varying requirements and rate</t>
    </r>
    <r>
      <rPr>
        <sz val="11"/>
        <color theme="1"/>
        <rFont val="Calibri"/>
        <family val="2"/>
        <scheme val="minor"/>
      </rPr>
      <t>s. In PG&amp;E territory, funding for existing customer financing through the California Home Buyers Fund might end in March. If that is the case, Build It Green (BIG) would like to see PG&amp;E allow EGIA to continue offering customer financing using some reallocated incentive funds that might otherwise go unused.
LA County focus groups suggested found that customer's interest in the program increased after learning that there might be below market financing available. Several focus group participants said they would look into the program after learning about the below market (2%) financing offered by LA County.</t>
    </r>
  </si>
  <si>
    <t>Customer barriers to program participation</t>
  </si>
  <si>
    <t>The top barrier to program participation among workshop attendees was the anticipated cost of the project. Among participant, four in ten did not take all of the recommendations for home improvements that come out of the home energy assessment reports; the number 1 reason why is because of a lack of money to fund all recommended improvements.</t>
  </si>
  <si>
    <t>Multiple marketing messages are needed</t>
  </si>
  <si>
    <t>Evaluation results indicate that different messages will resonate with different customers and there is no "one size fits all". When surveying PG&amp;E's general population, the most effective message to motivate customers to participate is lowering utility bills, followed by the incentives available. Overall, contractors ranked comfort as the most effective message followed by incentives and lowering energy bills.  However, contractors make an argument that effective messaging varies by climate conditions and local entity premium incentive availability. In addition, contractors noted that customers often don't realize what home comfort is until after they have the job done. Participants rate multiple factors that were important in their decision to participate indicating that it takes many factors to motivate homeowners to do a WH job. Further, local entities have found that many potential participants do not have high energy bills, so messages related to comfort and conservation are often more effective than cost savings. The exception are places like Fresno where energy bills are high but available capital is low, in this market, financing is much more attractive than rebates and Fresno is trying to get a financing program started.</t>
  </si>
  <si>
    <t>Effective messaging may be determined by geography in two ways. First local entity incentives and program design influence and shape contractor and homeowner experience. When there are high rebates in a local area, contractors may focus on them as part of the messaging. Second, local climates drive savings. It is easier to get more savings out of the more extreme climate zones such as the Central Valley where annual HVAC costs may be higher and the ROI is higher. In these places, energy and financial savings and then comfort may be the most effective messaging. Among the more moderate climates energy costs are not as high and therefore the ROI is lower. Messaging therefore may focus more on available rebates and comfort.  PG&amp;E staff thought it was a bit too early to comment on what has been most effective in terms of messaging. SCE staff widely agrees that the incentive amount has been the most effective message, especially since in some local areas the incentives have been up towards $8,000 with additional ARRA incentives added to the IOU incentive of up to $4,000. Secondly, SCE finds that “home comfort” has also been an effective message that resonates with customers. 
In addition, contractors are using the assessment as a sales tool to help motivate homeowners. "There are two things happening. 1) The homeowner has no idea how intense the program is, even if it is explained, so they don't understand the value, which means the cost seems high. 2) If we could really sell them on the assessment, there is a better chance that that customer who is after one single measure won't go to the bargain contractor due to WH sticker shock." (Davis Energy Group, Customer barriers to participating)</t>
  </si>
  <si>
    <t>PG&amp;E's Print Advertisement Testing</t>
  </si>
  <si>
    <t xml:space="preserve">PG&amp;E's print brochure is effective in quickly explaining the program and getting customers interested in contacting the program for more information. </t>
  </si>
  <si>
    <t>Contractor program satisfaction and barriers to participation</t>
  </si>
  <si>
    <t xml:space="preserve">Contractor program satisfaction scores are good overall, however SCE contractors expressed a bit more dissatisfaction. Paperwork, going back and forth to correct applications and slow rebate processing times were the top sources of dissatisfaction and serve as barriers to contractor participation; so much so that some contractors are selling against the program. Rebate processing time can take months. This is discouraging customers from participating (especially if their HVAC is broken and they want a quick replacement). It also raises the overhead for contractors. Multiple contractors are not pleased with the test-in structure, especially with RHA.  Delays in the RHA energy modeling verification can cause jobs that have already been done to be rejected due to inadequate savings levels. This can cause time consuming appeals and discontent among contractors and customers. Contractors also believe that the minimum of 4 testing visits (The contractor test-in and test-out, then the QA/QC test-in and test-out) causes customers to balk at participating, since this often means that they must take 4 days off of work at minimum to participate. Smaller contractors and those that have been around for a long time are not pleased with being introduced to the whole house concept for the first time and then being monitored so closely and asked to produce a lot more information than they are used to. This is a pain point for the program and will likely hinder its ability to turn contractors into home performance advocates. </t>
  </si>
  <si>
    <t xml:space="preserve">Nearly every contractor interviewed said that the paperwork required and constant back-and forth with the program to complete an application delays the beginning of their work and the rebate disbursement. 
Given the various barriers tested among those contractors who have not submitted many jobs, the paperwork required and slow rebate processing times were top barriers. 
This discourages customers from participating (especially if their HVAC is broken and they want a quick replacement). It also raises the overhead for contractors; one contractor mentioned the program may cost them an additional $700 in administrative time to give someone a $2000 rebate. This investment also causes mid-sized and smaller contractors who do not have a robust administrative staff to spend less time in the field completing retrofits. Many contractors said that they spend a significant amount of time managing customer expectations, and customer frustration with rebate delays and program complexity.
Two-thirds of contractors (non-participating, inactive and low volume contractors) mentioned they had jobs in 2011 that would have qualified for the EUC program but chose not to send them through the program (average of 14 jobs per contractor completed outside of program in 2011). 
Many large volume contractors indicated that smaller HVAC and insulation contractors are selling against the program. These contractors are listed as EUC approved which helps them generate leads. However, when working with customers who need a new HVAC, they tell them that the program is too much of a hassle to work with. They can underbid the other EUC contractors that the customer may have contacted for bids by not using the WH approach and assuring the customer that this option is quicker and better. This behavior began as a reaction to the high administrative and time costs associated with participation.  
Contractors mentioned that if the program can reduce and streamline its paperwork the contractors would likely promote it more often. Some contractors also recognized that this issue is likely inherent to a new and complicated program design and will likely improve over time.
</t>
  </si>
  <si>
    <t>SCE is working to reduce application processing delays</t>
  </si>
  <si>
    <t xml:space="preserve">SCE recognizes its application issues, has implemented solutions and is working toward more solutions. </t>
  </si>
  <si>
    <t xml:space="preserve">SCE has experienced challenges internally in how they manage the program. Internal management of the program has been challenging since this is a new program concept for SCE, and they have had to develop many protocols and guidelines during implementation to best adapt to internal quality control demands and how contractors interface with the program. SCE expressed that this is the first time they have implemented a program of this kind, where a program is incentivizing for the whole house and not just one measure. As such, SCE did not have many other program operations to serve as models to build upon or learn from. In the beginning, the program did not have well-established guidelines, which led to some issues such as construction starting on a project before a reservation request was approved. Contractors have also requested many exceptions to the program guidelines causing delays in the application process. 
Since its inception, the program has been in an ongoing state of improving its application process for contractors. In the beginning of June 2011, the program began with a paper-based application. The program changed this application process after a few months to an Excel-based spreadsheet application, also known as the Jobs Reporting Template (JRT). Program staff noted that this change reduced application processing delays. The program is continuing to develop a more streamlined application process for contractors. As such, SCE is developing a new electronic application system that will allow contractors to enter job information into an electronic form whereby the data will go directly to a database for SCE. We expect this new system to roll out in Q1, 2012. 
Application processing has been an ongoing challenge for the program. Program staff noted that a small percentage of applications (less than 10%) are complete and acceptable on the first submittal. Several factors contribute to this challenge, including contractor training and the application submittal process itself. Further, when applications are incomplete, it is time consuming to resolve the issues due to the multiple parties involved in the project, i.e., SCE staff, ICFI, RHA, the contractor, and the customer. 
SCE has a goal of reducing the QA/QC processing time to 10 business days. The program is currently attempting to streamline the QC process and reduce both the % of projects that they QC and the protocols for what the QC team should do when they find discrepancies. As such, the program is working to reduce the percentage of projects that receive a pre- and post-inspection (100% currently), which will greatly reduce application and rebate processing time. For very active contractors, the program may reduce the inspections to 10% or less if they have proven their ability to abide by program guidelines in previous projects. 
SCE staff mentioned that these conditions led to a rocky start. However, the SCE and SCG have worked together toward creating the needed foundational elements to run the program, i.e., internal process flow charts, guidelines, training materials such as a step-by-step guidebook for EnergyPro, handbooks and manuals, QA/QC processes, and a contractor mentoring program. The program staff efforts have already contributed to shortened application processing times. For example, in June 2011, program staff streamlined the internal application review process by reducing unnecessary quality control checks in energy modeling during the reservation request to “permission to build” stage. Further, staff mentioned that the JRT that replaced the initial paper application process has greatly improved contractor relations. 
</t>
  </si>
  <si>
    <t>PG&amp;E is working to reduce application processing delays</t>
  </si>
  <si>
    <t xml:space="preserve">PGE recognizes its application issues, has implemented solutions and is working toward more solutions. </t>
  </si>
  <si>
    <t xml:space="preserve">The pilot transition to new implementation contractors was challenging as CBPCA transferred any “jobs in progress” to BIG to complete but BIG did not have previous knowledge of the job. This delayed some contractors in completing their jobs due to changing protocols, which caused some contractor frustration. 
As the program has progressed from a pilot to a full program, protocols and guidelines have also progressed. For example, equipment qualifying specifications have become more fully developed. In addition, the program application process has been streamlined. Contractors were manually filling out Excel spreadsheets for application information but now the program has developed an electronic system, known as the Green Energy Compass. This system allows contractors to submit applications online, and the data is automatically populated in a database. 
PG&amp;E staff recognizes that application processing is a big challenge for the program. PG&amp;E staff notes that they often must return an application to the contractor for updated information up to three times before they can accept it. Incomplete applications are often the most important reason for longer than anticipated application processing times. Contractors often have difficulty with the detail required to accurately submit combustion safety data and the EnergyPro model data to the program. Contractors are often learning combustion safety requirements for the first time as part of this program. 
Additionally, contractors were often failing inspections early in the program because water heaters were not passing program inspections. However, contractors were identifying problems with old water heaters during assessments but customers did not want to replace them. The program realized that the contractors did not know what was expected or required of them as part of the program and the program needed to do more training as a result.
Incentive delivery delays are due in part to a combustion appliance safety inspection that is required for every participant. PG&amp;E is working to finalize safety protocols to allow a inspection of a sample instead of each site.
The PG&amp;E program team provides fact sheets and email blasts to contractors that focus on where the program sees the most job report errors. The team has also been conducting site visits to talk contractors through problems they have been having in the field as well as problems they may be having in sales and marketing. The program team has found that site visits are the most effective way to train contractors on any issues they are having in the field. </t>
  </si>
  <si>
    <t>A small number of contractors are completing (or selling) the majority of WH projects. High volume contractors are those that began their business as a home performance-based company and are more likely to stick with the program because it already aligns with their business model. This program requires a lot of contractor training, mentoring and experience conducting a few jobs through the program before contractors know what they need to do to meet program guidelines.</t>
  </si>
  <si>
    <t>Contractor Engagement</t>
  </si>
  <si>
    <t xml:space="preserve">Program training has not prepared contractors very well for the program and SCE program staff has found that contractors typically need to conduct the work about 10 times on 10 different homes before they are fully prepared to follow all of the program guidelines. One of the major reasons for this is that every house is different and contractors must learn the nuances along the way. 
Given the large amount of training required to successfully participate in this program, program management staff agreed that a better approach to sustained program growth would be to support the larger participating contractors as much as possible and focus on growing their business instead of focusing on getting more contractors into the program. 
</t>
  </si>
  <si>
    <t>The Basic Upgrade Package is not gaining traction</t>
  </si>
  <si>
    <t xml:space="preserve">Contractors do not support the Basic package. A large majority of the projects submitted so far are Advanced package projects. </t>
  </si>
  <si>
    <t xml:space="preserve">Most customers who qualify for the basic package also qualify for the advanced and can get a larger rebate. Contractors dislike doing basic package jobs because the size of the job is not worth the paperwork or testing, and so they try to sell advanced packages whenever possible. Many will not do Basic package jobs as a matter of policy. Program staff mentioned that this program focuses heavily on contractors to market and sell the program, much of the participation has been in the advanced package due to the contractors’ preference for this package over the basic package. Many participating contractors are “home performance” contractors that tend to market or push the advanced package more than the basic package because it better aligns with their business model. 
Local entities agreed that the basic package is too strict and not lucrative enough for contractors. </t>
  </si>
  <si>
    <t xml:space="preserve">The program is educating contractors </t>
  </si>
  <si>
    <t xml:space="preserve">The program is successful in raising awareness of the Whole House approach and in educating a portion of the contractor workforce about the value of the Whole House approach. The contractors are in turn educating their clients and potential customers generally through the assessment process itself. </t>
  </si>
  <si>
    <t>Contractors are generally satisfied with the training they received through the program. The training has helped contractors to learn how to use the whole house approach as a sales tool. "Honestly I think the number one sales tool contractors use is being able to point out issues while they are in the house. If someone invites you into their home to point out where the problems are and we are able to do that, that’s a pretty good sales tool. To show people that this is the state of your duct sealing, this is your insulation, this is why it is so cold here, really being able to get into it and show the physical results of our testing, that is probably the number one sales tool and the reason we got into BPI. (High Volume Contractor)</t>
  </si>
  <si>
    <t>Program impact on workforce development</t>
  </si>
  <si>
    <t xml:space="preserve">The program is stimulating business development among large contractors. The program has successfully incentivized large and mid-sized contractors to build up a trained BPI and WH oriented workforce. </t>
  </si>
  <si>
    <t xml:space="preserve">Most contractors reported learning new job skills through the program and identified many kinds of skills: energy modeling, air sealing, combustion safety, energy auditing, insulation, sales, EnergyPro, etc. Many EUC contractors who have completed at least some jobs, have hired and trained multiple new employees specifically because of the EUC program. Among "active" contractors, contractors have added an average of 7 employees per firm because of the EUC program.
Notably, nearly all contractors report their recent hires have been hired indefinitely. Contractors report that the new hires usually received program training after they were hired on, but some also received it before they were hired. Additionally, some contractors who have completed at least some jobs, are planning on hiring new staff as a result of the program. Further, contractors generally believe that these employees will be hired on indefinitely and will become BPI-certified. Only one contractor mentioned having to lay off two employees due to a lack of demand for the program. 
</t>
  </si>
  <si>
    <t>Contractors are interested in financing to help them float rebates</t>
  </si>
  <si>
    <t xml:space="preserve">Contractors we interviewed typically do not float the rebate for participants, and yet the few who do believe it encourages participation. Those who do not currently float the rebates for their participants also believe that doing so would increase participation. Finally, most of these contractors are interested in receiving a loan from the utilities to be able to float rebates, however some are concerned about EnergyPro modeling and how it could impact the loans. </t>
  </si>
  <si>
    <t xml:space="preserve">A contractor who does float rebates for customers was asked if this is helpful in recruiting customers to the program. "Yes, as long as there is some assurance. Sometimes EnergyPro misses something, and the rebate is not as large as it was assumed. When that happens, we are stuck with the smaller rebate." (Low Volume Contractor)
</t>
  </si>
  <si>
    <t xml:space="preserve">Premium incentives and subsidized assessments </t>
  </si>
  <si>
    <t xml:space="preserve">Local government incentives that subsidize assessment costs and add incentives dollars for measures on top of the utility amount are popular. Contractors in these areas believe that if these local incentives go away, that business will significantly decrease. 63% of participants received premium incentives. On average, participants received additional incentives that amounted to 68% of the IOU amount they received. LA County focus group findings led to a recommendation that "contractors should be encouraged to offer an initial consultation for free". Contractors in locales in which the local program incentives have offered subsidies for assessments have said that their business significantly increased. However, in areas where assessments are free, these contractors spend a significant amount of what could otherwise be productive time dealing with “tire-kickers” who are not serious about WH retrofits. </t>
  </si>
  <si>
    <t xml:space="preserve">Program management staff mentioned that the requirement of a whole house assessment that can cost anywhere from $99-$700, depending on the contractor, is a barrier to some customers since they must take a leap of faith that they will qualify for program incentives after they pay for the assessment. ABAG subsidized the assessment cost by $300. 
Several Program Managers mentioned that it will be important to continue to find ways to partner with organizations that want to put more money into the pot for marketing and/or incentives in a post-ARRA funding environment for the program to be successful.
</t>
  </si>
  <si>
    <t xml:space="preserve">Reaction to EnergyPro </t>
  </si>
  <si>
    <t xml:space="preserve">The reaction to EnergyPro is mixed, with some contractors believing that it is great if you know how to use it and others saying it is a “garbage-in-garbage-out” situation. Some contractors (especially very experienced contractors) doubt its usefulness. They believe it is flexible, but over-values wall insulation and under-values attic insulation. Many also believe that it does not allow for pool pump changes, and does not handle multiple HVAC systems very well. Most agree that the reports it provides are not useful for sales purposes. In addition, contractors that are BPI-certified but have not participated in the program yet, cited their need for EnergyPro training as a barrier to enrolling in the program. EUC program management staff recognizes that EnergyPro may not be the most useful tool for contractors and is hoping to find a better alternative. While EnergyPro is clunky and may not be the best tool from the contractors' perspective, contractors are still able to provide an accurate estimate of a customer's expected rebate amount most of the time. </t>
  </si>
  <si>
    <t xml:space="preserve">Contractors were mixed with regard to EnergyPro. Many said it takes a long time to learn and is not a great sales tool for customers. Some non-participating contractors also mentioned that the time needed to learn EnergyPro as a barrier to enrolling in the program. Program management staff is aware of the dissatisfaction and limitations with this modeling tool and is hoping to find a solution. Only some of the active contractors we interviewed have confidence in the EnergyPro software. Some believe that Energy Pro covers the major opportunities for energy efficiency and few believe it is accurate in its estimates. 
Contractors provided many critiques of the EnergyPro software. Here are the main categories:
• Does not account for some appliances and measures, especially pool pumps 
• It undervalues attic insulation and overestimates the importance of wall insulation
• Over-relies on average home energy profiles 
• Software limitations hinders making sales
• It does not model existing homes well-especially those with different, “piece-meal”  combinations of measures-- and therefore may not be appropriate for the EUC program
Only a few contractors provided positive feedback for the EnergyPro software (e.g., “great” “a good tool”). However, these contractors also tended to not fully trust any home energy modeling software and emphasized that the assessor needs to have a systemic understanding of the house’s energy profile to use these tools. 
Nearly half the active participating contractors we interviewed use other software to model estimated energy usage and double-enter assessment information just for the program. Across these contractors, Recurve was mentioned most often, followed closely by Wrightsoft. Contractors mentioned various reasons for using Recurve, including sales and to check EnergyPro.
</t>
  </si>
  <si>
    <t>Contractors and customers need a consistent and knowledgeable program contact</t>
  </si>
  <si>
    <t xml:space="preserve">Contractors who try to get answers about the EUC program, in both PG&amp;E and SCE territory, feel as if it takes a significant amount of time to find a person who can answer their questions. In the case of Job-Reporting-Template revisions, they often deal with multiple people who seem to have different standards as to how detailed the JRT needs to be. Customers who have called the PG&amp;E customer service line find that the representatives do not know about and cannot give them any answers about EUC rebates or about the QA/QC inspections. Customers then call the contractors for answers, who often cannot answer their questions. LA County focus groups found that customers would prefer to talk to someone rather than concentrate on a website and thought a 1-800 number would give the program more credibility. Also some focus group participants had tried calling the program service line and could not get through. </t>
  </si>
  <si>
    <t xml:space="preserve">"One contact person for EUC customer service would be useful. As it is, there are many contacts and it is hard to find someone who knows what they are talking about on the first try." (Participating Contractor)
"When customers call PG&amp;E, PG&amp;E customer service doesn't know about the rebates, so customers question if we are making it up. Also, when PG&amp;E tries to schedule someone to go to a rebate recipient’s house to do verification testing, the customer will ask “Is this in regards to my rebate?” and the PG&amp;E representative doesn’t know, which makes things difficult and they call the contractor to find out what is going on Both the customer and I am out of the loop for 6 weeks or so after the rebate is applied for. SMUD has a link that gives progress on the rebate that is easy for the customer." (High Volume Participating Contractor)
</t>
  </si>
  <si>
    <t>Participant Characteristics</t>
  </si>
  <si>
    <t>Participant satisfaction with contractors</t>
  </si>
  <si>
    <t xml:space="preserve">Participants are satisfied with the contractors and are very likely to recommend them. They rated contractors lowest on their knowledge of available financing options. </t>
  </si>
  <si>
    <t>Participant satisfaction with home assessment reports</t>
  </si>
  <si>
    <t>Participants are satisfied with the home energy assessments they receive.</t>
  </si>
  <si>
    <t>Program impact on customer knowledge, behavior and energy bills</t>
  </si>
  <si>
    <t>Most participants gained some knowledge of energy efficiency and a little more than half are now managing their energy use differently since participating in the program. Further, most participants have seen their energy bill drop or expect it to.</t>
  </si>
  <si>
    <t>PG&amp;E explained that customers may not be getting the savings they were promised due to issues with EnergyPro and the rebound effect. …“So a classic example is a really inefficient furnace that’s not delivering heat, it’s so inefficient that you don’t use it then when you weatherize the home and bring the furnace up to snuff then you start using your furnace. So you are more comfortable, you are using your energy more efficiently but your bill may go up depending on how you use that.” – PG&amp;E Program Staff</t>
  </si>
  <si>
    <t>Participant Program Satisfaction</t>
  </si>
  <si>
    <t xml:space="preserve">Participant satisfaction with the program is high overall, most are talking about the program to others and saying positive things. Top sources of dissatisfaction are with rebate processing time and the desire for better customer service from program staff. Especially the desire to have fewer points of contact regarding the program to facilitate better program communication. </t>
  </si>
  <si>
    <t>Participants' Awareness of WH Benefits</t>
  </si>
  <si>
    <t>Participants are very strongly aware of the savings and comfort benefits of the whole house or comprehensive approach but were quite unsure about whether their own homes were efficient. 82% agreed quite strongly (rating in the 7-10 range) that the approach would lead to very deep savings, and 87% gave that level of agreement to the idea that the approach would significantly increase the home's comfort. Only 45% gave that level of agreement to the belief that their own home was efficient.</t>
  </si>
  <si>
    <t>Participants' AKA-B Motivations</t>
  </si>
  <si>
    <t>A majority of participants appeared to be motivated at least somewhat by helping the environment but more were motivated by comfort, which is the message that is most often sent by the program and contractors. 58% agreed to a  statement that connected participation to concern about the environment, and 53% said they would feel guilty about harming the environment if they didn't do what they could to increase energy efficiency. On the other hand, 87% agreed that they addressed comfort issues with the upgrade, although it is possible that comfort became salient after they actually experienced it.</t>
  </si>
  <si>
    <t>Contractors' prefer comfort over cost benefit</t>
  </si>
  <si>
    <t>Participating contractors are more likely to be convinced about the comfort than the cost benefits of the comprehensive approach, though they are strongly convinced of both. 92% of participating contractors strongly agreed with the statement that the program approach would significantly increase comfort, and 97% said they often encourage customers to do this to increase comfort. We considered the possibility that these contractors were responding in a socially desirable way. To assess this, we also report the percent who chose the very strongest response category, believing that the social desirability bias may not go so far as to cause them to choose the very strongest endorsement. Under this criterion, 69% gave a 10 to the comfort statement, and 51% gave it to the cost statement. So, a majority give the very highest rating to both benefits</t>
  </si>
  <si>
    <t>Contractors' electricity and environment connection</t>
  </si>
  <si>
    <t>Nearly all participating contractors apparently agree that there is a connection between household electricity use and the environment, somewhat fewer are concerned about it, and somewhat fewer feel a strong responsibility to do something about it in their profession. 97% of participating contractors agree that there is a connection between household electricity use and the environment, 82% &amp; 74% (over 2 questions) are concern about that, and 85% feel some professional responsibility to address the issue with their customers. An analysis considering only those who choose the strongest endorsement of these statements still shows that these contractors believe the connections (85%), are concerned about it (67% and 54%) and feel a responsibility to address it (54%).</t>
  </si>
  <si>
    <t>Contractors' personal and professional energy responsibility</t>
  </si>
  <si>
    <t>Participating contractors feel a similar level of responsibility to save energy at home as they do in their profession. The feeling of responsibility to the environment (85% using the 7-10-rating and 54% using the 10-rating) is comparable to the levels of responsibility they expressed for their professional behavior. This may reflect a fairly solid basis for believing in what they are selling, although there is room for improvement here.</t>
  </si>
  <si>
    <t>Contractors' promotion of energy efficiency</t>
  </si>
  <si>
    <t>Nearly all participating contractors intend to promote energy efficiency to their customer. 100% chose a rating between 7 and 10, and 90% chose 10 as a level of agreement with a statement that they intend to promote energy efficiency to their customers</t>
  </si>
  <si>
    <t>Customers want to pick and choose their improvements</t>
  </si>
  <si>
    <t xml:space="preserve">A number of customers do not want to do a package of improvements, but rather have specific improvements they want to do "a la carte". </t>
  </si>
  <si>
    <t>LA County Focus Groups</t>
  </si>
  <si>
    <t>LA County focus groups found that "When [customers] determine they cannot pick and choose the upgrades to qualify for the full rebates, some choose to pursue individual items on their own. And the list of rebates provided on the website helps them figure out how to do individual items through their utilities or local government- so rather than push them toward the program, the list gives them the information they need to move away from it.</t>
  </si>
  <si>
    <t xml:space="preserve">Program longevity concerns </t>
  </si>
  <si>
    <t xml:space="preserve">Uncertainty regarding program longevity serves as a barrier to attract some non-participating contractors to the program. Uncertainly regarding how the program will continue after ARRA funding also inhibits the level of collaboration between the IOUs and local entities.  </t>
  </si>
  <si>
    <t xml:space="preserve">IOUs and local entities are unclear about the future of the program after ARRA funds run out, making it difficult for them to determine the right amount of investment they should make in the relationship. Local entities also mentioned that the unclear future of the program after ARRA funds run out makes some contractors reluctant to train/ramp up and also makes it hard for local entities to plan past ARRA. </t>
  </si>
  <si>
    <t>San Bernardino is implementing an alternative program design</t>
  </si>
  <si>
    <t>One local entity in SCE territory is starting a pilot in early 2012 that will test an alternate delivery method. San Bernardino hired one contractor to do all home audits and is precluding them from doing any retrofit work, this has streamlined the audit process and makes customers more trusting of audit results. The contractors provide one discounted price to the customer (that takes into account the expected rebate from the County and the IOU). San Bernardino reimburses the contractor one time, including the expected IOU and City rebate in one check. San Bernardino then recoups the money from SCE/SCG after everything is processed and approved.</t>
  </si>
  <si>
    <t>Program Managers</t>
  </si>
  <si>
    <t>Reduce application processing times and QA/QC requirements</t>
  </si>
  <si>
    <t xml:space="preserve">Application processing times should be reduced. This will require efforts to better educate contractors on how to meet program requirements; rewarding contractors that meet requirements; and looking at how the program might be able to loosen the program requirements. Much of what the program is experiencing here is very similar to what SCE and PG&amp;E experienced when processing applications for the CA Solar Initiative Program. EUC program staff might consider speaking with the CSI teams to brainstorm on solutions. 
SCE should continue its efforts in this area:  The program is currently attempting to streamline the QC process and reduce both the % of projects that they QC and the protocols for what the QC team should do when they find discrepancies. As such, the program is working to reduce the percentage of projects that receive a pre- and post-inspection, which will greatly reduce application and rebate processing time. The program plans to reduce the percentage of 100% of projects down to a sample of projects. For very active contractors, the program may reduce the inspections to 10% or less if they have proven their ability to abide by program guidelines in previous projects.
For PG&amp;E; they have started a mentoring program for active contractors that is helping them to adhere to program requirements. Further, incentive delivery delays are due in part to a combustion appliance safety inspection that is required for every participant. PG&amp;E is working to finalize safety protocols to allow for inspection of  a sample  instead of every site.
</t>
  </si>
  <si>
    <t xml:space="preserve">Program efforts to support contractors should continue focus on those that help the top contractors grow their customer base and less on trying to get more contractors into the program at this point. Once these contractors are successful and the program has streamlined some of its participation processes,  the program can work on broadening the pool of high-performing contractors. </t>
  </si>
  <si>
    <t>BIG</t>
  </si>
  <si>
    <t>ICFI</t>
  </si>
  <si>
    <t>Improve customer service to contractors and customers</t>
  </si>
  <si>
    <t xml:space="preserve">The program should establish a single point of contact for customer and contractor inquiries.  This contact needs to be well versed in  all program requirements and guidelines and needs access to the program database to be able to communicate their application and/or rebate status. As indicated by the LA County focus groups the program's call center should be responsive, answer right away and be well-informed.
The program should also consider an automated process (by email, phone or a website) that generates some proactive status updates for major project milestones to contractors and customers (e.g. application received, project approved for rebate, inspection pending, etc). SMUD has a link to a website they give customers that gives progress on the rebate. A single rebate-status web-portal and/or dedicated EUC customer/contractor service contact could help with this situation. Implementing this recommendation may mean that the IOUs begin to use the same program tracking database or that each of their databases communicate the same data to a third centralized system. This would require that the IOUs use the same job reporting system and the same QC/QC checkpoints in the process so that the same information could be reported to all customers.
</t>
  </si>
  <si>
    <t>Move EUC website control to the IOUs</t>
  </si>
  <si>
    <t>Keep one centralized EUC program website but give the utilities power to collectively change the content and user interface and also give them access to customer data so that IOUs can do follow-up marketing with interested customers.</t>
  </si>
  <si>
    <t>Contractors could be supported and encouraged by awarding them funding that partially covers their cost for participation: cost for diagnostic tools, training sessions; administrative resources; turning an assessment into an EUC job; doing high quality work and time spent marketing the program. We recommend looking to the NYSERDA model for some ideas on ways incentives can be structured to help with contractor participation. The NYSERDA program offers contractors reimbursement for BPI certification, tuition reimbursement for non-BPI certification classes and exam fees; 50% reimbursement of fees associated with new and renewing company BPI accreditations; an incentive of 20% for the cost of diagnostic equipment up to $4,000; cooperative marketing incentives to help pay for advertising and marketing efforts; $250 for assessment reimbursement; when assessments lead to retrofits, the contractor that modeled the home gets 5% of the value of eligible measures installed up to $500; and a general contractor/referral incentive.</t>
  </si>
  <si>
    <t xml:space="preserve">The program should reconsider the basic package offering. The program's own staff has some interesting ideas for modifying it: 
SCE staff made some creative suggestions for how to improve the basic package. One staff member suggested that instead of offering customers the option of doing 5 measures, the program could give customers the choice of up to 15 measures and allow them to pick a minimum of 2 core measures and 3 others.  This would allow the basic path to progress as a fixed measure path giving more flexibility to the contractor and homeowner and may also streamline the internal application processing for basic.
</t>
  </si>
  <si>
    <t xml:space="preserve">The program should consider whether it can subsidize the assessment cost. The assessment should cost a customer something to reduce "tire kickers". Charging something for the assessment also reinforces the value of it. The contractors’ price for the assessment should still be left to the contractor in a free market . </t>
  </si>
  <si>
    <t>RAMT</t>
  </si>
  <si>
    <t>QAS9</t>
  </si>
  <si>
    <t>QAS10</t>
  </si>
  <si>
    <t>total_incentive</t>
  </si>
  <si>
    <t>Count</t>
  </si>
  <si>
    <t>IOU and Premium Incentives Received</t>
  </si>
  <si>
    <t>Range</t>
  </si>
  <si>
    <t>Low</t>
  </si>
  <si>
    <t>High</t>
  </si>
  <si>
    <t>IOU Incentives (n=65)</t>
  </si>
  <si>
    <t>Premium Incentives (n=65)</t>
  </si>
  <si>
    <t>Total Incentives (n=65)</t>
  </si>
  <si>
    <t>mean</t>
  </si>
  <si>
    <t>Contractors' Quotes Impact of Premium Incentives</t>
  </si>
  <si>
    <t>Contractor Type</t>
  </si>
  <si>
    <t>Quote</t>
  </si>
  <si>
    <t>High Volume</t>
  </si>
  <si>
    <t xml:space="preserve">"Additional rebates from LA County. The rebates are so huge."(In response to what messaging motivates customers)
</t>
  </si>
  <si>
    <t>"We have fortunately had a rebate for assessment work, for a short amount of time, probably the last six months or so, and that’s been a real boon because you can tell people about the program and suggest that they get this assessment, which everybody needs anyway and actually get the cost of that covered. We work with a couple [assessment subsidizing groups]. In Mendocino county it’s Ecology Action, and Sonoma County its Sonoma county energy independence Program (SCEIP). Both of those rebates are ending at the end of the month though."</t>
  </si>
  <si>
    <t>Low Volume</t>
  </si>
  <si>
    <t>"Upfront assesment cost is prohibitive. A lot of leads were a result of CHF, which is over."</t>
  </si>
  <si>
    <t>"Free assesments don’t attract projects."</t>
  </si>
  <si>
    <t>Contractors' Agreement with Awareness, Knowledge, Actions-Behaviors Statements</t>
  </si>
  <si>
    <t>Total (n=39)</t>
  </si>
  <si>
    <t>Non-participating (n=8)</t>
  </si>
  <si>
    <t>No Projects (n=8)</t>
  </si>
  <si>
    <t>Low Volume (n=8)</t>
  </si>
  <si>
    <t>High Volume (n=8)</t>
  </si>
  <si>
    <t>Agree 
(7-10)</t>
  </si>
  <si>
    <t>Disagree
 (0-3)</t>
  </si>
  <si>
    <t>Chose 10 
(or 0 when reversed)</t>
  </si>
  <si>
    <t>Standard deviation</t>
  </si>
  <si>
    <t>Agree</t>
  </si>
  <si>
    <t>Disagree</t>
  </si>
  <si>
    <t>Stage</t>
  </si>
  <si>
    <t>Energy-Environment Connection</t>
  </si>
  <si>
    <t>Awareness/Knowledge-Environment</t>
  </si>
  <si>
    <t>Household electricity use has an impact on the environment.</t>
  </si>
  <si>
    <t>Concern-Environment</t>
  </si>
  <si>
    <t>I am very concerned about how energy use affects the environment</t>
  </si>
  <si>
    <t>I am concerned that global climate change will increase if homeowners do not make their homes more energy efficient.</t>
  </si>
  <si>
    <t xml:space="preserve">Responsibility-Environment </t>
  </si>
  <si>
    <t>It is not my responsibility to help the environment by encouraging my customers to save energy.</t>
  </si>
  <si>
    <t>Comfort AKA-B</t>
  </si>
  <si>
    <t>Awareness/Knowledge-Comfort</t>
  </si>
  <si>
    <t>The comfort of a home that has sealing around windows and doors, insulated walls and attics, insulated hot water systems, and all high-efficiency appliances would be significantly greater than that for a home without these features.</t>
  </si>
  <si>
    <t>Behavior-Comfort</t>
  </si>
  <si>
    <t>I very often encourage my customers to do a comprehensive retrofit of their homes to reduce energy use and increase comfort.</t>
  </si>
  <si>
    <t>Personal AKA-B</t>
  </si>
  <si>
    <t>Concern-Cost/Personal</t>
  </si>
  <si>
    <t>I often worry that the cost of energy for my own home will increase.</t>
  </si>
  <si>
    <t>Responsibility-Environment/Personal</t>
  </si>
  <si>
    <t>It is not my responsibility to use as little energy as possible to help the environment.</t>
  </si>
  <si>
    <t>Responsibility-General/Personal</t>
  </si>
  <si>
    <t>I have to take the lead in my own household if we're going to keep our utility bills down.</t>
  </si>
  <si>
    <t>Intention-General/Personal</t>
  </si>
  <si>
    <t>I intend to conserve on electricity consumption in my own home this summer.</t>
  </si>
  <si>
    <t>Professional AKA-B-Other</t>
  </si>
  <si>
    <t>Awareness/Knowledge-Cost</t>
  </si>
  <si>
    <t>The energy costs of a home that has these features would be significantly less than one that does not.</t>
  </si>
  <si>
    <t>Responsbility-General</t>
  </si>
  <si>
    <t>It is my responsibility to highlight the potential financial savings that can result from energy assessments and retrofits to my customers.</t>
  </si>
  <si>
    <t>Intention-General</t>
  </si>
  <si>
    <t>I intend to promote energy efficiency to my customers.</t>
  </si>
  <si>
    <t>Note: All means and percentages are derived using valid responses, i.e., one data point wasr emoved when the respondent stated "not applicable".</t>
  </si>
  <si>
    <t>Participants' Agreement with Awareness Knowledge Actions-Behaviors Statements</t>
  </si>
  <si>
    <t>Total (n=78)</t>
  </si>
  <si>
    <t>PG&amp;E (n=62)</t>
  </si>
  <si>
    <t>Disagree 
(0-3)</t>
  </si>
  <si>
    <t>Model Stage</t>
  </si>
  <si>
    <t>Environment- Energy Connection</t>
  </si>
  <si>
    <t>Awareness/Knowledge</t>
  </si>
  <si>
    <t>Completing a comprehensive package of modifications to my home, including sealing leaky windows and doors, insulating walls and attics, insulating all hot water systems, and using all high-efficiency appliances will result in very deep savings.</t>
  </si>
  <si>
    <t>Concern</t>
  </si>
  <si>
    <t>I was concerned enough about the environmental impacts of energy use that I completed a comprehensive package of home modifications to help.</t>
  </si>
  <si>
    <t>Responsibility</t>
  </si>
  <si>
    <t>I would feel a little guilty about harming the environment if I didn't do all I could to my home to make it energy efficient.</t>
  </si>
  <si>
    <t>Comfort Attitudes</t>
  </si>
  <si>
    <t>Completing the full package of home modifications that includes sealing areas around windows and door, insulating walls and attics, insulating all hot water systems, and using all high-efficiency appliances would significantly increase the comfort of a home.</t>
  </si>
  <si>
    <t>Concern-Comfort</t>
  </si>
  <si>
    <t>My/our home had problems with drafts and cold or hot spots that I/we addressed with our recent energy upgrade.</t>
  </si>
  <si>
    <t>General Energy Attitudes</t>
  </si>
  <si>
    <t>Awareness/Knowledge-General</t>
  </si>
  <si>
    <t>I wasn't sure whether my home was energy efficient or not.</t>
  </si>
  <si>
    <t>Concern-General</t>
  </si>
  <si>
    <t>I'm really not sure that my home needs to be as energy efficient as possible.</t>
  </si>
  <si>
    <t>Responsibility General</t>
  </si>
  <si>
    <t>I feel that it is my job to do as much as possible to my/our home to reduce energy use significantly.</t>
  </si>
  <si>
    <t>Note: All means and percentages are derived using valid responses, i.e., a few data points were removed when respondents stated "not applicable", "don't know" or refused to answer.</t>
  </si>
  <si>
    <t>Contractors' Quotes on EnergyPro</t>
  </si>
  <si>
    <t xml:space="preserve">"We have to tweak EnergyPro to get results, especially for more advanced measures that don’t fit in the model."
</t>
  </si>
  <si>
    <t>Non-Participating</t>
  </si>
  <si>
    <t>"I don't feel comfortable about doing one of these jobs without mentoring, even though I am BPI certified and have gone to the EUC workshop. The training I have is fine, but it doesn't cover a lot off issues on the ground, like dealing with various types of appliances. Also, I'm not familiar with EnergyPro software. I know I need it, but I've never used it or been taught how to do it, even though I have been through the EUC workshop. I want to go to more trainings, but they are far away and don't occur very often."</t>
  </si>
  <si>
    <t xml:space="preserve">"It takes a lot of guesswork out, saves time from doing it manually. It does take a long time to learn." </t>
  </si>
  <si>
    <t xml:space="preserve">"Climate zone borders are tricky, since it can use the average" home in that area, but the difference between an "average" home and an actual one can be dramatic" </t>
  </si>
  <si>
    <t xml:space="preserve">“We use ReCurve to create a report to show to the homeowner. It includes pictures and homeowners can see what is going on”. </t>
  </si>
  <si>
    <t xml:space="preserve">Doesn't model air-infiltration well, which is one of the BPI standards. That would allow us to make a better sell to the customers. </t>
  </si>
  <si>
    <t xml:space="preserve">Doesn't allow input of current usage. Which would be useful to sell the job to the customer. </t>
  </si>
  <si>
    <t>Inactive</t>
  </si>
  <si>
    <t xml:space="preserve"> "[The basic] does not cover many types of homes. Many do not have central heaters or duct work." </t>
  </si>
  <si>
    <t xml:space="preserve">"[The basic] is only a partial job. If a contractor isn't eligible to do the advanced package, you really have to team up with another company to do the combustion testing, which lowers your profit more and is more hassle. It is also a lower rebate. </t>
  </si>
  <si>
    <t xml:space="preserve">"[I tell customers, for the basic upgrade] you have to do the test and everything anyway. Go through advanced and get a bigger rebate."
</t>
  </si>
  <si>
    <t>"Almost everything we do is for the Advanced package. Most of the time you could submit a basic path job as an advanced and get more rebates."</t>
  </si>
  <si>
    <t>Davis Energy Group</t>
  </si>
  <si>
    <t>"[The basic upgrade] isn't cost effective. The amount of time it takes to educate the consumer and do the audit, it isn’t worth it for $1500. It isn’t even really home performance."</t>
  </si>
  <si>
    <t>"It is very hard to get your (Basic) paperwork processed through [the program]. It is supposed to be quicker and streamlined, but [the program] doesn’t see very much of these, so it takes longer. The addition of the Test-in/test Out (where it wasn’t required before) makes it take longer, so it loses some of it's advantage."</t>
  </si>
  <si>
    <t>Levels of Exposure to EUC Marketing, Overall and by County (General Population)</t>
  </si>
  <si>
    <t>PG&amp;E EUC Marketing Effectiveness General Population Panel Survey (n=235)</t>
  </si>
  <si>
    <t xml:space="preserve">PG&amp;E General Population </t>
  </si>
  <si>
    <t xml:space="preserve">Total (n=235) </t>
  </si>
  <si>
    <t>Contra Costa (n=58)</t>
  </si>
  <si>
    <t>Fresno (n=6)</t>
  </si>
  <si>
    <t>Placer (n=3)</t>
  </si>
  <si>
    <t>San Mateo (n=64)</t>
  </si>
  <si>
    <t>Santa Clara (n=104)</t>
  </si>
  <si>
    <t>Aware of Energy Upgrade California or Had Seen Energy Upgrade California Logo</t>
  </si>
  <si>
    <t xml:space="preserve">Heard Radio Ad </t>
  </si>
  <si>
    <t xml:space="preserve">Seen Internet Ad </t>
  </si>
  <si>
    <t xml:space="preserve">Seen Newspaper Ad </t>
  </si>
  <si>
    <t xml:space="preserve">Seen Transit Ad </t>
  </si>
  <si>
    <t xml:space="preserve">Seen TV Ad </t>
  </si>
  <si>
    <t xml:space="preserve">Seen Direct Mail </t>
  </si>
  <si>
    <t>Seen Print ads (net)</t>
  </si>
  <si>
    <t>PG&amp;E Brochure (or similar)</t>
  </si>
  <si>
    <t>Energy Ambassadors Handout (or similar) (San Mateo County only)</t>
  </si>
  <si>
    <t>County Incentives Handout (or similar) (Contra Costa County only)</t>
  </si>
  <si>
    <t xml:space="preserve">Hear from Family Member, Friend, Neighbor, or Colleague </t>
  </si>
  <si>
    <t xml:space="preserve">Seen at Local Event </t>
  </si>
  <si>
    <t xml:space="preserve">Heard from Contractor </t>
  </si>
  <si>
    <t xml:space="preserve">Received Email </t>
  </si>
  <si>
    <t>Where Workshop Participants Heard About Workshops</t>
  </si>
  <si>
    <t>PG&amp;E EUC Marketing Effectiveness Workshop Participant Survey (n=81)</t>
  </si>
  <si>
    <t>Workshop Participants (n=81)</t>
  </si>
  <si>
    <t xml:space="preserve">Email </t>
  </si>
  <si>
    <t xml:space="preserve">Family Member, Friend, Neighbor, or Colleague </t>
  </si>
  <si>
    <t xml:space="preserve">Local Event </t>
  </si>
  <si>
    <t xml:space="preserve">Direct Mail </t>
  </si>
  <si>
    <t>Newspaper Ad</t>
  </si>
  <si>
    <t>Internet Ad</t>
  </si>
  <si>
    <t>Radio Ad</t>
  </si>
  <si>
    <t>A Contractor</t>
  </si>
  <si>
    <t>Television ad</t>
  </si>
  <si>
    <t>Transit Ad</t>
  </si>
  <si>
    <t xml:space="preserve">Other </t>
  </si>
  <si>
    <t xml:space="preserve">Conversion from Workshop to EUC Program Participation </t>
  </si>
  <si>
    <t>Mean Program Influence Score (0-10 scale)</t>
  </si>
  <si>
    <t>Signed up for Energy Upgrade California</t>
  </si>
  <si>
    <t>Got an energy assessment from a contractor</t>
  </si>
  <si>
    <t>Pursuing a project through EUC (work has either started, is about to start, or is complete)</t>
  </si>
  <si>
    <t>Workshop Attendee's Barrier to EUC Participation</t>
  </si>
  <si>
    <t xml:space="preserve">Workshop Participants Who Haven't Signed Up for EUC (n=56) </t>
  </si>
  <si>
    <t>The initial cost is too high</t>
  </si>
  <si>
    <t>I haven’t had time to contact a contractor</t>
  </si>
  <si>
    <t>I haven’t found a contractor yet</t>
  </si>
  <si>
    <t>Renter/does not qualify for program</t>
  </si>
  <si>
    <t>My home doesn’t need any of the upgrades sponsored by the program</t>
  </si>
  <si>
    <t>I cannot get financing to cover the project cost</t>
  </si>
  <si>
    <t>I need more information about the program</t>
  </si>
  <si>
    <t>Top Motivating Marketing Messages for Participation (General Pop)</t>
  </si>
  <si>
    <t>Top Motivating Factor for Participation General Population (n=235)</t>
  </si>
  <si>
    <t>Incentives</t>
  </si>
  <si>
    <t>Lower bills</t>
  </si>
  <si>
    <t>Comfort</t>
  </si>
  <si>
    <t>Participating contractors</t>
  </si>
  <si>
    <t>The environment</t>
  </si>
  <si>
    <t>Marketing Print Collateral Testing Summary (General Population)</t>
  </si>
  <si>
    <t>General Population (n=235)</t>
  </si>
  <si>
    <t>PG&amp;E Promotional Brochure (All Counties)</t>
  </si>
  <si>
    <t>Energy Ambassador Promotional Flyer (San Mateo County)</t>
  </si>
  <si>
    <t>Incentives Handout (Contra Costa County)</t>
  </si>
  <si>
    <t>% Who said this ad MOST made them want to contact the program</t>
  </si>
  <si>
    <t>% Who said they were very likely (8-10 rating) to seek out more information on the topic</t>
  </si>
  <si>
    <t>% Who said they understood the differences in the two types of upgrade packages (brochure only) (8-10 rating)</t>
  </si>
  <si>
    <t>% who said they understood the Personal Energy Review (Energy Ambassador flyer only) (8-10 rating)</t>
  </si>
  <si>
    <t>% who said they understood the Energy Ambassador information (Energy Ambassador flyer only) (8-10 rating)</t>
  </si>
  <si>
    <t>% who understood the type of incentive packages (Contra Costa handout only) (8-10 rating)</t>
  </si>
  <si>
    <t>Customer beliefs of what the ad is trying to get them to do (top 3 mentioned)</t>
  </si>
  <si>
    <t>Get energy upgrades to home/Get home upgrades (33%)</t>
  </si>
  <si>
    <t>Get an audit/evaluation/review of energy use (40%)</t>
  </si>
  <si>
    <t>Get EE home upgrades/make home more energy efficient (34%)</t>
  </si>
  <si>
    <t>Improve home energy efficiency (general) (27%)</t>
  </si>
  <si>
    <t>Spread word to others in community/share experience (25%)</t>
  </si>
  <si>
    <t>Get rebates or incentives (18%)</t>
  </si>
  <si>
    <t>Save energy (17%)</t>
  </si>
  <si>
    <t>Find ways to save/Find out more about EE options (14%)</t>
  </si>
  <si>
    <t>Get a loan/get financing (18%)</t>
  </si>
  <si>
    <t>Get home upgrade/Improve home (general - does not mention EE specifically) (18%)</t>
  </si>
  <si>
    <t>Contractor Program Satisfaction Ratings</t>
  </si>
  <si>
    <t>Program Satisfaction Mean Scores (0-10 scale)</t>
  </si>
  <si>
    <t xml:space="preserve">PG&amp;E </t>
  </si>
  <si>
    <t>n</t>
  </si>
  <si>
    <t>Paperwork Satisfaction Mean Scores (0-10 scale)</t>
  </si>
  <si>
    <t>Contractors Stating Paperwork is Barrier to Participation</t>
  </si>
  <si>
    <t>% saying “yes” to paperwork as barrier to participation</t>
  </si>
  <si>
    <t> Group</t>
  </si>
  <si>
    <t>N</t>
  </si>
  <si>
    <t>%</t>
  </si>
  <si>
    <t>Non-Parts</t>
  </si>
  <si>
    <t>Contractor's Suggested Most Effective Marketing Messages</t>
  </si>
  <si>
    <t>Number of mentions when asked about effective messaging</t>
  </si>
  <si>
    <t>Low Volume
n=8</t>
  </si>
  <si>
    <t>High Volume n=8</t>
  </si>
  <si>
    <t>Davis Energy Group
n=6</t>
  </si>
  <si>
    <t>Total
n=22</t>
  </si>
  <si>
    <t>Rebates</t>
  </si>
  <si>
    <t>Saving Money/Lower Energy Bills</t>
  </si>
  <si>
    <t>Saving Energy</t>
  </si>
  <si>
    <t>WH Approach</t>
  </si>
  <si>
    <t>Green</t>
  </si>
  <si>
    <t>Home Value</t>
  </si>
  <si>
    <t>Health</t>
  </si>
  <si>
    <t>*Note that non-participating and non-active contractors were not asked this question given that they have not been effectively selling the program yet.</t>
  </si>
  <si>
    <t>Contractor Barriers to Submitting Jobs to the Program</t>
  </si>
  <si>
    <t>Barriers Tested</t>
  </si>
  <si>
    <t>Non-Participating
(n=8)</t>
  </si>
  <si>
    <t>In-Active (n=8)</t>
  </si>
  <si>
    <t>Total 
(n=24)</t>
  </si>
  <si>
    <t>Upfront investment</t>
  </si>
  <si>
    <t>--</t>
  </si>
  <si>
    <t>63% (n=8)</t>
  </si>
  <si>
    <t>The paperwork required</t>
  </si>
  <si>
    <t>The incentives are not high enough</t>
  </si>
  <si>
    <t>The sales and marketing required</t>
  </si>
  <si>
    <t>Rebate processing time</t>
  </si>
  <si>
    <t>The training required</t>
  </si>
  <si>
    <t>The availability of local trainings</t>
  </si>
  <si>
    <t>Not sure if the program will be around for a long time</t>
  </si>
  <si>
    <t>The necessary tools needed to do the assessment and upgrade work</t>
  </si>
  <si>
    <t>38% (n=16)</t>
  </si>
  <si>
    <t>The reputation of the program</t>
  </si>
  <si>
    <t>Contractors Completing Jobs Outside of the Program</t>
  </si>
  <si>
    <t>% that completed jobs in 2011 that may have qualified for EUC</t>
  </si>
  <si>
    <t>EUC Qualified Jobs Not Submitted to Program in 2011</t>
  </si>
  <si>
    <t>Estimated Number of Completed Jobs that may have qualified for EUC in 2011</t>
  </si>
  <si>
    <t>Number of jobs</t>
  </si>
  <si>
    <t>Non-Participants</t>
  </si>
  <si>
    <t> 22</t>
  </si>
  <si>
    <t> 130</t>
  </si>
  <si>
    <t> 32</t>
  </si>
  <si>
    <t> 5</t>
  </si>
  <si>
    <t> 6</t>
  </si>
  <si>
    <t>Average jobs/contractor</t>
  </si>
  <si>
    <t>Contractor Satisfaction with Program Training</t>
  </si>
  <si>
    <t>Satisfaction Mean Scores (0-10 scale)</t>
  </si>
  <si>
    <t>Proportion of Participating Contractors that Learned New Job Skills</t>
  </si>
  <si>
    <t>% that Learned new job skills</t>
  </si>
  <si>
    <t>Proportion of Contractors that Have Added Staff due to EUC Program</t>
  </si>
  <si>
    <t>Amount of Contractor Staff Hired Because of EUC Program</t>
  </si>
  <si>
    <t># of employees</t>
  </si>
  <si>
    <t>Average/Contractor</t>
  </si>
  <si>
    <t>Proportion of Active Contractors that Plan to Add Staff</t>
  </si>
  <si>
    <t>How Participants First Heard about the Program</t>
  </si>
  <si>
    <t>Participant Survey</t>
  </si>
  <si>
    <t>Family/Friend</t>
  </si>
  <si>
    <t>Letter from utility</t>
  </si>
  <si>
    <t xml:space="preserve"> Mortgage lender/loan officer/real estate agent/bank </t>
  </si>
  <si>
    <t>EUC Website</t>
  </si>
  <si>
    <t>Visited Site</t>
  </si>
  <si>
    <t>Information was easy to understand</t>
  </si>
  <si>
    <t>Gave a good understanding of program offerings</t>
  </si>
  <si>
    <t>Accurately reflected my program experience</t>
  </si>
  <si>
    <t xml:space="preserve">Participant Characteristics </t>
  </si>
  <si>
    <t>Project Type</t>
  </si>
  <si>
    <t xml:space="preserve"> (n=78)</t>
  </si>
  <si>
    <t xml:space="preserve"> (n=62)</t>
  </si>
  <si>
    <t xml:space="preserve"> (n=16)</t>
  </si>
  <si>
    <t>Stand Alone</t>
  </si>
  <si>
    <t>Extension of Existing</t>
  </si>
  <si>
    <t>Life Events</t>
  </si>
  <si>
    <t>Recently Retired</t>
  </si>
  <si>
    <t>New Home Purchase</t>
  </si>
  <si>
    <t>Timing</t>
  </si>
  <si>
    <t>Needed HVAC Replacement</t>
  </si>
  <si>
    <t>Payment Type</t>
  </si>
  <si>
    <t>Used Cash</t>
  </si>
  <si>
    <t>Financing</t>
  </si>
  <si>
    <t>Household Income in 2011</t>
  </si>
  <si>
    <t xml:space="preserve"> (n=75)</t>
  </si>
  <si>
    <t xml:space="preserve"> (n=61)</t>
  </si>
  <si>
    <t xml:space="preserve"> (n=14)</t>
  </si>
  <si>
    <t>Over $150,000</t>
  </si>
  <si>
    <t>$100,000 to $150,000</t>
  </si>
  <si>
    <t>$75,000 to under $100,000</t>
  </si>
  <si>
    <t>$50,000 to under $75,000</t>
  </si>
  <si>
    <t>$35,000 to under $50,000</t>
  </si>
  <si>
    <t>Under $35,000</t>
  </si>
  <si>
    <t>Number of People (including children) in Household</t>
  </si>
  <si>
    <t>5 or more</t>
  </si>
  <si>
    <t>Number of Children in Household</t>
  </si>
  <si>
    <t xml:space="preserve"> (n=73)</t>
  </si>
  <si>
    <t xml:space="preserve"> (n=57)</t>
  </si>
  <si>
    <t>Participant Age</t>
  </si>
  <si>
    <t>18-24</t>
  </si>
  <si>
    <t>25-34</t>
  </si>
  <si>
    <t>35-44</t>
  </si>
  <si>
    <t>45-54</t>
  </si>
  <si>
    <t>55-64</t>
  </si>
  <si>
    <t>65-74</t>
  </si>
  <si>
    <t>75 and older</t>
  </si>
  <si>
    <t xml:space="preserve">Year House was Built </t>
  </si>
  <si>
    <t>2001 and more recent</t>
  </si>
  <si>
    <t xml:space="preserve">1991 to 2000 </t>
  </si>
  <si>
    <t>1981 to 1990</t>
  </si>
  <si>
    <t>1971 to 1980</t>
  </si>
  <si>
    <t>1961 to 1970</t>
  </si>
  <si>
    <t>1951 to 1960</t>
  </si>
  <si>
    <t>1941 to 1950</t>
  </si>
  <si>
    <t>1940 or earlier</t>
  </si>
  <si>
    <t>Length of Ownership</t>
  </si>
  <si>
    <t>Less than 10 years</t>
  </si>
  <si>
    <t>6-10 years</t>
  </si>
  <si>
    <t>11-15 years</t>
  </si>
  <si>
    <t>16-20 years</t>
  </si>
  <si>
    <t>21-25 years</t>
  </si>
  <si>
    <t>26-30 years</t>
  </si>
  <si>
    <t>More than 30 years</t>
  </si>
  <si>
    <t xml:space="preserve">Length of Intended Future Ownership </t>
  </si>
  <si>
    <t xml:space="preserve"> (n=68)</t>
  </si>
  <si>
    <t xml:space="preserve"> (n=52)</t>
  </si>
  <si>
    <t>Less than 5 years</t>
  </si>
  <si>
    <t>More than 20 years</t>
  </si>
  <si>
    <t>Education</t>
  </si>
  <si>
    <t xml:space="preserve"> (n=77)</t>
  </si>
  <si>
    <t>Less than high school</t>
  </si>
  <si>
    <t xml:space="preserve">High school graduate </t>
  </si>
  <si>
    <t>Some college, vocational , or technical school</t>
  </si>
  <si>
    <t>College graduate</t>
  </si>
  <si>
    <t>Post graduate education</t>
  </si>
  <si>
    <t>Race/Ethnicity</t>
  </si>
  <si>
    <t xml:space="preserve"> (n=76)</t>
  </si>
  <si>
    <t>White/Caucasian</t>
  </si>
  <si>
    <t>Hispanic, Mexican, Latino, Puerto Rican, Hispanic</t>
  </si>
  <si>
    <t>Chinese</t>
  </si>
  <si>
    <t>Other Asian, Pacific Islander</t>
  </si>
  <si>
    <t>Indian, South Asian</t>
  </si>
  <si>
    <t>Miixed, Multi-racial</t>
  </si>
  <si>
    <t>Participant Satisfaction with Contractors</t>
  </si>
  <si>
    <t xml:space="preserve">Total </t>
  </si>
  <si>
    <t>Satisfaction with assessment contractor's…</t>
  </si>
  <si>
    <t>(n=78)</t>
  </si>
  <si>
    <t>(n=62)</t>
  </si>
  <si>
    <t>Explanation of the home energy assessment process</t>
  </si>
  <si>
    <t>Level of knowledge about the work to be done</t>
  </si>
  <si>
    <t>Answers to questions</t>
  </si>
  <si>
    <t>Professionalism</t>
  </si>
  <si>
    <t xml:space="preserve">Knowledge of available rebates </t>
  </si>
  <si>
    <t>Knowledge of available financing options</t>
  </si>
  <si>
    <t>Would recommend the assessment contractor</t>
  </si>
  <si>
    <t>Satisfaction with the contractor who performed the upgrades:</t>
  </si>
  <si>
    <t>Overall quality of the equipment installed by the contractor</t>
  </si>
  <si>
    <t>Overall quality of the work performed by the contractor</t>
  </si>
  <si>
    <t>Note:  Means are from  5-point scales where 1 means 'very dissatisfied' and 5 means 'very satisfied.' All means and percents are derived using valid responses, i.e., a few data points were removed when respondents stated "don't know" or refused to answer.</t>
  </si>
  <si>
    <t>Participant Reaction to Assessment Report (among those receiving a report)</t>
  </si>
  <si>
    <t>Total (n=54))</t>
  </si>
  <si>
    <t>PG&amp;E (n=44)</t>
  </si>
  <si>
    <t>Satisfaction with the report</t>
  </si>
  <si>
    <t>Comprehensiveness of the report</t>
  </si>
  <si>
    <t>Note:  Means are on 5-point scales where 1 means 'very dissatisfied'/'not at all comprehensive' and 5 means 'very satisfied'/'very comprehensive.' All means are derived using valid responses, i.e., a few data points were removed when respondents stated "don't know" or refused to answer.</t>
  </si>
  <si>
    <t>Portions of Recommendations Completed and Reasons for Not Completing Them</t>
  </si>
  <si>
    <t>Portion of recommendations completed</t>
  </si>
  <si>
    <t>(n=72)</t>
  </si>
  <si>
    <t>(n=15)</t>
  </si>
  <si>
    <t>All</t>
  </si>
  <si>
    <t>Some</t>
  </si>
  <si>
    <t>Reasons for not completing all recommendations</t>
  </si>
  <si>
    <t>(n=28)</t>
  </si>
  <si>
    <t>(n=21)</t>
  </si>
  <si>
    <t>(n=7)</t>
  </si>
  <si>
    <t>Could not afford the rest of the work/ Ran out of money</t>
  </si>
  <si>
    <t xml:space="preserve"> They were unnecessary </t>
  </si>
  <si>
    <t xml:space="preserve"> They were relatively unimportant/not effective for savings </t>
  </si>
  <si>
    <t>Planning on completing some in the future</t>
  </si>
  <si>
    <t xml:space="preserve"> They were not covered by the rebate </t>
  </si>
  <si>
    <t>Did not want to have that additional work/disruption in the home</t>
  </si>
  <si>
    <t>Haven't had the time to follow-up or schedule the work</t>
  </si>
  <si>
    <t>IOU Incentive Received Versus Expectation &amp; Proportion Receiving Premium Incentives</t>
  </si>
  <si>
    <t>How the actual incentive amount compared to the contractor's estimate</t>
  </si>
  <si>
    <t>(n=71)</t>
  </si>
  <si>
    <t>(n=10)</t>
  </si>
  <si>
    <t>Roughly the same</t>
  </si>
  <si>
    <t>Lower than expected</t>
  </si>
  <si>
    <t>Higher than expected</t>
  </si>
  <si>
    <t>(n=60)</t>
  </si>
  <si>
    <t>(n=11)</t>
  </si>
  <si>
    <t>Applied for incentives from organizations other than the utility</t>
  </si>
  <si>
    <t>Participants' Motivations for EUC Participation</t>
  </si>
  <si>
    <t>Improving the comfort of your home</t>
  </si>
  <si>
    <t>Reducing your energy usage</t>
  </si>
  <si>
    <t>Incentives available from the utility</t>
  </si>
  <si>
    <t>Saving money on your energy bills</t>
  </si>
  <si>
    <t>The home energy assessment you received</t>
  </si>
  <si>
    <t>Incentives available from your city or county</t>
  </si>
  <si>
    <t>Replacing failing or broken equipment</t>
  </si>
  <si>
    <t>Reducing the environmental impact of your home</t>
  </si>
  <si>
    <t>Addressing health and safety issues in your home</t>
  </si>
  <si>
    <t>Improving the air quality in your home</t>
  </si>
  <si>
    <t>Increasing the value of your home</t>
  </si>
  <si>
    <t>Note:  Means are on 5-point scales where 1 means 'not at all important'and 5 means 'very important.' All means are derived using valid responses, i.e., a few data points were removed when respondents stated "don't know" or refused to answer.</t>
  </si>
  <si>
    <t>Effects of Participation on Knowledge and Behavior</t>
  </si>
  <si>
    <t>Knowledge</t>
  </si>
  <si>
    <t>Gained energy-related knowledge</t>
  </si>
  <si>
    <t>Particular Knowledge Gained (multiple response)</t>
  </si>
  <si>
    <t xml:space="preserve"> (n=51)</t>
  </si>
  <si>
    <t xml:space="preserve"> (n=11)</t>
  </si>
  <si>
    <t>What needed to be done to make home more efficient</t>
  </si>
  <si>
    <t xml:space="preserve">The benefits of certain upgrades/additions/improvements </t>
  </si>
  <si>
    <t>Reminded of various ways to save energy</t>
  </si>
  <si>
    <t>HVAC, heating, cooling, insulation</t>
  </si>
  <si>
    <t>Awareness of the importance of using high energy efficiency appliances</t>
  </si>
  <si>
    <t>Awareness of the benefits of treating the whole house as an energy system</t>
  </si>
  <si>
    <t xml:space="preserve">Knowing how much energy usage should decrease </t>
  </si>
  <si>
    <t xml:space="preserve">Actions Taken </t>
  </si>
  <si>
    <t xml:space="preserve">Managing enery use differently </t>
  </si>
  <si>
    <t>Particular Actions Taken</t>
  </si>
  <si>
    <t xml:space="preserve"> (n=43)</t>
  </si>
  <si>
    <t xml:space="preserve"> (n=34)</t>
  </si>
  <si>
    <t xml:space="preserve"> (n=9)</t>
  </si>
  <si>
    <t xml:space="preserve">Operate at a lower temperature for heating </t>
  </si>
  <si>
    <t>Monitor energy/general awareness around how to use energy</t>
  </si>
  <si>
    <t>Programmable thermostat</t>
  </si>
  <si>
    <t>Operate at a higher temperature for cooling</t>
  </si>
  <si>
    <t>Turn off lights</t>
  </si>
  <si>
    <t>Use more natural ventilation</t>
  </si>
  <si>
    <t>Set temperature and leave it</t>
  </si>
  <si>
    <t>No longer use inefficient appliances</t>
  </si>
  <si>
    <t>Install CFLs</t>
  </si>
  <si>
    <t>Use the CAC/HVAC more frequently since it can now be used more efficiently</t>
  </si>
  <si>
    <t>Higher than past bills</t>
  </si>
  <si>
    <t>Lower than past bills</t>
  </si>
  <si>
    <t>Same as past bills</t>
  </si>
  <si>
    <t>Too early to tell</t>
  </si>
  <si>
    <t xml:space="preserve">Don't know </t>
  </si>
  <si>
    <t>Overall Satisfaction and Suggestions for Improvement</t>
  </si>
  <si>
    <t xml:space="preserve">Overall satisfaction </t>
  </si>
  <si>
    <t>Note:  Means are on 5-point scales where 1 means 'very dissatisfied' and 5 means 'very satisfied'</t>
  </si>
  <si>
    <t xml:space="preserve">Reasons for Rating Among Satisfied Participants (4 or 5 rating) </t>
  </si>
  <si>
    <t>(n=70)</t>
  </si>
  <si>
    <t>(n=58)</t>
  </si>
  <si>
    <t>(n=12)</t>
  </si>
  <si>
    <t>Positive Reasons</t>
  </si>
  <si>
    <t xml:space="preserve"> The financial incentives/rebates were good/made it affordable </t>
  </si>
  <si>
    <t xml:space="preserve"> House is more comfortable </t>
  </si>
  <si>
    <t xml:space="preserve"> Met expectations/no problems (general) </t>
  </si>
  <si>
    <t xml:space="preserve"> The retrofit is saving me money </t>
  </si>
  <si>
    <t xml:space="preserve"> Program/service is good/easy/helpful </t>
  </si>
  <si>
    <t xml:space="preserve"> The retrofit is saving me energy </t>
  </si>
  <si>
    <t xml:space="preserve"> Contractor/staff was good, professional, nice, etc </t>
  </si>
  <si>
    <t xml:space="preserve"> Satisfied with improvements/equipment/appliances </t>
  </si>
  <si>
    <t xml:space="preserve"> House is better for my health/safety </t>
  </si>
  <si>
    <t>Negative Reasons</t>
  </si>
  <si>
    <t xml:space="preserve"> It took a long time to receive rebate/haven’t received rebate </t>
  </si>
  <si>
    <t xml:space="preserve"> Too much/cumbersome paperwork </t>
  </si>
  <si>
    <t xml:space="preserve"> No results/no difference in bill/home comfort </t>
  </si>
  <si>
    <t xml:space="preserve"> Poor quality of work/didn’t do what was promised </t>
  </si>
  <si>
    <t xml:space="preserve">Reasons for Rating Among Neutral and Disatisfied Participants (1-3 rating) </t>
  </si>
  <si>
    <t>(n=3)</t>
  </si>
  <si>
    <t>(n=4)</t>
  </si>
  <si>
    <t xml:space="preserve"> Contractor/staff was not good, professional, nice, etc </t>
  </si>
  <si>
    <t>Participant Suggestions for Improvement</t>
  </si>
  <si>
    <t>(n=57)</t>
  </si>
  <si>
    <t>None</t>
  </si>
  <si>
    <t xml:space="preserve"> Publicize it more </t>
  </si>
  <si>
    <t xml:space="preserve"> Better communication/customer service/program information </t>
  </si>
  <si>
    <t xml:space="preserve"> Shorten the time it takes to get rebates/incentives </t>
  </si>
  <si>
    <t xml:space="preserve"> Better training for contractors </t>
  </si>
  <si>
    <t xml:space="preserve"> More money (rebates, incentives, free goods, etc) </t>
  </si>
  <si>
    <t xml:space="preserve"> Decrease the number of parties involved/streamline process </t>
  </si>
  <si>
    <t xml:space="preserve"> Loosen contractor restrictions/be able to use any contractor </t>
  </si>
  <si>
    <t xml:space="preserve"> Make the process easier to understand </t>
  </si>
  <si>
    <t>What Participants Are Saying About the Program</t>
  </si>
  <si>
    <t xml:space="preserve">Have talked about the program </t>
  </si>
  <si>
    <t>What Participants Talk About</t>
  </si>
  <si>
    <t>(n=59)</t>
  </si>
  <si>
    <t>The availability of rebates/incentives/program is a good deal</t>
  </si>
  <si>
    <t>I recommend the program/contractor to them</t>
  </si>
  <si>
    <t>General program benefits/ good program</t>
  </si>
  <si>
    <t>Explained various upgrades/ improvements that were done</t>
  </si>
  <si>
    <t>Increase efficiency/ Saving energy</t>
  </si>
  <si>
    <t>Increase in home comfort</t>
  </si>
  <si>
    <t>Savings on utility bill</t>
  </si>
  <si>
    <t>Negative comment about the program</t>
  </si>
  <si>
    <t xml:space="preserve">Have not talked about the program </t>
  </si>
  <si>
    <t>What Participants Would Talk About</t>
  </si>
  <si>
    <t>(n=8)</t>
  </si>
  <si>
    <t xml:space="preserve"> (n=5)</t>
  </si>
  <si>
    <t>Do it/ worthwhile/ affordable</t>
  </si>
  <si>
    <t>Negative experience</t>
  </si>
  <si>
    <t>Stakeholders Involved in EUC</t>
  </si>
  <si>
    <t>Completed</t>
  </si>
  <si>
    <t>Project Activity Among Enrolled Contractors</t>
  </si>
  <si>
    <t>Note: Some contractors serve both IOU territories but usually much more one than the other; these contractors were assigned to the one IOU in which they completed the most projects.</t>
  </si>
  <si>
    <t>Advanced and Basic Upgrade Package Participation</t>
  </si>
  <si>
    <t>Package</t>
  </si>
  <si>
    <t>Total (n=2,856)</t>
  </si>
  <si>
    <t>PG&amp;E (n=2,335)</t>
  </si>
  <si>
    <t>Note: Based on all projects both completed and in pipeline. There were an additional 795 projects in PG&amp;E records that were not coded as being either Advanced or the Basic package. These projects were left out of this analysis.</t>
  </si>
  <si>
    <t>Note: Based on IOU records reviewed 2/17/2012.</t>
  </si>
  <si>
    <t>Contractors' Financing Quotes</t>
  </si>
  <si>
    <t>Utility</t>
  </si>
  <si>
    <t xml:space="preserve">When asked why customers who have had assessment do not participate: "It’s almost always a lack of funding. The main stumbling block to the EUC program is the lack of available capital. The Whole house concept has been pushed very hard, and when you are doing a Whole House retrofit, we’ve had them anywhere from thirty to eighty thousand dollars. Now with no good way to come up with that money, like the CHF program that we have there, the rebates are kind of worthless because the folks can’t afford the money up front to have the work done." </t>
  </si>
  <si>
    <t>Contractors' Quotes Regarding Effective Messaging</t>
  </si>
  <si>
    <t xml:space="preserve">"Return on investment is first. Cost and how much rebate they will get.  Comfort and safety are nice, but secondary. The problem is you don’t know how much the rebate amount will be until after you do the assessment."  </t>
  </si>
  <si>
    <t xml:space="preserve">We work in a small geographic area that have green" early adopters. We emphasize the assessment and use it as a teaching tool to lead into the one-stop" solution to stop energy waste. For example, you can install a 1.5 ton air conditioner instead of a 5 ton, but only if you use a Whole House approach. In a temperate climate you should be able to be comfortable for 10-20 cents per square foot per year. People who have $300-$400 utility bills per month are convinced by that. We focus on standard equipment that is tested and requires little maintenance, so we don’t push tankless water heaters or sola-thermal, which helps ROI. We also stress comfort as part of the ROI." </t>
  </si>
  <si>
    <t>Contractors' Quotes on Paperwork and QA/QC Requirements</t>
  </si>
  <si>
    <t xml:space="preserve">"The paperwork is prohibitive, takes a long time, and requires it's own training" </t>
  </si>
  <si>
    <t>"Most contractors out there sell against the program. It is a lead generation service, they tell people how awful the program is and say 'let me give you a good price'. I hear it all the time."</t>
  </si>
  <si>
    <t>"We are a small company and the paperwork is time consuming. [The paperwork] doubles for each other program, because they all need their own [paperwork]. Like CHF."</t>
  </si>
  <si>
    <t>"[Dissatisfied because of the] sheer amount of paperwork. It changes all of the time. Local governments ask for different things, each application has several iterations."</t>
  </si>
  <si>
    <t xml:space="preserve">"People don't feel like it is worth their time. Also, since everything has to be verified by a 3rd party, they have to take a lot of time off of work for test in, verification, test out, and verification forth test out. That is 4 days out of their work schedule just to fill the program requirements."
</t>
  </si>
  <si>
    <t xml:space="preserve">"Eliminate quality control for Test In…[contractors should be able to] provide pictures and information instead of waiting for a test-in that wastes time." </t>
  </si>
  <si>
    <t>General: Facilitate program review and evaluation</t>
  </si>
  <si>
    <t>Air changes per hour - the standard measure of infiltration. An ACH of 0.35 is good - below this level mechanical ventilation may be recommended or required.</t>
  </si>
  <si>
    <t>Advanced Upgrade</t>
  </si>
  <si>
    <t>Basic Upgrade</t>
  </si>
  <si>
    <t>Earned Media</t>
  </si>
  <si>
    <t>Media coverage that is not directly paid for but is acquired through program activities. For example, news coverage of a Farmer's Market event.</t>
  </si>
  <si>
    <t>Findings</t>
  </si>
  <si>
    <t>Recommendations</t>
  </si>
  <si>
    <t>Participation Workshop</t>
  </si>
  <si>
    <t>SCE's Participantion Workshop is a 2-hour session delivered as a webinar or classroom training.  This workshop nicely pitches program to contractors, but provides little information on enrollment requirements.</t>
  </si>
  <si>
    <t>Basic Path Training</t>
  </si>
  <si>
    <t>SCE's Basic Path training has a good match-up between training content and program measures, but lacks formal objectives and adult learning principles.</t>
  </si>
  <si>
    <t>Advanced Path Training</t>
  </si>
  <si>
    <t xml:space="preserve">California Building Performance Contractor’s Association (CBPCA) 12-day course supports BPI certification and provides  a solid foundation for Advanced path work, with strong combustion saftey curriculum. It also proivdes some hands-on practice with diagnostic tools.  However, it does not provide an adequate EUC skill set and lacks formal training  objectives and adult learning principles. </t>
  </si>
  <si>
    <t>Online Learning Center</t>
  </si>
  <si>
    <t>The Online Learning Center Delivers on-demand training via four program-specific modules: JRT administration,  Energy Modeling, Job Processing (application, reservation), and Combustion Safety Testing. Participation is mandatory for at least one person from each contractor; built-in final exams require passing score. The learning center provides well designed training that addresses performance gap issues and incorporates adult learning features. However, the learning center needs to be expanded to cover additional topics.</t>
  </si>
  <si>
    <t>Mandatory Mentoring</t>
  </si>
  <si>
    <t>Mandatory mentoring is required of one person from each contractor firm, for both program levels. Three topics are covered: Field Work, JRT/Job Processing, Energy Pro. Mentors provide ad hoc observation, evaluation, and feedback. There are a number of ways that this mentoring could be improved.</t>
  </si>
  <si>
    <t>Top 10 Performance Gaps</t>
  </si>
  <si>
    <t>Particpation workshop should inclde more details about mandatory training, and more exposure to Job Reporting Template (JRT) and  Energy Pro requirements.</t>
  </si>
  <si>
    <t xml:space="preserve">Basic path training should be improved by adding
• Worksheets, more hands-on practice, and require participants to demonstrate proficiency
• Formal training objectives and apply adult learning principles
</t>
  </si>
  <si>
    <t xml:space="preserve">Advanced path training should be improved by adding the following to the 12-day CBCA course:
• Descriptive text to photos
• Formal training objectives and apply adult learning principles
In addition, this training should be supplemented by
• More hands-on practice and mentoring with field testing procedures and protocols
• Sessions with opportunities to practice program-specific desk work (forms and energy modeling)
• Supplementary training as needed for all tasks required for EUC measures
</t>
  </si>
  <si>
    <t>CBPCA and ICFI</t>
  </si>
  <si>
    <t xml:space="preserve">The following imporovements should be made to the Online Learning Center:
• Add capability to record exam scores for multiple employees per contractor
• Expand topics to include field inspection review, asbestos identification, insulation identification and installation, weatherization, and review of BPI standards that all program work must meet. 
</t>
  </si>
  <si>
    <t xml:space="preserve">Mandatory mentoring  could be improved by:
• Developing standardized mentoring design and evaluation protocols
• Allowing  QC firm to provide input into development of mentoring design
• In addition to one-on-one evaluation mentoring, provide mentoring as training sessions adapted to individual contractor needs
• Add remote desktop mentoring for Energy Pro and JRT
</t>
  </si>
  <si>
    <t xml:space="preserve">Establish an internal inspector-trainer within each contractor’s staff to be responsible for attending all required training, providing in-house training, and ensuring acceptable quality of work.  Channels of communication should be opened between QA/QC and mentors for the purpose of providing training for the inspector-trainer.
</t>
  </si>
  <si>
    <t>ICFI, RHA</t>
  </si>
  <si>
    <t>Title5</t>
  </si>
  <si>
    <t>Title6</t>
  </si>
  <si>
    <t>Title7</t>
  </si>
  <si>
    <t>Title8</t>
  </si>
  <si>
    <t>Title9</t>
  </si>
  <si>
    <t>Title10</t>
  </si>
  <si>
    <t>Title11</t>
  </si>
  <si>
    <t>Title12</t>
  </si>
  <si>
    <t>Title13</t>
  </si>
  <si>
    <t>Title14</t>
  </si>
  <si>
    <t xml:space="preserve">Gaps between contractor performance and program expectations were identified.  The top 10 performance gaps are:
1. Inaccurate insulation R-value 
2. Inability to identify asbestos
3. Failure to achieve minimum air-sealing
4. Inaccurate wall, window, and floor measurements
5. Improper combustion safety testing (CO readings)
6. Failure to identify combustion appliance hazardous conditions (e.g., gas leaks)
7. Failure to complete Basic Path measures for Advanced projects
8. Information does not agree across documents (JRT, application and reservation forms, EnergyPro)
9. Inaccurate duct leakage tests
10. Inaccurate assessment of insulation coverage and quality
</t>
  </si>
  <si>
    <t>CountOfSBW_ID</t>
  </si>
  <si>
    <t>null</t>
  </si>
  <si>
    <t>LADWP</t>
  </si>
  <si>
    <t>PG&amp;E / SMUD</t>
  </si>
  <si>
    <t>Participants EUC Website Visitation and Feedback</t>
  </si>
  <si>
    <t>Findings which support recommendation  …</t>
  </si>
  <si>
    <t>Term</t>
  </si>
  <si>
    <t>Definition</t>
  </si>
  <si>
    <t>Go to Captions</t>
  </si>
  <si>
    <t>Go to Findings</t>
  </si>
  <si>
    <t>Focus training and mentoring on the top performing contractors</t>
  </si>
  <si>
    <t>A study should be conducted to measure the actual effects of individual measures on energy usage.  Baseline and post-measure usage should be modeled using both eQUEST and EnergyPro, as well as any other software which might be used in the program or are currently used by a number of contractors, such as Recurve or Wrightsoft. Model results should be compared to pre- and post-installation utility bills to determine the accuracy of each software program relative to the particular measure and what steps would be necessary to calibrate the models to the actual usage.</t>
  </si>
  <si>
    <t>Growth in BPI Certificaionts</t>
  </si>
  <si>
    <t>BPI Professional Certifications by Type of Certification: January 1, 2010 and November 1, 2011</t>
  </si>
  <si>
    <t>BPI CA Companies Report-110111&amp; 010110.xls</t>
  </si>
  <si>
    <t>January 2010</t>
  </si>
  <si>
    <t>November 2011</t>
  </si>
  <si>
    <t>State</t>
  </si>
  <si>
    <t>Certification</t>
  </si>
  <si>
    <t>Number of Certifications</t>
  </si>
  <si>
    <t>Date</t>
  </si>
  <si>
    <t>Res WH Air Leakage Control Installer</t>
  </si>
  <si>
    <t>Envelope Professional</t>
  </si>
  <si>
    <t>Heating Professional</t>
  </si>
  <si>
    <t>Building Analyst Professional</t>
  </si>
  <si>
    <t>AC and Heat Pump Professional</t>
  </si>
  <si>
    <t>Multifamily Building Analyst Professional</t>
  </si>
  <si>
    <t>Total Active Certifications for Selected States: 2349</t>
  </si>
  <si>
    <t>Total Active Candidates: 1596</t>
  </si>
  <si>
    <t>Total Active Certifications for Selected States: 88</t>
  </si>
  <si>
    <t>Total Active Candidates: 65</t>
  </si>
  <si>
    <t>The number of individuals with active BPI certifications grew dramatically between January 1, 2010 and November 1, 2011.  Total active certified individuals grew from 65 to 1,596.  The number of certifications (individuals may have more than one type of BPI certification) grew from  88 to 2,349.</t>
  </si>
  <si>
    <t>PGEActors</t>
  </si>
  <si>
    <t>SCEActors</t>
  </si>
  <si>
    <t>PSO</t>
  </si>
  <si>
    <t>EIGA</t>
  </si>
  <si>
    <t>RHA</t>
  </si>
  <si>
    <t>CPUC</t>
  </si>
  <si>
    <t>Contractors</t>
  </si>
  <si>
    <t xml:space="preserve">LA County's focus group  recommendations should be implemented.  This include: 
• Better defining where residents should begin their search for general program information when they arrive at the site
• Better communicate that rebates are tied to energy savings
• Provide more examples based on different types of homes
• Make it clear that all income levels can participate
• Provide informational short cuts to help digest information such as cuts to short videos or a step-by-step synopsis
• Add a 1-800 number prominently on the home page (implementation of this recommendation would be contingent on establishing a single point of contact for the program).
</t>
  </si>
  <si>
    <t>Adopt common statewide pre and post application files based on the JRT used by SCE. A common format would facilitate statewide evaluation. The SCE format has these advantages:
• Single file effectively defines job;
• Home model parameters can be input to the Energy Pro software from the pre-application; 
• Capture of home parameters can be automated for use in program evaluation;
• Measures installed, energy usage, and savings and can be uploaded automatically from the post-install application for use in program tracking and evaluation
Make the following additions to the pre-application:
• Show N-factor (used to find blower door test results) and calculate ACH;
Make the following additions to the post-application to assist with program evaluation:
• Partner entitities (ARRA, local) and funding amounts
• Input whether or not mechanical ventilation was actually installed, and its make, model, and capacity
Track revisions to each site's application file as a way to facilitate QC review. Values entered in revisions of the application can be automatically uploaded and tracked  to see what kinds of changes are being made in the QC process.</t>
  </si>
  <si>
    <t>Provide additional tracking data:
• Both: Contractor ID, in addition to contractor company name
• PG&amp;E: Date that check was sent
• PG&amp;E: Energy savings percentage
• PG&amp;E: Electric and gas utility</t>
  </si>
  <si>
    <t>Program management and LA County have done their own research into the website and think the website needs some improvements to make it more user friendly and better explain the program to customers. According to program management staff, the website is has been a source of confusion for customers given that many customers are unclear of where to go next after they visit the website.
According to LA County Focus Group results, the website is serving as a barrier to participation because after viewing the website focus group participants thought:
• The program was only for low-income residents
• Program funds were going to run out before customers could complete their upgrades
• The website was too complex and too difficult to find information
• They could do "a la carte" upgrades rather than a package and think they are still doing so under the EUC program because "a la carte" rebates are listed on the EUC website
• The program was confusing and they could not understand the difference between basic and advanced packages
• The website did not tell them how much money they could save
• They did not understand the difference between a rater and a contractor</t>
  </si>
  <si>
    <t>PG&amp;E Site inspection, Site 3 Memo</t>
  </si>
  <si>
    <t>Source Details</t>
  </si>
  <si>
    <t>File Review and Participant Survey</t>
  </si>
  <si>
    <t>Source Detail</t>
  </si>
  <si>
    <t>PG&amp;E / Other / Unknown</t>
  </si>
  <si>
    <t>Jobs Completed and In Pipeline</t>
  </si>
  <si>
    <t>Note: Completed projects are those in which IOU records indicate the rebate was approved or the incentive check was sent. In pipeline projects are all other projects, except those that were canceled.  Table based on tracking data obtained 2/17/2012.</t>
  </si>
  <si>
    <t>eQUEST comparison</t>
  </si>
  <si>
    <t>AKA-B</t>
  </si>
  <si>
    <t xml:space="preserve">Awareness, Knowledge, Attitude – Behavior </t>
  </si>
  <si>
    <t>Contractor Survey</t>
  </si>
  <si>
    <t>Marketing Effectiveness Survey</t>
  </si>
  <si>
    <t>Motivating Factor</t>
  </si>
  <si>
    <t>Contractors' Quotes on the Basic vs. Advanced Upgrade Options</t>
  </si>
  <si>
    <t>File Review and Program Tracking Database</t>
  </si>
  <si>
    <t>Source Detai</t>
  </si>
  <si>
    <t>Program Manager Interviews</t>
  </si>
  <si>
    <t>PG&amp;E Site Inspections</t>
  </si>
  <si>
    <t>PG&amp;E Site inspections</t>
  </si>
  <si>
    <t>Purpose</t>
  </si>
  <si>
    <t>This workbook documents the data analyses, findings and recommendations for the Whole House process evaluation.</t>
  </si>
  <si>
    <t>Glossary</t>
  </si>
  <si>
    <t>Analysis Sheets (1 - 73)</t>
  </si>
  <si>
    <t>ID</t>
  </si>
  <si>
    <t>This sheet provides definitions for key terms and acronyms used in the describing findings, recommendations or qualitative evidence.</t>
  </si>
  <si>
    <t>This sheet lists the captions assigned to each of the Analysis sheets and gives each of these analyses an ID number.  Following the caption is the data source, e.g., File Review or Participant survey, which provided the data for the  analysis.  Each of the captions is a hypelink.  Click on any of them to view the associated  Analysis sheet.</t>
  </si>
  <si>
    <t>Each of these sheets contains a table, chart or figure, which provide evidence supporting one or more findings. These analyses are identified either by their ID number or their caption. Three cells at the top  of each sheet provide hyperlinks to the Findings, Recommendations, and Captions sheets.</t>
  </si>
  <si>
    <t>Note: This chart shows box-and-whisker plots.  This type of plot is designed to graphically characterize the distribution of values in a data series. The circle (o) found within each box is the mean value for the series.  Looking across the plots you can easily compare the mean for the different data series shown on the chart. The plot also shows the Median (-), Max (top dot), and Min (bottom dot).  Further, the top and bottom line of the "box", along with the median (circle) define the quartiles of the distribution.  An equal number of values in the data series fall into each of the four quartiles (above the box, below the box, between the bottom of the box and the median, and between the top of the box and the median).</t>
  </si>
  <si>
    <t>This sheet lists each of the findings of this evaluation.  Each findings has an ID number along with a  title and description.  Findings may be supported by Qualitative Evidence (Column F) or by one or more of the analysis sheets.  If a finding is supported by an Analysis sheet the caption of that sheet appears in one of the columns headed Caption1 - Caption7.  These captions are hyperlinks.  Click on any of them to view the associated Analysis sheet.</t>
  </si>
  <si>
    <t>This sheet lists each of the  recommendations that are supported by the findings.  The ID number, area, title and desciption of the recommendation  appear in the first three columns.  The next two columns indicate the relevant party at SCE and PG&amp;E.  Columns headed Title1-Title 14 contain the titles of the supporting findings.  Each of  these  are hyperlinks that connect to the relevant line  on  the findings sheet.</t>
  </si>
  <si>
    <t>Alternate Program Design Suggestion</t>
  </si>
  <si>
    <t xml:space="preserve">SCE staff suggested that the program might spread out measure installation period after initial assessment over several years, instead of several months.  With each 5% increase in overall performance, the customer earns another $500.  This would allow the homeowner to structure an intervention over time, as money is available, but to do so in a way that structures the intervention from a cost-benefit standpoint, prioritizes envelope, etc. The homeowner in addition to tracking participation over time,  would also have feedback on annual savings, and when those savings (with any rebates) now amount o a nest egg with which to invest in the next item. 
</t>
  </si>
  <si>
    <t>Identify financing options for customers</t>
  </si>
  <si>
    <t xml:space="preserve">The program needs to identify and leverage other financing options that complement the program. The financing options available to customers should be listed on the EUC website and in contractors' marketing materials so they can easily communicate these options to customers. </t>
  </si>
  <si>
    <t xml:space="preserve">Provide easily distributable marketing materials for contractors; Door hangers; Brochures and fact sheets; Allow for co-marketing; Support contractor presentations
</t>
  </si>
  <si>
    <t xml:space="preserve">The program should consider whether it can increase its incentive cap to match some of the premium incentives that have been offered through ARRA funding  given that few participants so far have only received the IOU incentive. So far participants have received, on average, additional incentives that amount to 68% of the IOU rebate amount.   Notably, program staff is concerned that this will impact rates as they need to reduce the cost for each project.
</t>
  </si>
  <si>
    <t xml:space="preserve">Program staff and contractor mentioned that customers often only hear about the large incentives available from the marketing they receive. Customers call a contractor, and then contractors spend a bit of time explaining the program. Contractors believe that the current marketing is slightly misleading, as customers are confused about the complex WH approach and often call expecting free work. Contractors spend a significant amount of time selling the WH approach, in part because the existing marketing has sold the idea of rebates and not the importance of WH.  The program is working toward increasing customer understanding of the program.
SCE is hoping that its online media campaign with short video clips explaining the program will help. The first start in this effort is the online campaign with 3 online videos that help demystify and explain the program. The videos build upon one another. One is a feel good/emotional video that attempts to get customers interested in energy upgrades in general. The following videos help explain the house as a system and the benefits of doing multiple upgrades at once. The subsequent video explains the rebates and incentives available. The final video explains the whole house assessment process. 
PG&amp;E staff hopes it will be able to execute its plan for home makeover contests to help drive program interest. This channel will also provide a forum in which the program can fully explain the program to customers. “This whole house thing is tough to explain. It’s complicated and we’re not going to simplify it and we shouldn’t simplify it because it does cost a lot of money to do. So by doing a demonstration project… of a typical house with typical people in it with typical energy problems…. and then going ahead and doing a $10K to $15K makeover. The average job size is $12,000, so we’re going to do a $12,000 job and we are going to demonstrate 40% or more energy savings to show what that looks like. And we’re going to use participating contractors to do the work and we are going to reach out to our manufacturers and distributors to donate the product and that puts a face on it and that’s what we’ve done in LA County where we had 5 winning homes across the county. That’s what we propose to do here and we found that it engages both traditional and social media because they all like contests. We think that’s the best thing we’ve got going to engage the media for earned publicity… forget paid advertising. We are talking about earned media that will make it compelling and give us some really great case studies that put a face on the program and showcase the contractors that are doing it right and teaching homeowners how to buy and contractors how to sell.” – PG&amp;E Program Implementation Contractor
</t>
  </si>
  <si>
    <t>Most participants did an EUC project as a stand-alone project, not as an extension of a remodel. Many participants did an EUC project at a time when they were purchasing a new home and/or when they needed to replace an HVAC system.</t>
  </si>
  <si>
    <t xml:space="preserve">SCE/SCG </t>
  </si>
  <si>
    <t>SCE/SCG (n=16)</t>
  </si>
  <si>
    <t>SCE/SCG (n=10)</t>
  </si>
  <si>
    <t>SCE/SCG (n=521)</t>
  </si>
  <si>
    <t>Average Number of Non-Trivial Issues Found in Pre-Application
(SCE/SCG n=15
PG&amp;E n=52)</t>
  </si>
  <si>
    <t>SCE/SCG Pre to Pre-QC House Leakage</t>
  </si>
  <si>
    <t>SCE/SCG Pre to Post House Leakage</t>
  </si>
  <si>
    <t>SCE/SCG Pre to Pre-QC Duct Leakage</t>
  </si>
  <si>
    <t>SCE/SCG Pre to Post Duct Leakage</t>
  </si>
  <si>
    <t>SCE/SCG count</t>
  </si>
  <si>
    <t>Days from Rebate Approved to Check Sent
PG&amp;E n=297
SCE/SCG n=1</t>
  </si>
  <si>
    <t>SCE/SCG Rebate %</t>
  </si>
  <si>
    <t>For PG&amp;E, 65% of sites installed a new HVAC system, compared with 38% at SCE/SCG sites;
For PG&amp;E, 29% of sites installed a new water heater, compared with 19% of SCE/SCG sites.</t>
  </si>
  <si>
    <t>A comparison of modeled pre-retrofit annual energy usage with billing data for 13 SCE/SCG and 17 PG&amp;E Advanced jobs showed:
• Mean modeled total annual usage was 40% greater than billed usage for both SCE/SCG and PG&amp;E 
• Mean modeled annual kWh usage was 68% greater than billed usage for SCE, and 56% greater for PG&amp;E 
• Mean modeled annual therms usage was 39% greater than billed usage for SCE, and 43% greater for PG&amp;E</t>
  </si>
  <si>
    <t>Whole house sealing achieved a reduction of about 30% in infiltration in 22 SCE/SCG Advanced and Basic jobs and about 20% in 47 PG&amp;E jobs as measured by the blower door CFM50 test;
Duct leakage was reduced by about 70% for both IOUs for these jobs;
SCE made significant adjustments to the leakage values submitted by contractors in pre-applications;
The median value of the changes made by SCE QC for both house and duct leakage was 0% (mean was much higher due to a few jobs with very large adjustments);
QC adjustment data were not available for PG&amp;E.</t>
  </si>
  <si>
    <t>In 15 SCE/SCG Advanced jobs, pre-installation infiltration averaged .53 ACH;
In 20 SCE/SCG Advanced and Basic jobs, post-installation infiltration averaged .33 ACH;
Data were not available for PG&amp;E.</t>
  </si>
  <si>
    <t>Final mean energy savings claimed in 300 completed PG&amp;E Advanced jobs was 32%;
Final mean energy savings claimed in 36 completed SCE/SCG jobs was 28%</t>
  </si>
  <si>
    <t>In the 16 SCE/SCG Advanced jobs reviewed, QC made an average of 10 non-trivial changes in the Energy Pro model submitted by the contractor in the preliminary application.  The corresponding rate among 51 PG&amp;E Advanced jobs was 1.5 changes per preliminary application.
In 301 completed PG&amp;E Advanced jobs, pre-applications were returned to the contractor by QC reviewers an average of 2.4 times. Post-applications were returned an average of 2.7 times.
This "return rate" is unavailable for SCE.</t>
  </si>
  <si>
    <t>For both SCE/SCG and PG&amp;E, contractors and QC found significant numbers of safety issues.
QC found many instances of possible asbestos in ducts and CAZ failures that were not found by the contractors.
In one instance, ASW staff (process evaluation team) found an apparent fire and mold hazard due to incorrect installation of floor insulation.</t>
  </si>
  <si>
    <t>At SCE/SCG sites that replaced the HVAC system, heating capacity was reduced by an average 3%, and cooling capacity was reduced by an average 36%. None of these sites were part of a larger remodel.
Capacity data are not available for PG&amp;E.</t>
  </si>
  <si>
    <t>Average measure cost in 62 surveyed PG&amp;E Advanced jobs was $14,377.  Average cost of 106 SCE/SCG Advanced jobs was $13,375. SCE/SCG Basic jobs (n=15) had an average cost of $3463.
Maximum project cost for PG&amp;E was $47,000, for SCE, $58,000.
Included in the surveyed sites were 6 PG&amp;E and 2 SCE/SCG jobs which homeowners reported were part of a larger remodel. Average cost of those jobs was $8257. Only one of the reported larger remodels cost more than $10,000 ($19,500).
Reported cost for SCE/SCG excludes cost of non-rebated measures, so all completed jobs were included in this summary rather than just surveyed sites.</t>
  </si>
  <si>
    <t>PG&amp;E rebates averaged 26% of measure cost. SCE/SCG rebates averaged 30%.
Maximum rebate as percentage of measure cost was around 75% for both IOUs.</t>
  </si>
  <si>
    <t>For SCE, not all files were present in the repository in 3/21 cases. For PG&amp;E, 5 files were missing in 51 cases.
Values entered in tracking data were generally consistent with those found in file review. Homeowner names and addresses, contractor names, and job dates were found to be 100% consistent. In one instance SCE/SCG tracking savings did not match values in the files. In 3 cases, PG&amp;E tracking data showed savings of zero, which was not consistent with values in files. 
Billing records were present in 14/16 SCE/SCG applications, and 18/51 PG&amp;E jobs. In one SCE/SCG case, the annual electric usage was listed as 187kWh, which is not plausible unless the homeowner has a solar electric system, which was not noted in the files. In one PG&amp;E case, electric records were present but not gas. These two cases were not used in the billing vs. modeled usage comparison.</t>
  </si>
  <si>
    <t>For SCE, not all files were present in the repository in 3/21 cases. For PG&amp;E, 5 files were missing out of 51 cases.
Values entered in tracking data were consistent with those found in file review. Homeowner names and addresses, contractor names, and job dates were found to be 100% consistent. In one instance SCE/SCG tracking savings did not match values in the files. In 3 cases, PG&amp;E tracking data showed savings of zero, which was not consistent with values in files. 
Billing records were present in 14/16 SCE/SCG applications, and 18/51 PG&amp;E jobs. In one SCE/SCG case, the annual electric usage was listed as 187kWh. In one PG&amp;E case, electric records were present but not gas. These two cases were not used in the billing vs. modeled usage comparison.</t>
  </si>
  <si>
    <t>PG&amp;E (n=52)</t>
  </si>
  <si>
    <t>Percent Savings</t>
  </si>
  <si>
    <t>Count of bad or null entries</t>
  </si>
  <si>
    <t>Count of differences between file data and tracking data (good entries)</t>
  </si>
  <si>
    <t>Site inspections summary (Evaluation on-site surveys of PG&amp;E sites)</t>
  </si>
  <si>
    <t>The EnergyPro interface is much more simplistic than eQUEST, allowing for less customization, but also requiring less expertise to run.</t>
  </si>
  <si>
    <t>kBtu / Square Foot-Year</t>
  </si>
  <si>
    <t>kBtu / Square Foot - Year</t>
  </si>
  <si>
    <t>Evaluation period (7/1/11 - 2/17/12)</t>
  </si>
  <si>
    <t>"1st Saving Energy, 2nd is Comfort. Though they don't realize what comfort is till after the job is done." (Low Volume Contractor on what is an effective marketing message)</t>
  </si>
  <si>
    <t xml:space="preserve">"LA County 2% financing is working. PACE was great, I bet everyone would do that." </t>
  </si>
  <si>
    <t>SCE/SCG</t>
  </si>
  <si>
    <t>Based on a SBW modeler's experience during the comparison of eQUEST and EnergyPro for 2 PG&amp;E sites.</t>
  </si>
  <si>
    <t>Based on interviews conducted with SCE contractors and review of training materials.</t>
  </si>
  <si>
    <t>Based on interviews conducted with SCE contractors and review of job files.</t>
  </si>
  <si>
    <t>Based on discussion and e-mail correspondence with SCE staff.</t>
  </si>
  <si>
    <t>SCE / SCG</t>
  </si>
  <si>
    <t>SCE/SCG Count of Measures (n=16)</t>
  </si>
  <si>
    <t>SCE/SCG Average EnergyPro Savings per Measure (n=16)</t>
  </si>
  <si>
    <t>PG&amp;E Count of Measures (n=51)</t>
  </si>
  <si>
    <t>PG&amp;E Average EnergyPro Savings per Measure (n=51)</t>
  </si>
  <si>
    <t>SCE/SCG percent of sites installing measure (n=16)</t>
  </si>
  <si>
    <t>PG&amp;E percent of sites installing measure (n=51)</t>
  </si>
  <si>
    <t>Percent Reductions in Whole House leakage and Duct Leakage Rates</t>
  </si>
  <si>
    <t>EUCAProcessReview.accdb, query SBW_PipelineCounts2</t>
  </si>
  <si>
    <t>Cancelled</t>
  </si>
  <si>
    <t>Pre (Advanced) and Post (Advanced and Basic) Leakage Rate (ACH) for SCE/SCG jobs</t>
  </si>
  <si>
    <t>SCE/SCG Pre to Pre-QC House Leakage (n=15)</t>
  </si>
  <si>
    <t>SCE/SCG Pre to Post House Leakage (n=15)</t>
  </si>
  <si>
    <t>SCE/SCG Pre to Pre-QC Duct Leakage (n=13)</t>
  </si>
  <si>
    <t>SCE/SCG Pre to Post Duct Leakage (n=12)</t>
  </si>
  <si>
    <t>PG&amp;E Pre to Post House Leakage (n=44)</t>
  </si>
  <si>
    <t>PG&amp;E Pre to Post Duct Leakage (n=36)</t>
  </si>
  <si>
    <t>SCE/SCG Pre to Pre QC (n=15)</t>
  </si>
  <si>
    <t>SCE/SCG Pre to Post (n=16)</t>
  </si>
  <si>
    <t>PG&amp;E Pre to Post (n=43)</t>
  </si>
  <si>
    <t>PG&amp;E Pre Application Count (n=52)</t>
  </si>
  <si>
    <t>PG&amp;E Post Application Count (n=52)</t>
  </si>
  <si>
    <t>SCE (n=16)</t>
  </si>
  <si>
    <t xml:space="preserve">Note: Means are from those visiting the site, and are derived from 11-point scales where 0 means 'completely disagree' and 10 means 'completely agree'. </t>
  </si>
  <si>
    <t xml:space="preserve">If contractors continue to perform energy modeling at current training and budget levels, EnergyPro would be considered a better choice than eQUEST due to its simplicity.   If personnel who specialize in energy modeling are assigned to the energy modeling task, eQUEST would be a better choice due to its high level of customizability and transparency. Independent of which modeling software is used, site visit and modeling procedures should be expanded to increase the accuracy of the models.  The focus should be on areas in which data are easy to acquire and enter into the model.  Thermostat, internal plug-load, and lighting schedules, which are currently set in EnergyPro to CEC defaults, can be obtained by interviewing residents. One option is to request a change in EnergyPro to allow high/medium/low type selections for plug/lighting loads, and to make the thermostat, internal plug-load, and lighting schedules a normal part of model input.  These options would be especially useful at sites where the modeled energy usage deviates significantly from billed usage data. </t>
  </si>
  <si>
    <t>SampleIOU</t>
  </si>
  <si>
    <t>SampleGroup</t>
  </si>
  <si>
    <t>SumOfPGE_NumberOfJobs</t>
  </si>
  <si>
    <t>SumOfSCE_NumberOfJobs</t>
  </si>
  <si>
    <t>BPI Accredited</t>
  </si>
  <si>
    <t>Davis Energy Pilot</t>
  </si>
  <si>
    <t>Few Projects</t>
  </si>
  <si>
    <t>Many Projects (&gt;=10)</t>
  </si>
  <si>
    <t>Not Approved and Not BPI</t>
  </si>
  <si>
    <t>Zero Projects</t>
  </si>
  <si>
    <t>Many Projects (&gt;=5)</t>
  </si>
  <si>
    <t>NumberOfContractors</t>
  </si>
  <si>
    <t>Type</t>
  </si>
  <si>
    <t>Volume Group</t>
  </si>
  <si>
    <t>Jobs</t>
  </si>
  <si>
    <t>Enrolled</t>
  </si>
  <si>
    <t>Zero</t>
  </si>
  <si>
    <t>BPI Certified, not Enrolled</t>
  </si>
  <si>
    <t>SCE_NumberOfJobs</t>
  </si>
  <si>
    <t>PGE_NumberOfJobs</t>
  </si>
  <si>
    <t>EUCAProcessReview.accdb, queries ContractorSampleSizes, Contractor_JobCountByGroup, ContractorSample_DavisEnergyGroup</t>
  </si>
  <si>
    <t>Note: High volume is defined as 10 or more projects in PG&amp;E territory or 5 or more projects in SCE/SCG territory.</t>
  </si>
  <si>
    <t>Note: Includes projects from the pilot and post-pilot period; includes cancelled jobs</t>
  </si>
  <si>
    <t>Note: BPI records were reviewed 11/5/2011; job records were reviewed 1/17/2012.</t>
  </si>
  <si>
    <t>PG&amp;E / Unknown</t>
  </si>
  <si>
    <t>Performance Gaps</t>
  </si>
  <si>
    <t>What’s Being Done</t>
  </si>
  <si>
    <r>
      <t xml:space="preserve">Contractors are unable to accurately identify type, quality, and coverage of insulation. 
</t>
    </r>
    <r>
      <rPr>
        <sz val="10"/>
        <color theme="1"/>
        <rFont val="Arial"/>
        <family val="2"/>
      </rPr>
      <t>Insulation coverage ratings and attic area measurements often differ between the contractors and QC inspectors.</t>
    </r>
  </si>
  <si>
    <t>ICF has provided training at contractor meetings, on methods for measuring insulation. 
Acceptable levels of variance between contractor and QC measurements have been established.</t>
  </si>
  <si>
    <t>The methods for judging coverage and measuring depth of blown insulation should be more extensively described and clarified within existing training, during field inspection mentoring, and through a new Online Learning Center module.</t>
  </si>
  <si>
    <r>
      <t xml:space="preserve">Contractors fail to specify insulation R-values for walls, floors, or buried ducts. 
</t>
    </r>
    <r>
      <rPr>
        <sz val="10"/>
        <color theme="1"/>
        <rFont val="Arial"/>
        <family val="2"/>
      </rPr>
      <t>This is possibly due to the fact that the areas where required measurements are taken can be in hard-to-reach locations.</t>
    </r>
  </si>
  <si>
    <t xml:space="preserve">In the QC process, contractors are notified of required insulation measurements. </t>
  </si>
  <si>
    <t xml:space="preserve">Insulation measurement requirements and techniques should be more extensively reviewed within existing training, during field inspection mentoring, and through an Online Learning Center module. </t>
  </si>
  <si>
    <r>
      <t xml:space="preserve">Contractors fail to identify potential asbestos-containing materials. 
</t>
    </r>
    <r>
      <rPr>
        <sz val="10"/>
        <color theme="1"/>
        <rFont val="Arial"/>
        <family val="2"/>
      </rPr>
      <t xml:space="preserve">If asbestos is found, contractors cannot perform ventilation testing. The usual locations where asbestos is not identified are the air duct boots and paper wrappings.  </t>
    </r>
  </si>
  <si>
    <t>ICF has performed targeted training for contractors including providing presenters from the AQMD as well as a certified asbestos consultant</t>
  </si>
  <si>
    <t xml:space="preserve">Provide contractors with remedial training on how to identify the various forms of asbestos-containing materials, either as supplemental training or through a new “Field Inspection Review” module in the Online Learning Center. Produce and use more photographs to help with visual recognition. 
Encourage contractors to be thorough in their search for asbestos; provide protocols for obtaining a certificate of abatement; during field mentoring, explore typical locations of duct boots and wrapping. </t>
  </si>
  <si>
    <r>
      <t xml:space="preserve">Contractors are failing to meet air-sealing requirements. 
</t>
    </r>
    <r>
      <rPr>
        <sz val="10"/>
        <color theme="1"/>
        <rFont val="Arial"/>
        <family val="2"/>
      </rPr>
      <t>Contractors are failing to detect air leaks, improper caulking, or weather stripping. Leaky houses surpass the maximum 0.35 air changes per hour (ACH) or don’t achieve minimum 14% improvement from initial baseline value.</t>
    </r>
  </si>
  <si>
    <t>In the QC process, contractors are notified of a failure to achieve minimum air-sealing requirements.</t>
  </si>
  <si>
    <t>Thoroughly address the methods for detecting air leaks and requirements for minimum air-sealing in existing training or in an Online Learning Center module. (This includes blower door test expectations.) Suggest that contractors adhere to BPI Envelope Professional standards or RHA's weatherization installation standards.</t>
  </si>
  <si>
    <r>
      <t xml:space="preserve">Contractors seal homes tighter than permitted by ASHRAE Building Airflow Standards. 
</t>
    </r>
    <r>
      <rPr>
        <sz val="10"/>
        <color theme="1"/>
        <rFont val="Arial"/>
        <family val="2"/>
      </rPr>
      <t xml:space="preserve">Contractors are not properly identifying the need for mechanical ventilation. If natural ventilation is inadequate, mechanical ventilation must be installed  to increase the ventilation to required levels for combustion safety purposes. </t>
    </r>
  </si>
  <si>
    <t xml:space="preserve">In the QC process, contractors are referred to the documents that describe the BPI requirements for mechanical ventilation. </t>
  </si>
  <si>
    <t>Provide training that reviews the appropriate levels of ventilation, including the need for mechanical ventilation based on the BPI protocols and ASHRAE Building Airflow Standards.  This training can be provided through updating existing training or within a new Online Learning Center module.</t>
  </si>
  <si>
    <r>
      <t xml:space="preserve">Contractors are not accurately documenting measurements for walls and windows, and for floors or conditioned space. 
</t>
    </r>
    <r>
      <rPr>
        <sz val="10"/>
        <color theme="1"/>
        <rFont val="Arial"/>
        <family val="2"/>
      </rPr>
      <t>The provided measurements for floor area and total conditioned space cannot be verified in the QC inspection.</t>
    </r>
  </si>
  <si>
    <t xml:space="preserve">In the QC process, modified values are provided and the contractor can appeal. </t>
  </si>
  <si>
    <t>In the training and mentoring sessions emphasize the importance of taking and recording measurements accurately; provide opportunities for contractors to practice and demonstrate taking and recording precise measurements of walls and window areas.</t>
  </si>
  <si>
    <r>
      <t xml:space="preserve">Contractors improperly conduct combustion safety testing and are not passing QC inspection. 
</t>
    </r>
    <r>
      <rPr>
        <sz val="10"/>
        <color theme="1"/>
        <rFont val="Arial"/>
        <family val="2"/>
      </rPr>
      <t xml:space="preserve">Carbon monoxide (CO) levels as measured by QC inspectors exceed the acceptable thresholds specified by BPI safety test procedures. This issue poses a safety risk to residents and delays projects. </t>
    </r>
  </si>
  <si>
    <t>Contractors are being instructed to carefully follow the testing steps provided in the QC inspection guidelines that are available from QA/QC (RHA)</t>
  </si>
  <si>
    <t>In the field, contractors should refer to the BPI procedures and QC inspection guidelines. In the training, provide additional review of the BPI testing procedures and provide examples and photographs of combustion testing scenarios. 
In the mentoring sessions, provide additional opportunities to practice with combustion safety testing.  The Online Learning Center should create a module dedicated to combustion safety testing. The various versions of the testing procedures should be consolidated, simplified, and standardized.</t>
  </si>
  <si>
    <r>
      <t xml:space="preserve">Contractors fail to act on significant combustion safety risks. 
</t>
    </r>
    <r>
      <rPr>
        <sz val="10"/>
        <color theme="1"/>
        <rFont val="Arial"/>
        <family val="2"/>
      </rPr>
      <t xml:space="preserve">Contractors fail to recognize or act on combustion appliances with gas leaks, that are in disrepair, or that pose other significant safety risks to residents.  </t>
    </r>
  </si>
  <si>
    <t>In the QC process, homeowners and contractors are notified of hazardous situations, and the contractor may receive specific instructions for remedying the situation</t>
  </si>
  <si>
    <t>Contractors should attend remedial training to review the BPI protocols. In the mentoring sessions, practice and demonstrate proper methods for gas leak testing. Develop an Online Learning Center module dedicated to covering BPI procedures for combustion safety testing.</t>
  </si>
  <si>
    <r>
      <t xml:space="preserve">Contractors fail to recognize combustion appliances without adequate space for ventilation. 
</t>
    </r>
    <r>
      <rPr>
        <sz val="10"/>
        <color theme="1"/>
        <rFont val="Arial"/>
        <family val="2"/>
      </rPr>
      <t>Some contractors are unfamiliar with the appropriate amount of Combustion Air Volume (CAV) required for safe operation of appliances.</t>
    </r>
  </si>
  <si>
    <t>In the QC process, contractors are instructed to establish an adequate level of combustion air according to Natural Gas Appliance Testing (NGAT) standards (not currently included in BPI Building Analyst standards).</t>
  </si>
  <si>
    <t>Address the necessary NGAT standards by adding an Online Learning Center module or in classroom training content. In field mentoring, provide opportunity for contractors to practice evaluating levels of CAV for combustion appliances.</t>
  </si>
  <si>
    <r>
      <t xml:space="preserve">All Basic Path measures are not completed for an Advanced Path upgrade. 
</t>
    </r>
    <r>
      <rPr>
        <sz val="10"/>
        <color theme="1"/>
        <rFont val="Arial"/>
        <family val="2"/>
      </rPr>
      <t>Contractors often neglect to implement one or more of the Basic Path measures, such as low-flow showerhead, pipe insulation, etc.</t>
    </r>
  </si>
  <si>
    <t>In the QC process, contractors are notified of failure to meet program requirements for installing Basic measures.</t>
  </si>
  <si>
    <t>As new program requirements are implemented, they should be included within existing training and mentoring. This content also could be integrated into an Online Learning Center module.</t>
  </si>
  <si>
    <r>
      <t xml:space="preserve">Contractors are not accurately documenting the efficiency or capacity of water heater or HVAC systems. 
</t>
    </r>
    <r>
      <rPr>
        <sz val="10"/>
        <color theme="1"/>
        <rFont val="Arial"/>
        <family val="2"/>
      </rPr>
      <t xml:space="preserve">Contractors are providing incorrect values for efficiency of domestic hot water (DHW) water heaters, the SEER value of HVAC units, or BTU ratings for furnaces. </t>
    </r>
  </si>
  <si>
    <t xml:space="preserve">In mentoring sessions, reinforce the need for careful reading and documentation of name plate data in the field, and reinforce careful entry on the job reporting template (JRT). </t>
  </si>
  <si>
    <r>
      <t xml:space="preserve">Contractors that are BPI-certified outside of program do not receive embedded mentoring. 
</t>
    </r>
    <r>
      <rPr>
        <sz val="10"/>
        <color theme="1"/>
        <rFont val="Arial"/>
        <family val="2"/>
      </rPr>
      <t>This content contains program-specific information.</t>
    </r>
  </si>
  <si>
    <t>ICF and RHA have been attempting to remediate issues stemming from inconsistent BPI training as jobs are submitted.</t>
  </si>
  <si>
    <t>Create a half-day "Advanced Path" orientation session to provide the "embedded mentoring" content as well as program-specific performance requirements for contractors who attended official program BPI training.</t>
  </si>
  <si>
    <r>
      <t xml:space="preserve">Contractors incorrectly enter data in the JRT, Application, or Reservation forms. 
</t>
    </r>
    <r>
      <rPr>
        <sz val="10"/>
        <color theme="1"/>
        <rFont val="Arial"/>
        <family val="2"/>
      </rPr>
      <t>Common errors include incorrect formatting, typographical errors, incomplete data, or data that is missing entirely. Contractor data is inconsistent among Energy Pro, EUCA Application and  Reservation forms, and/or the JRT</t>
    </r>
  </si>
  <si>
    <t>The Online Learning Center has new training modules that provide instruction on the JRT and Job Processing. Contractor updates report on the most common errors and provide tips for making more accurate entries. The JRT has been updated for ease of data entry; instructions are provided for each field to help identify incorrect entries; the JRT now contains many helpful applicable tables and calculation methods.</t>
  </si>
  <si>
    <t>Require any contractor staff responsible for entering data in the JRT and other forms to complete the relevant Online Learning Center training.  In the JRT and Job Processing mentoring sessions, review and explain commonly found mistakes and make suggestions for ways to improve accuracy. Where possible, reduce the number of required data fields. Create a “user guide” with instructions for filling out the JRT. Increase JRT mentoring opportunities.</t>
  </si>
  <si>
    <t>BPI Building Analyst standards do not include comprehensive envelope and weatherization standards</t>
  </si>
  <si>
    <t>RHA has filled gaps in BPI standards as needed to perform their inspections.</t>
  </si>
  <si>
    <t xml:space="preserve">Consider incorporating BPI's Envelope Professional standards or RHA's Weatherization Installation Standards (WIS). Consider supplementing the BPI training with HERS-2 training. </t>
  </si>
  <si>
    <r>
      <t xml:space="preserve">The program does not require a single contractor employee to attend all required training and to be responsible for verifying all upgrade work. 
</t>
    </r>
    <r>
      <rPr>
        <sz val="10"/>
        <color theme="1"/>
        <rFont val="Arial"/>
        <family val="2"/>
      </rPr>
      <t>Each contractor needs an in-house inspector-trainer.</t>
    </r>
  </si>
  <si>
    <t>Ideas are being considered by program management.</t>
  </si>
  <si>
    <t xml:space="preserve">Implement the proposed plan to require contractors to have internal inspector-trainers. </t>
  </si>
  <si>
    <t>EnergyPro modeling is not being done properly by contractors</t>
  </si>
  <si>
    <t>There is an EnergyPro class on the Online Learning Center. Mentoring sessions provide one-on-one help with the program.</t>
  </si>
  <si>
    <t xml:space="preserve">Contractors should have more practice with mentors using the program and be required to demonstrate competence and proficiency. </t>
  </si>
  <si>
    <t>SCE Training Assessment</t>
  </si>
  <si>
    <t>Performance Gaps Observed in SCE Whole House Training</t>
  </si>
  <si>
    <t>Go to Recommendations</t>
  </si>
  <si>
    <t>Time Lags Between Key Phases in Projects</t>
  </si>
  <si>
    <t>Gaps in Program Tracking Data</t>
  </si>
  <si>
    <t>Distribution of Measures in SCE/SCG Advanced Jobs and Advanced PG&amp;E jobs</t>
  </si>
  <si>
    <t>Percent Difference Between Modeled Annual Energy Use and Billed Use for SCE/SCG and PG&amp;E Advanced jobs</t>
  </si>
  <si>
    <t>A small group of contractors generate the bulk of projects</t>
  </si>
  <si>
    <t>Completed Jobs</t>
  </si>
  <si>
    <t>Distribution of Incentives as a Percentage of Measure Costs for Advanced jobs</t>
  </si>
  <si>
    <t>SCE/SCG Post-installation ACH (n=15, mean=.38)</t>
  </si>
  <si>
    <t>SCE/SCG Pre-installation ACH (n=15, mean=.59)</t>
  </si>
  <si>
    <t>SCE/SCG kWh (n=13, mean=68%)</t>
  </si>
  <si>
    <t>PG&amp;E kWh (n=17, mean=56%)</t>
  </si>
  <si>
    <t>SCE/SCG Therms (n=13, mean=39%)</t>
  </si>
  <si>
    <t>PG&amp;E Therms (n=17, mean=43%)</t>
  </si>
  <si>
    <t>SCE/SCG Total Energy (n=13, mean=40%)</t>
  </si>
  <si>
    <t>PG&amp;E Total Energy (n=17, mean=40%)</t>
  </si>
  <si>
    <t>Difference in Reported Savings Between Tracking Data and Project Files</t>
  </si>
  <si>
    <t>SCE/SCG Advanced Cost (Complete, n=106, mean=$13,375)</t>
  </si>
  <si>
    <t>SCE/SCG Basic Cost (Complete, n=15, mean=$3,463)</t>
  </si>
  <si>
    <t>Instances of Safety Issues Noted in File Review of Advanced Jobs</t>
  </si>
  <si>
    <t>Common Comments Made by PG&amp;E QC to Contractors on Pre and Post Applications</t>
  </si>
  <si>
    <t>Change in Savings Estimates Between Pre and Post Application</t>
  </si>
  <si>
    <t>Change in HVAC System Capacity</t>
  </si>
  <si>
    <t>Distribution of Job Costs for Advanced and Basic jobs</t>
  </si>
  <si>
    <t>Number of Problems Found by QC</t>
  </si>
  <si>
    <t>Savings Summary by Year, Excluding 2012</t>
  </si>
  <si>
    <t>Total Savings Percentage Claimed in Completed SCE/SCG and PG&amp;E Advanced Jobs</t>
  </si>
  <si>
    <t>CountOfID</t>
  </si>
  <si>
    <t>Package Type</t>
  </si>
  <si>
    <t>PG&amp;E Advanced Program</t>
  </si>
  <si>
    <t>PG&amp;E Basic Program</t>
  </si>
  <si>
    <t>EUCAProcessReview.accdb query "PGE_SvgsPercent" and "SBW_SCEFiles_TotalSvgs"</t>
  </si>
  <si>
    <t>AvgOfFinalSvgs_Percent</t>
  </si>
  <si>
    <t>Note: Based on Pilot and post-Pilot completed jobs</t>
  </si>
  <si>
    <t>Note: PG&amp;E values are derived from EGIA database</t>
  </si>
  <si>
    <t>EUCAProcessReview.accdb, queries SBW_MeasureCost_PGE_2, and SBW_MeasureCost_SCE, SBW_MeasureCost_SCE_2</t>
  </si>
  <si>
    <t>PG&amp;E Incentive percent of Cost (Check Sent n=387, mean = 23%)</t>
  </si>
  <si>
    <t>SCE/SCG Incentive percent of Cost (Completed, n=106, mean=27%)</t>
  </si>
  <si>
    <t>EUCAProcessReview.accdb, queries SBW_MeasureCost_PGE_2, and SBW_MeasureCost_SCEAdvanced_2</t>
  </si>
  <si>
    <t>PG&amp;E Advanced Cost (Check Sent, n=387, mean=$16,056)</t>
  </si>
  <si>
    <t>Adopt Common Statewide Job Reporting</t>
  </si>
  <si>
    <t>Support Contractor Marketing Efforts</t>
  </si>
  <si>
    <t xml:space="preserve">Implement EUC Website Improvements
</t>
  </si>
  <si>
    <t>IOU Marketing Strategies</t>
  </si>
  <si>
    <t>-Foster peer-to-peer marketing (High Importance); Leverage positive customer experience so far; Customer testimonials; Social media
'-Continue promoting main program benefits; Home comfort, incentives available, lowering energy bills, value of assessment (identify ways to save)
'-Continue with email and direct mail marketing to targeted group of customers; Build future target market based on participant characteristics thus far
'-Continue with events and workshops
'-Offer brief, step-by-step, explanations &amp; emphasize importance of whole house
Contractors, program staff and LA County’s focus groups indicated that the program is very complex, 
Contractors &amp; program staff say customers only hear about the large incentives available from mass media, think they are getting something for free and then contractors spend time educating customers on the whole house approach, SCE's creation of 3 short video clips on website is a good example
'-Convene quarterly statewide meetings of all entities implementing the program; Many entities are implementing and marketing this program statewide; Discuss best practices in marketing strategies; 
IOU program staff think this will help</t>
  </si>
  <si>
    <t>SCE Training Assessment - Participation Workshop</t>
  </si>
  <si>
    <t>SCE Training Assessment - Basic Path Training</t>
  </si>
  <si>
    <t>SCE Training Assessment - Advanced  Path Training</t>
  </si>
  <si>
    <t>SCE Training Assessment - Online Learning Center</t>
  </si>
  <si>
    <t>SCE Training Assessment - Mandatory Mentoring</t>
  </si>
  <si>
    <t>SCE Training Assessment - Proposed Inspector-Trainer Role</t>
  </si>
  <si>
    <t>Provide additional program tracking data</t>
  </si>
  <si>
    <t xml:space="preserve">Conduct further studies of energy models </t>
  </si>
  <si>
    <t>Allow Early Installation of HVAC Appliances</t>
  </si>
  <si>
    <t>Modify or Drop the Basic Upgrade Package</t>
  </si>
  <si>
    <t>Offer Contractor Incentives</t>
  </si>
  <si>
    <t>Increase Homeowner Incentives</t>
  </si>
  <si>
    <t xml:space="preserve">Subsidize the Assessment Cost </t>
  </si>
  <si>
    <t xml:space="preserve">Improve Whole House Energy Modeling </t>
  </si>
  <si>
    <t>Pilot period (8/27/10 - 7/1/11)</t>
  </si>
  <si>
    <t>Change in Utility Bill (Participant Opinion) Due to the EUC Upgrade</t>
  </si>
  <si>
    <t>Information provided by in-depth interviews.</t>
  </si>
  <si>
    <t>2010–2012 PG&amp;E and SCE Whole House Retrofit Process Evaluation Study – Interim Report Workbook – PGE0302.03</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</si>
</sst>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_);[Red]\(&quot;$&quot;#,##0\)"/>
    <numFmt numFmtId="44" formatCode="_(&quot;$&quot;* #,##0.00_);_(&quot;$&quot;* \(#,##0.00\);_(&quot;$&quot;* &quot;-&quot;??_);_(@_)"/>
    <numFmt numFmtId="43" formatCode="_(* #,##0.00_);_(* \(#,##0.00\);_(* &quot;-&quot;??_);_(@_)"/>
    <numFmt numFmtId="164" formatCode="dd\-mmm\-yy"/>
    <numFmt numFmtId="165" formatCode="h:mm;@"/>
    <numFmt numFmtId="166" formatCode="0.0"/>
    <numFmt numFmtId="167" formatCode="_(* #,##0_);_(* \(#,##0\);_(* &quot;-&quot;??_);_(@_)"/>
    <numFmt numFmtId="168" formatCode="0.0%"/>
    <numFmt numFmtId="169" formatCode="0.000%"/>
    <numFmt numFmtId="170" formatCode="&quot;$&quot;#,##0.00"/>
    <numFmt numFmtId="171" formatCode="0.000"/>
    <numFmt numFmtId="172" formatCode="_(* #,##0.0_);_(* \(#,##0.0\);_(* &quot;-&quot;??_);_(@_)"/>
    <numFmt numFmtId="173" formatCode="_(&quot;$&quot;* #,##0_);_(&quot;$&quot;* \(#,##0\);_(&quot;$&quot;* &quot;-&quot;??_);_(@_)"/>
  </numFmts>
  <fonts count="45" x14ac:knownFonts="1">
    <font>
      <sz val="11"/>
      <color theme="1"/>
      <name val="Calibri"/>
      <family val="2"/>
      <scheme val="minor"/>
    </font>
    <font>
      <sz val="10"/>
      <color indexed="8"/>
      <name val="Arial"/>
      <family val="2"/>
    </font>
    <font>
      <sz val="11"/>
      <color indexed="8"/>
      <name val="Calibri"/>
      <family val="2"/>
    </font>
    <font>
      <b/>
      <sz val="11"/>
      <color theme="1"/>
      <name val="Calibri"/>
      <family val="2"/>
      <scheme val="minor"/>
    </font>
    <font>
      <sz val="11"/>
      <color theme="1"/>
      <name val="Calibri"/>
      <family val="2"/>
      <scheme val="minor"/>
    </font>
    <font>
      <b/>
      <sz val="11"/>
      <color rgb="FFC00000"/>
      <name val="Calibri"/>
      <family val="2"/>
      <scheme val="minor"/>
    </font>
    <font>
      <b/>
      <sz val="11"/>
      <color theme="1"/>
      <name val="Cambria"/>
      <family val="1"/>
      <scheme val="major"/>
    </font>
    <font>
      <b/>
      <sz val="11"/>
      <color rgb="FF266659"/>
      <name val="Cambria"/>
      <family val="1"/>
    </font>
    <font>
      <sz val="11"/>
      <color theme="1"/>
      <name val="Calibri"/>
      <family val="2"/>
    </font>
    <font>
      <b/>
      <sz val="11"/>
      <name val="Calibri"/>
      <family val="2"/>
    </font>
    <font>
      <b/>
      <sz val="12"/>
      <color theme="1"/>
      <name val="Cambria"/>
      <family val="1"/>
      <scheme val="major"/>
    </font>
    <font>
      <sz val="11"/>
      <color theme="1"/>
      <name val="Wingdings"/>
      <charset val="2"/>
    </font>
    <font>
      <sz val="11"/>
      <color theme="1"/>
      <name val="Times New Roman"/>
      <family val="1"/>
    </font>
    <font>
      <i/>
      <sz val="11"/>
      <color theme="1"/>
      <name val="Calibri"/>
      <family val="2"/>
      <scheme val="minor"/>
    </font>
    <font>
      <sz val="10"/>
      <name val="Arial"/>
      <family val="2"/>
    </font>
    <font>
      <sz val="7"/>
      <name val="Small Fonts"/>
      <family val="2"/>
    </font>
    <font>
      <i/>
      <sz val="11"/>
      <color theme="1"/>
      <name val="Calibri"/>
      <family val="2"/>
    </font>
    <font>
      <b/>
      <sz val="11"/>
      <color theme="1"/>
      <name val="Calibri"/>
      <family val="2"/>
    </font>
    <font>
      <sz val="10"/>
      <color theme="1"/>
      <name val="Calibri"/>
      <family val="2"/>
      <scheme val="minor"/>
    </font>
    <font>
      <b/>
      <sz val="10"/>
      <color theme="1"/>
      <name val="Calibri"/>
      <family val="2"/>
      <scheme val="minor"/>
    </font>
    <font>
      <b/>
      <sz val="11"/>
      <color rgb="FFC00000"/>
      <name val="Calibri"/>
      <family val="2"/>
    </font>
    <font>
      <b/>
      <sz val="11"/>
      <name val="Calibri"/>
      <family val="2"/>
      <scheme val="minor"/>
    </font>
    <font>
      <b/>
      <sz val="11"/>
      <color theme="1"/>
      <name val="Wingdings"/>
      <charset val="2"/>
    </font>
    <font>
      <sz val="10"/>
      <name val="Verdana"/>
      <family val="2"/>
    </font>
    <font>
      <sz val="12"/>
      <name val="Calibri"/>
      <family val="2"/>
    </font>
    <font>
      <sz val="11"/>
      <color indexed="8"/>
      <name val="Calibri"/>
      <family val="2"/>
    </font>
    <font>
      <sz val="10"/>
      <color indexed="8"/>
      <name val="Arial"/>
      <family val="2"/>
    </font>
    <font>
      <sz val="11"/>
      <color indexed="8"/>
      <name val="Calibri"/>
      <family val="2"/>
    </font>
    <font>
      <sz val="10"/>
      <color indexed="8"/>
      <name val="Arial"/>
      <family val="2"/>
    </font>
    <font>
      <u/>
      <sz val="11"/>
      <color theme="10"/>
      <name val="Calibri"/>
      <family val="2"/>
      <scheme val="minor"/>
    </font>
    <font>
      <sz val="11"/>
      <name val="Calibri"/>
      <family val="2"/>
      <scheme val="minor"/>
    </font>
    <font>
      <sz val="11"/>
      <color rgb="FF000000"/>
      <name val="Calibri"/>
      <family val="2"/>
      <scheme val="minor"/>
    </font>
    <font>
      <b/>
      <sz val="11"/>
      <color rgb="FF000000"/>
      <name val="Calibri"/>
      <family val="2"/>
    </font>
    <font>
      <sz val="11"/>
      <color rgb="FF000000"/>
      <name val="Calibri"/>
      <family val="2"/>
    </font>
    <font>
      <sz val="12"/>
      <color theme="1"/>
      <name val="Franklin Gothic Book"/>
      <family val="2"/>
    </font>
    <font>
      <sz val="11"/>
      <color theme="1"/>
      <name val="Franklin Gothic Book"/>
      <family val="2"/>
    </font>
    <font>
      <b/>
      <sz val="11"/>
      <color theme="1"/>
      <name val="Franklin Gothic Book"/>
      <family val="2"/>
    </font>
    <font>
      <b/>
      <sz val="10"/>
      <color indexed="8"/>
      <name val="Calibri"/>
      <family val="2"/>
    </font>
    <font>
      <sz val="10"/>
      <color indexed="8"/>
      <name val="Calibri"/>
      <family val="2"/>
    </font>
    <font>
      <b/>
      <sz val="11"/>
      <color rgb="FFFF0000"/>
      <name val="Calibri"/>
      <family val="2"/>
      <scheme val="minor"/>
    </font>
    <font>
      <b/>
      <sz val="14"/>
      <color theme="1"/>
      <name val="Calibri"/>
      <family val="2"/>
      <scheme val="minor"/>
    </font>
    <font>
      <b/>
      <sz val="10"/>
      <color theme="1"/>
      <name val="Arial"/>
      <family val="2"/>
    </font>
    <font>
      <sz val="10"/>
      <color theme="1"/>
      <name val="Arial"/>
      <family val="2"/>
    </font>
    <font>
      <sz val="11"/>
      <color theme="1"/>
      <name val="Calibri"/>
      <family val="2"/>
      <scheme val="minor"/>
    </font>
    <font>
      <sz val="11"/>
      <color indexed="8"/>
      <name val="Calibri"/>
      <family val="2"/>
    </font>
  </fonts>
  <fills count="31">
    <fill>
      <patternFill patternType="none"/>
    </fill>
    <fill>
      <patternFill patternType="gray125"/>
    </fill>
    <fill>
      <patternFill patternType="solid">
        <fgColor indexed="22"/>
        <bgColor indexed="0"/>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77111117893"/>
        <bgColor indexed="0"/>
      </patternFill>
    </fill>
    <fill>
      <patternFill patternType="solid">
        <fgColor theme="5" tint="0.79998168889431442"/>
        <bgColor indexed="64"/>
      </patternFill>
    </fill>
    <fill>
      <patternFill patternType="solid">
        <fgColor theme="0" tint="-0.14999847407452621"/>
        <bgColor indexed="0"/>
      </patternFill>
    </fill>
    <fill>
      <patternFill patternType="solid">
        <fgColor theme="6" tint="0.79998168889431442"/>
        <bgColor indexed="0"/>
      </patternFill>
    </fill>
    <fill>
      <patternFill patternType="solid">
        <fgColor theme="2" tint="-0.249977111117893"/>
        <bgColor indexed="0"/>
      </patternFill>
    </fill>
    <fill>
      <patternFill patternType="solid">
        <fgColor theme="2" tint="-0.249977111117893"/>
        <bgColor indexed="64"/>
      </patternFill>
    </fill>
    <fill>
      <patternFill patternType="solid">
        <fgColor rgb="FFFFC000"/>
        <bgColor indexed="0"/>
      </patternFill>
    </fill>
    <fill>
      <patternFill patternType="solid">
        <fgColor rgb="FF00B0F0"/>
        <bgColor indexed="0"/>
      </patternFill>
    </fill>
    <fill>
      <patternFill patternType="solid">
        <fgColor theme="3"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rgb="FF00B0F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rgb="FFFFFFFF"/>
        <bgColor indexed="64"/>
      </patternFill>
    </fill>
    <fill>
      <patternFill patternType="solid">
        <fgColor theme="0" tint="-0.34998626667073579"/>
        <bgColor indexed="0"/>
      </patternFill>
    </fill>
    <fill>
      <patternFill patternType="solid">
        <fgColor rgb="FFFFC000"/>
        <bgColor indexed="64"/>
      </patternFill>
    </fill>
  </fills>
  <borders count="76">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22"/>
      </left>
      <right/>
      <top/>
      <bottom style="thin">
        <color indexed="64"/>
      </bottom>
      <diagonal/>
    </border>
    <border>
      <left style="thin">
        <color indexed="22"/>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theme="0" tint="-0.24994659260841701"/>
      </bottom>
      <diagonal/>
    </border>
    <border>
      <left style="thin">
        <color rgb="FF000000"/>
      </left>
      <right style="thin">
        <color rgb="FF000000"/>
      </right>
      <top/>
      <bottom style="thin">
        <color theme="0" tint="-0.24994659260841701"/>
      </bottom>
      <diagonal/>
    </border>
    <border>
      <left style="thin">
        <color rgb="FF000000"/>
      </left>
      <right style="thin">
        <color indexed="64"/>
      </right>
      <top/>
      <bottom style="thin">
        <color theme="0" tint="-0.24994659260841701"/>
      </bottom>
      <diagonal/>
    </border>
    <border>
      <left style="thin">
        <color indexed="64"/>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style="thin">
        <color indexed="64"/>
      </right>
      <top style="thin">
        <color theme="0" tint="-0.24994659260841701"/>
      </top>
      <bottom style="thin">
        <color theme="0" tint="-0.24994659260841701"/>
      </bottom>
      <diagonal/>
    </border>
    <border>
      <left style="thin">
        <color indexed="64"/>
      </left>
      <right style="thin">
        <color rgb="FF000000"/>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style="thin">
        <color rgb="FF000000"/>
      </right>
      <top style="thin">
        <color rgb="FF000000"/>
      </top>
      <bottom style="thin">
        <color theme="0" tint="-0.24994659260841701"/>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indexed="64"/>
      </left>
      <right style="thin">
        <color indexed="64"/>
      </right>
      <top style="thin">
        <color theme="0" tint="-0.24994659260841701"/>
      </top>
      <bottom/>
      <diagonal/>
    </border>
    <border>
      <left style="thin">
        <color indexed="64"/>
      </left>
      <right style="medium">
        <color indexed="64"/>
      </right>
      <top style="thin">
        <color theme="0" tint="-0.24994659260841701"/>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theme="0" tint="-0.24994659260841701"/>
      </bottom>
      <diagonal/>
    </border>
    <border>
      <left style="medium">
        <color indexed="64"/>
      </left>
      <right style="medium">
        <color indexed="64"/>
      </right>
      <top style="thin">
        <color indexed="64"/>
      </top>
      <bottom style="thin">
        <color theme="0" tint="-0.24994659260841701"/>
      </bottom>
      <diagonal/>
    </border>
    <border>
      <left/>
      <right style="medium">
        <color indexed="64"/>
      </right>
      <top style="thin">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diagonal/>
    </border>
    <border>
      <left style="medium">
        <color indexed="64"/>
      </left>
      <right style="medium">
        <color indexed="64"/>
      </right>
      <top style="thin">
        <color theme="0" tint="-0.24994659260841701"/>
      </top>
      <bottom/>
      <diagonal/>
    </border>
    <border>
      <left/>
      <right style="medium">
        <color indexed="64"/>
      </right>
      <top style="thin">
        <color theme="0" tint="-0.24994659260841701"/>
      </top>
      <bottom/>
      <diagonal/>
    </border>
    <border>
      <left style="medium">
        <color indexed="64"/>
      </left>
      <right/>
      <top style="thin">
        <color theme="0" tint="-0.24994659260841701"/>
      </top>
      <bottom style="medium">
        <color indexed="64"/>
      </bottom>
      <diagonal/>
    </border>
    <border>
      <left style="medium">
        <color indexed="64"/>
      </left>
      <right style="medium">
        <color indexed="64"/>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style="thin">
        <color indexed="22"/>
      </right>
      <top/>
      <bottom style="thin">
        <color indexed="22"/>
      </bottom>
      <diagonal/>
    </border>
  </borders>
  <cellStyleXfs count="37">
    <xf numFmtId="0" fontId="0" fillId="0" borderId="0"/>
    <xf numFmtId="0" fontId="1" fillId="0" borderId="0"/>
    <xf numFmtId="0" fontId="1" fillId="0" borderId="0"/>
    <xf numFmtId="43" fontId="4" fillId="0" borderId="0" applyFont="0" applyFill="0" applyBorder="0" applyAlignment="0" applyProtection="0"/>
    <xf numFmtId="9" fontId="4" fillId="0" borderId="0" applyFont="0" applyFill="0" applyBorder="0" applyAlignment="0" applyProtection="0"/>
    <xf numFmtId="0" fontId="7" fillId="0" borderId="0" applyNumberFormat="0" applyFill="0" applyBorder="0" applyProtection="0">
      <alignment horizontal="left" vertical="center" wrapText="1"/>
    </xf>
    <xf numFmtId="0" fontId="7" fillId="0" borderId="0" applyNumberFormat="0" applyFill="0" applyBorder="0" applyProtection="0">
      <alignment horizontal="center" vertical="center" wrapText="1"/>
    </xf>
    <xf numFmtId="0" fontId="7" fillId="0" borderId="0" applyNumberFormat="0" applyFill="0" applyBorder="0" applyProtection="0">
      <alignment horizontal="right" vertical="center" wrapText="1"/>
    </xf>
    <xf numFmtId="0" fontId="8" fillId="0" borderId="0" applyNumberFormat="0" applyFill="0" applyBorder="0" applyProtection="0">
      <alignment horizontal="left" vertical="top" wrapText="1"/>
    </xf>
    <xf numFmtId="0" fontId="8" fillId="0" borderId="0" applyNumberFormat="0" applyFill="0" applyBorder="0" applyProtection="0">
      <alignment horizontal="center" vertical="top" wrapText="1"/>
    </xf>
    <xf numFmtId="0" fontId="8" fillId="0" borderId="0" applyNumberFormat="0" applyFill="0" applyBorder="0" applyProtection="0">
      <alignment horizontal="right" vertical="top" wrapText="1"/>
    </xf>
    <xf numFmtId="0" fontId="9" fillId="0" borderId="0" applyNumberFormat="0" applyFill="0" applyBorder="0" applyProtection="0">
      <alignment horizontal="left" vertical="top" wrapText="1"/>
    </xf>
    <xf numFmtId="0" fontId="9" fillId="0" borderId="0" applyNumberFormat="0" applyFill="0" applyBorder="0" applyProtection="0">
      <alignment horizontal="center" vertical="top" wrapText="1"/>
    </xf>
    <xf numFmtId="0" fontId="9" fillId="0" borderId="0" applyNumberFormat="0" applyFill="0" applyBorder="0" applyProtection="0">
      <alignment horizontal="right" vertical="top" wrapText="1"/>
    </xf>
    <xf numFmtId="3" fontId="14" fillId="0" borderId="0" applyFont="0" applyFill="0" applyBorder="0" applyAlignment="0" applyProtection="0"/>
    <xf numFmtId="37" fontId="15" fillId="0" borderId="0"/>
    <xf numFmtId="0" fontId="14"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9" fillId="0" borderId="0" applyNumberFormat="0" applyFill="0" applyBorder="0" applyAlignment="0" applyProtection="0"/>
    <xf numFmtId="44" fontId="4" fillId="0" borderId="0" applyFont="0" applyFill="0" applyBorder="0" applyAlignment="0" applyProtection="0"/>
    <xf numFmtId="0" fontId="14" fillId="0" borderId="0"/>
  </cellStyleXfs>
  <cellXfs count="844">
    <xf numFmtId="0" fontId="0" fillId="0" borderId="0" xfId="0"/>
    <xf numFmtId="0" fontId="0" fillId="0" borderId="0" xfId="0" applyFill="1"/>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1" xfId="0" applyBorder="1" applyAlignment="1">
      <alignment wrapText="1"/>
    </xf>
    <xf numFmtId="0" fontId="0" fillId="0" borderId="1" xfId="0" applyFill="1" applyBorder="1"/>
    <xf numFmtId="0" fontId="2" fillId="2" borderId="5" xfId="1" applyFont="1" applyFill="1" applyBorder="1" applyAlignment="1">
      <alignment horizontal="center"/>
    </xf>
    <xf numFmtId="0" fontId="2" fillId="0" borderId="6" xfId="1" applyFont="1" applyFill="1" applyBorder="1" applyAlignment="1">
      <alignment wrapText="1"/>
    </xf>
    <xf numFmtId="0" fontId="2" fillId="0" borderId="6" xfId="1" applyFont="1" applyFill="1" applyBorder="1" applyAlignment="1">
      <alignment horizontal="right" wrapText="1"/>
    </xf>
    <xf numFmtId="0" fontId="1" fillId="0" borderId="0" xfId="1"/>
    <xf numFmtId="164" fontId="2" fillId="0" borderId="6" xfId="1" applyNumberFormat="1" applyFont="1" applyFill="1" applyBorder="1" applyAlignment="1">
      <alignment horizontal="right" wrapText="1"/>
    </xf>
    <xf numFmtId="0" fontId="2" fillId="2" borderId="5" xfId="2" applyFont="1" applyFill="1" applyBorder="1" applyAlignment="1">
      <alignment horizontal="center"/>
    </xf>
    <xf numFmtId="0" fontId="2" fillId="0" borderId="6" xfId="2" applyFont="1" applyFill="1" applyBorder="1" applyAlignment="1">
      <alignment wrapText="1"/>
    </xf>
    <xf numFmtId="0" fontId="1" fillId="0" borderId="0" xfId="2"/>
    <xf numFmtId="164" fontId="2" fillId="0" borderId="6" xfId="2" applyNumberFormat="1" applyFont="1" applyFill="1" applyBorder="1" applyAlignment="1">
      <alignment horizontal="right" wrapText="1"/>
    </xf>
    <xf numFmtId="0" fontId="2" fillId="0" borderId="6" xfId="2" applyFont="1" applyFill="1" applyBorder="1" applyAlignment="1">
      <alignment horizontal="right" wrapText="1"/>
    </xf>
    <xf numFmtId="0" fontId="6" fillId="0" borderId="0" xfId="0" applyFont="1"/>
    <xf numFmtId="0" fontId="7" fillId="0" borderId="8" xfId="5" applyBorder="1">
      <alignment horizontal="left" vertical="center" wrapText="1"/>
    </xf>
    <xf numFmtId="0" fontId="7" fillId="0" borderId="9" xfId="6" applyBorder="1">
      <alignment horizontal="center" vertical="center" wrapText="1"/>
    </xf>
    <xf numFmtId="0" fontId="7" fillId="0" borderId="10" xfId="7" applyBorder="1">
      <alignment horizontal="right" vertical="center" wrapText="1"/>
    </xf>
    <xf numFmtId="0" fontId="8" fillId="0" borderId="11" xfId="8" applyBorder="1">
      <alignment horizontal="left" vertical="top" wrapText="1"/>
    </xf>
    <xf numFmtId="0" fontId="8" fillId="0" borderId="0" xfId="9" applyBorder="1">
      <alignment horizontal="center" vertical="top" wrapText="1"/>
    </xf>
    <xf numFmtId="0" fontId="8" fillId="0" borderId="2" xfId="10" applyBorder="1">
      <alignment horizontal="right" vertical="top" wrapText="1"/>
    </xf>
    <xf numFmtId="0" fontId="9" fillId="0" borderId="4" xfId="11" applyBorder="1">
      <alignment horizontal="left" vertical="top" wrapText="1"/>
    </xf>
    <xf numFmtId="0" fontId="9" fillId="0" borderId="1" xfId="12" applyBorder="1">
      <alignment horizontal="center" vertical="top" wrapText="1"/>
    </xf>
    <xf numFmtId="0" fontId="9" fillId="0" borderId="3" xfId="13" applyBorder="1">
      <alignment horizontal="right" vertical="top" wrapText="1"/>
    </xf>
    <xf numFmtId="0" fontId="9" fillId="0" borderId="0" xfId="11">
      <alignment horizontal="left" vertical="top" wrapText="1"/>
    </xf>
    <xf numFmtId="0" fontId="9" fillId="0" borderId="0" xfId="12">
      <alignment horizontal="center" vertical="top" wrapText="1"/>
    </xf>
    <xf numFmtId="0" fontId="9" fillId="0" borderId="0" xfId="13">
      <alignment horizontal="right" vertical="top" wrapText="1"/>
    </xf>
    <xf numFmtId="0" fontId="10" fillId="0" borderId="0" xfId="0" applyFont="1"/>
    <xf numFmtId="0" fontId="10" fillId="0" borderId="0" xfId="0" applyFont="1" applyAlignment="1"/>
    <xf numFmtId="0" fontId="0" fillId="0" borderId="1" xfId="0" applyBorder="1" applyAlignment="1">
      <alignment vertical="top"/>
    </xf>
    <xf numFmtId="0" fontId="0" fillId="0" borderId="3" xfId="0" applyBorder="1" applyAlignment="1">
      <alignment vertical="top"/>
    </xf>
    <xf numFmtId="0" fontId="0" fillId="0" borderId="4" xfId="0" applyBorder="1" applyAlignment="1">
      <alignment vertical="top"/>
    </xf>
    <xf numFmtId="0" fontId="0" fillId="0" borderId="2" xfId="0" applyBorder="1" applyAlignment="1">
      <alignment vertical="top" wrapText="1"/>
    </xf>
    <xf numFmtId="0" fontId="3" fillId="0" borderId="0" xfId="0" applyFont="1" applyAlignment="1">
      <alignment vertical="top"/>
    </xf>
    <xf numFmtId="0" fontId="10" fillId="0" borderId="0" xfId="0" applyFont="1" applyAlignment="1">
      <alignment vertical="top"/>
    </xf>
    <xf numFmtId="0" fontId="6" fillId="0" borderId="7" xfId="0" applyFont="1" applyBorder="1" applyAlignment="1">
      <alignment vertical="top"/>
    </xf>
    <xf numFmtId="0" fontId="0" fillId="0" borderId="7" xfId="0" applyBorder="1" applyAlignment="1">
      <alignment vertical="top"/>
    </xf>
    <xf numFmtId="0" fontId="0" fillId="0" borderId="0" xfId="0" applyAlignment="1">
      <alignment horizontal="left" vertical="top" indent="1"/>
    </xf>
    <xf numFmtId="165" fontId="6" fillId="0" borderId="0" xfId="0" applyNumberFormat="1" applyFont="1" applyAlignment="1">
      <alignment horizontal="right" vertical="top"/>
    </xf>
    <xf numFmtId="0" fontId="6" fillId="0" borderId="0" xfId="0" applyFont="1" applyAlignment="1">
      <alignment horizontal="right" vertical="top"/>
    </xf>
    <xf numFmtId="165" fontId="0" fillId="0" borderId="0" xfId="0" applyNumberFormat="1" applyAlignment="1">
      <alignment vertical="top"/>
    </xf>
    <xf numFmtId="166" fontId="0" fillId="0" borderId="0" xfId="0" applyNumberFormat="1" applyAlignment="1">
      <alignment vertical="top"/>
    </xf>
    <xf numFmtId="0" fontId="5" fillId="3" borderId="0" xfId="0" applyFont="1" applyFill="1" applyAlignment="1">
      <alignment vertical="top" wrapText="1"/>
    </xf>
    <xf numFmtId="0" fontId="0" fillId="0" borderId="0" xfId="0" applyAlignment="1">
      <alignment horizontal="center" vertical="top"/>
    </xf>
    <xf numFmtId="0" fontId="0" fillId="0" borderId="0" xfId="0" applyFill="1" applyAlignment="1">
      <alignment vertical="top"/>
    </xf>
    <xf numFmtId="0" fontId="6" fillId="0" borderId="0" xfId="0" applyFont="1" applyAlignment="1">
      <alignment vertical="top"/>
    </xf>
    <xf numFmtId="20" fontId="0" fillId="0" borderId="0" xfId="0" applyNumberFormat="1" applyAlignment="1">
      <alignment vertical="top"/>
    </xf>
    <xf numFmtId="9" fontId="0" fillId="0" borderId="0" xfId="4" applyFont="1" applyAlignment="1">
      <alignment vertical="top"/>
    </xf>
    <xf numFmtId="167" fontId="0" fillId="0" borderId="0" xfId="3" applyNumberFormat="1" applyFont="1" applyAlignment="1">
      <alignment vertical="top"/>
    </xf>
    <xf numFmtId="1" fontId="0" fillId="0" borderId="0" xfId="0" applyNumberFormat="1" applyAlignment="1">
      <alignment vertical="top"/>
    </xf>
    <xf numFmtId="0" fontId="5" fillId="3" borderId="0" xfId="0" applyFont="1" applyFill="1" applyAlignment="1">
      <alignment vertical="top"/>
    </xf>
    <xf numFmtId="0" fontId="0" fillId="0" borderId="0" xfId="0" applyFont="1" applyAlignment="1">
      <alignment vertical="top"/>
    </xf>
    <xf numFmtId="0" fontId="0" fillId="0" borderId="0" xfId="0" applyFont="1" applyAlignment="1">
      <alignment vertical="top" wrapText="1"/>
    </xf>
    <xf numFmtId="0" fontId="11" fillId="0" borderId="0" xfId="0" applyFont="1" applyAlignment="1">
      <alignment horizontal="left" vertical="top"/>
    </xf>
    <xf numFmtId="0" fontId="0" fillId="0" borderId="0" xfId="0" applyFont="1" applyAlignment="1">
      <alignment horizontal="left" vertical="top" indent="1"/>
    </xf>
    <xf numFmtId="0" fontId="11" fillId="0" borderId="0" xfId="0" applyFont="1" applyAlignment="1">
      <alignment horizontal="left" vertical="top" indent="1"/>
    </xf>
    <xf numFmtId="0" fontId="11" fillId="0" borderId="0" xfId="0" applyFont="1" applyAlignment="1">
      <alignment horizontal="left" vertical="top" wrapText="1" indent="1"/>
    </xf>
    <xf numFmtId="0" fontId="11" fillId="0" borderId="0" xfId="0" applyFont="1" applyAlignment="1">
      <alignment horizontal="left" vertical="top" indent="2"/>
    </xf>
    <xf numFmtId="0" fontId="11" fillId="0" borderId="0" xfId="0" applyFont="1" applyAlignment="1">
      <alignment horizontal="left" vertical="top" wrapText="1" indent="2"/>
    </xf>
    <xf numFmtId="0" fontId="7" fillId="0" borderId="0" xfId="7" quotePrefix="1" applyBorder="1">
      <alignment horizontal="right" vertical="center" wrapText="1"/>
    </xf>
    <xf numFmtId="0" fontId="8" fillId="0" borderId="0" xfId="10" applyBorder="1">
      <alignment horizontal="right" vertical="top" wrapText="1"/>
    </xf>
    <xf numFmtId="0" fontId="9" fillId="0" borderId="2" xfId="13" applyBorder="1">
      <alignment horizontal="right" vertical="top" wrapText="1"/>
    </xf>
    <xf numFmtId="0" fontId="8" fillId="0" borderId="1" xfId="9" applyBorder="1">
      <alignment horizontal="center" vertical="top" wrapText="1"/>
    </xf>
    <xf numFmtId="0" fontId="9" fillId="0" borderId="1" xfId="13" applyBorder="1">
      <alignment horizontal="right" vertical="top" wrapText="1"/>
    </xf>
    <xf numFmtId="0" fontId="0" fillId="0" borderId="0" xfId="0" applyFont="1"/>
    <xf numFmtId="2" fontId="0" fillId="0" borderId="0" xfId="0" applyNumberFormat="1" applyAlignment="1">
      <alignment vertical="top"/>
    </xf>
    <xf numFmtId="0" fontId="6" fillId="4" borderId="0" xfId="0" applyFont="1" applyFill="1" applyAlignment="1">
      <alignment vertical="top"/>
    </xf>
    <xf numFmtId="0" fontId="6" fillId="5" borderId="0" xfId="0" applyFont="1" applyFill="1" applyAlignment="1">
      <alignment vertical="top"/>
    </xf>
    <xf numFmtId="0" fontId="17" fillId="0" borderId="7" xfId="0" applyFont="1" applyBorder="1" applyAlignment="1">
      <alignment vertical="top"/>
    </xf>
    <xf numFmtId="0" fontId="21" fillId="0" borderId="0" xfId="0" applyFont="1" applyFill="1" applyAlignment="1">
      <alignment horizontal="center" vertical="top"/>
    </xf>
    <xf numFmtId="0" fontId="3" fillId="0" borderId="0" xfId="0" applyFont="1" applyAlignment="1">
      <alignment horizontal="right" vertical="top"/>
    </xf>
    <xf numFmtId="0" fontId="0" fillId="0" borderId="0" xfId="0" applyAlignment="1">
      <alignment horizontal="right" vertical="top"/>
    </xf>
    <xf numFmtId="168" fontId="0" fillId="0" borderId="0" xfId="4" applyNumberFormat="1" applyFont="1" applyAlignment="1">
      <alignment vertical="top"/>
    </xf>
    <xf numFmtId="0" fontId="3" fillId="4" borderId="0" xfId="0" applyFont="1" applyFill="1" applyAlignment="1">
      <alignment horizontal="left" vertical="top"/>
    </xf>
    <xf numFmtId="0" fontId="3" fillId="4" borderId="0" xfId="0" applyFont="1" applyFill="1" applyAlignment="1">
      <alignment horizontal="right" vertical="top"/>
    </xf>
    <xf numFmtId="0" fontId="3" fillId="4" borderId="0" xfId="0" applyFont="1" applyFill="1" applyAlignment="1">
      <alignment vertical="top"/>
    </xf>
    <xf numFmtId="0" fontId="7" fillId="0" borderId="0" xfId="5" applyFill="1">
      <alignment horizontal="left" vertical="center" wrapText="1"/>
    </xf>
    <xf numFmtId="0" fontId="7" fillId="0" borderId="0" xfId="5">
      <alignment horizontal="left" vertical="center" wrapText="1"/>
    </xf>
    <xf numFmtId="0" fontId="8" fillId="0" borderId="0" xfId="8">
      <alignment horizontal="left" vertical="top" wrapText="1"/>
    </xf>
    <xf numFmtId="0" fontId="8" fillId="0" borderId="0" xfId="9">
      <alignment horizontal="center" vertical="top" wrapText="1"/>
    </xf>
    <xf numFmtId="168" fontId="8" fillId="0" borderId="0" xfId="10" applyNumberFormat="1">
      <alignment horizontal="right" vertical="top" wrapText="1"/>
    </xf>
    <xf numFmtId="0" fontId="2" fillId="2" borderId="5" xfId="18" applyFont="1" applyFill="1" applyBorder="1" applyAlignment="1">
      <alignment horizontal="center"/>
    </xf>
    <xf numFmtId="0" fontId="2" fillId="2" borderId="0" xfId="18" applyFont="1" applyFill="1" applyBorder="1" applyAlignment="1">
      <alignment horizontal="center"/>
    </xf>
    <xf numFmtId="0" fontId="2" fillId="0" borderId="6" xfId="18" applyFont="1" applyFill="1" applyBorder="1" applyAlignment="1">
      <alignment wrapText="1"/>
    </xf>
    <xf numFmtId="0" fontId="2" fillId="0" borderId="6" xfId="18" applyFont="1" applyFill="1" applyBorder="1" applyAlignment="1">
      <alignment horizontal="right" wrapText="1"/>
    </xf>
    <xf numFmtId="0" fontId="1" fillId="0" borderId="0" xfId="18"/>
    <xf numFmtId="168" fontId="0" fillId="0" borderId="0" xfId="0" applyNumberFormat="1"/>
    <xf numFmtId="0" fontId="0" fillId="0" borderId="0" xfId="0" applyBorder="1"/>
    <xf numFmtId="0" fontId="0" fillId="0" borderId="12" xfId="0" applyBorder="1"/>
    <xf numFmtId="0" fontId="0" fillId="0" borderId="13" xfId="0" applyFill="1" applyBorder="1"/>
    <xf numFmtId="3" fontId="0" fillId="0" borderId="0" xfId="0" applyNumberFormat="1"/>
    <xf numFmtId="0" fontId="2" fillId="2" borderId="5" xfId="19" applyFont="1" applyFill="1" applyBorder="1" applyAlignment="1">
      <alignment horizontal="center"/>
    </xf>
    <xf numFmtId="0" fontId="2" fillId="0" borderId="6" xfId="19" applyFont="1" applyFill="1" applyBorder="1" applyAlignment="1">
      <alignment wrapText="1"/>
    </xf>
    <xf numFmtId="0" fontId="2" fillId="0" borderId="6" xfId="19" applyFont="1" applyFill="1" applyBorder="1" applyAlignment="1">
      <alignment horizontal="right" wrapText="1"/>
    </xf>
    <xf numFmtId="10" fontId="0" fillId="0" borderId="14" xfId="0" applyNumberFormat="1" applyBorder="1"/>
    <xf numFmtId="3" fontId="0" fillId="0" borderId="14" xfId="0" applyNumberFormat="1" applyBorder="1"/>
    <xf numFmtId="0" fontId="0" fillId="0" borderId="14" xfId="0" applyBorder="1"/>
    <xf numFmtId="0" fontId="7" fillId="0" borderId="0" xfId="6" applyFill="1">
      <alignment horizontal="center" vertical="center" wrapText="1"/>
    </xf>
    <xf numFmtId="0" fontId="2" fillId="6" borderId="14" xfId="20" applyFont="1" applyFill="1" applyBorder="1" applyAlignment="1">
      <alignment wrapText="1"/>
    </xf>
    <xf numFmtId="0" fontId="0" fillId="7" borderId="14" xfId="0" applyFill="1" applyBorder="1"/>
    <xf numFmtId="0" fontId="2" fillId="6" borderId="14" xfId="0" applyFont="1" applyFill="1" applyBorder="1" applyAlignment="1">
      <alignment wrapText="1"/>
    </xf>
    <xf numFmtId="0" fontId="2" fillId="6" borderId="14" xfId="21" applyFont="1" applyFill="1" applyBorder="1" applyAlignment="1">
      <alignment wrapText="1"/>
    </xf>
    <xf numFmtId="0" fontId="24" fillId="0" borderId="14" xfId="22" applyFont="1" applyFill="1" applyBorder="1" applyAlignment="1" applyProtection="1">
      <alignment horizontal="left" vertical="top"/>
      <protection locked="0"/>
    </xf>
    <xf numFmtId="0" fontId="2" fillId="8" borderId="14" xfId="21" applyFont="1" applyFill="1" applyBorder="1" applyAlignment="1">
      <alignment horizontal="left"/>
    </xf>
    <xf numFmtId="0" fontId="2" fillId="2" borderId="0" xfId="18" applyFont="1" applyFill="1" applyBorder="1" applyAlignment="1">
      <alignment horizontal="center" wrapText="1"/>
    </xf>
    <xf numFmtId="0" fontId="2" fillId="7" borderId="6" xfId="21" applyFont="1" applyFill="1" applyBorder="1" applyAlignment="1">
      <alignment wrapText="1"/>
    </xf>
    <xf numFmtId="0" fontId="2" fillId="0" borderId="6" xfId="21" applyFont="1" applyFill="1" applyBorder="1" applyAlignment="1">
      <alignment wrapText="1"/>
    </xf>
    <xf numFmtId="0" fontId="0" fillId="0" borderId="14" xfId="0" applyBorder="1" applyAlignment="1">
      <alignment wrapText="1"/>
    </xf>
    <xf numFmtId="1" fontId="0" fillId="0" borderId="0" xfId="0" applyNumberFormat="1"/>
    <xf numFmtId="0" fontId="2" fillId="10" borderId="14" xfId="21" applyFont="1" applyFill="1" applyBorder="1" applyAlignment="1">
      <alignment horizontal="left"/>
    </xf>
    <xf numFmtId="0" fontId="2" fillId="11" borderId="14" xfId="21" applyFont="1" applyFill="1" applyBorder="1" applyAlignment="1">
      <alignment horizontal="left"/>
    </xf>
    <xf numFmtId="0" fontId="2" fillId="12" borderId="14" xfId="21" applyFont="1" applyFill="1" applyBorder="1" applyAlignment="1">
      <alignment horizontal="left"/>
    </xf>
    <xf numFmtId="0" fontId="0" fillId="13" borderId="14" xfId="0" applyFill="1" applyBorder="1" applyAlignment="1">
      <alignment horizontal="left"/>
    </xf>
    <xf numFmtId="0" fontId="2" fillId="14" borderId="14" xfId="21" applyFont="1" applyFill="1" applyBorder="1" applyAlignment="1">
      <alignment horizontal="left"/>
    </xf>
    <xf numFmtId="0" fontId="2" fillId="15" borderId="14" xfId="21" applyFont="1" applyFill="1" applyBorder="1" applyAlignment="1">
      <alignment horizontal="left"/>
    </xf>
    <xf numFmtId="0" fontId="0" fillId="16" borderId="14" xfId="0" applyFill="1" applyBorder="1"/>
    <xf numFmtId="0" fontId="0" fillId="17" borderId="14" xfId="0" applyFill="1" applyBorder="1"/>
    <xf numFmtId="0" fontId="0" fillId="18" borderId="14" xfId="0" applyFill="1" applyBorder="1"/>
    <xf numFmtId="0" fontId="0" fillId="19" borderId="14" xfId="0" applyFill="1" applyBorder="1"/>
    <xf numFmtId="0" fontId="0" fillId="9" borderId="14" xfId="0" applyFill="1" applyBorder="1"/>
    <xf numFmtId="0" fontId="0" fillId="20" borderId="14" xfId="0" applyFill="1" applyBorder="1"/>
    <xf numFmtId="0" fontId="0" fillId="21" borderId="14" xfId="0" applyFill="1" applyBorder="1"/>
    <xf numFmtId="0" fontId="0" fillId="22" borderId="14" xfId="0" applyFill="1" applyBorder="1"/>
    <xf numFmtId="0" fontId="0" fillId="4" borderId="14" xfId="0" applyFill="1" applyBorder="1"/>
    <xf numFmtId="0" fontId="0" fillId="23" borderId="14" xfId="0" applyFill="1" applyBorder="1"/>
    <xf numFmtId="0" fontId="0" fillId="20" borderId="15" xfId="0" applyFill="1" applyBorder="1"/>
    <xf numFmtId="0" fontId="0" fillId="24" borderId="0" xfId="0" applyFill="1" applyBorder="1"/>
    <xf numFmtId="0" fontId="2" fillId="0" borderId="14" xfId="21" applyFont="1" applyFill="1" applyBorder="1" applyAlignment="1">
      <alignment horizontal="right" wrapText="1"/>
    </xf>
    <xf numFmtId="14" fontId="0" fillId="0" borderId="14" xfId="0" applyNumberFormat="1" applyBorder="1"/>
    <xf numFmtId="9" fontId="0" fillId="0" borderId="14" xfId="0" applyNumberFormat="1" applyBorder="1"/>
    <xf numFmtId="3" fontId="0" fillId="0" borderId="14" xfId="0" applyNumberFormat="1" applyFill="1" applyBorder="1"/>
    <xf numFmtId="10" fontId="0" fillId="0" borderId="0" xfId="0" applyNumberFormat="1" applyBorder="1"/>
    <xf numFmtId="0" fontId="2" fillId="7" borderId="6" xfId="21" applyFont="1" applyFill="1" applyBorder="1" applyAlignment="1">
      <alignment horizontal="right" wrapText="1"/>
    </xf>
    <xf numFmtId="164" fontId="2" fillId="7" borderId="6" xfId="21" applyNumberFormat="1" applyFont="1" applyFill="1" applyBorder="1" applyAlignment="1">
      <alignment horizontal="right" wrapText="1"/>
    </xf>
    <xf numFmtId="0" fontId="0" fillId="7" borderId="0" xfId="0" applyFill="1" applyBorder="1"/>
    <xf numFmtId="0" fontId="1" fillId="7" borderId="0" xfId="0" applyFont="1" applyFill="1" applyBorder="1" applyAlignment="1"/>
    <xf numFmtId="0" fontId="2" fillId="7" borderId="6" xfId="21" applyNumberFormat="1" applyFont="1" applyFill="1" applyBorder="1" applyAlignment="1">
      <alignment horizontal="right" wrapText="1"/>
    </xf>
    <xf numFmtId="14" fontId="0" fillId="7" borderId="14" xfId="0" applyNumberFormat="1" applyFill="1" applyBorder="1"/>
    <xf numFmtId="9" fontId="0" fillId="7" borderId="14" xfId="0" applyNumberFormat="1" applyFill="1" applyBorder="1"/>
    <xf numFmtId="10" fontId="0" fillId="7" borderId="14" xfId="0" applyNumberFormat="1" applyFill="1" applyBorder="1"/>
    <xf numFmtId="3" fontId="0" fillId="7" borderId="14" xfId="0" applyNumberFormat="1" applyFill="1" applyBorder="1"/>
    <xf numFmtId="0" fontId="2" fillId="0" borderId="6" xfId="21" applyFont="1" applyFill="1" applyBorder="1" applyAlignment="1">
      <alignment horizontal="right" wrapText="1"/>
    </xf>
    <xf numFmtId="164" fontId="2" fillId="0" borderId="6" xfId="21" applyNumberFormat="1" applyFont="1" applyFill="1" applyBorder="1" applyAlignment="1">
      <alignment horizontal="right" wrapText="1"/>
    </xf>
    <xf numFmtId="0" fontId="2" fillId="0" borderId="6" xfId="21" applyNumberFormat="1" applyFont="1" applyFill="1" applyBorder="1" applyAlignment="1">
      <alignment horizontal="right" wrapText="1"/>
    </xf>
    <xf numFmtId="0" fontId="1" fillId="7" borderId="0" xfId="0" applyNumberFormat="1" applyFont="1" applyFill="1" applyBorder="1" applyAlignment="1"/>
    <xf numFmtId="0" fontId="0" fillId="0" borderId="14" xfId="0" applyNumberFormat="1" applyBorder="1"/>
    <xf numFmtId="0" fontId="2" fillId="6" borderId="14" xfId="21" applyFont="1" applyFill="1" applyBorder="1" applyAlignment="1">
      <alignment horizontal="right" wrapText="1"/>
    </xf>
    <xf numFmtId="0" fontId="2" fillId="25" borderId="14" xfId="21" applyFont="1" applyFill="1" applyBorder="1" applyAlignment="1">
      <alignment wrapText="1"/>
    </xf>
    <xf numFmtId="164" fontId="2" fillId="6" borderId="14" xfId="21" applyNumberFormat="1" applyFont="1" applyFill="1" applyBorder="1" applyAlignment="1">
      <alignment horizontal="right" wrapText="1"/>
    </xf>
    <xf numFmtId="0" fontId="1" fillId="6" borderId="14" xfId="21" applyFill="1" applyBorder="1"/>
    <xf numFmtId="169" fontId="0" fillId="0" borderId="14" xfId="0" applyNumberFormat="1" applyBorder="1"/>
    <xf numFmtId="170" fontId="0" fillId="0" borderId="14" xfId="0" applyNumberFormat="1" applyBorder="1"/>
    <xf numFmtId="0" fontId="2" fillId="6" borderId="14" xfId="20" applyFont="1" applyFill="1" applyBorder="1" applyAlignment="1">
      <alignment horizontal="right" wrapText="1"/>
    </xf>
    <xf numFmtId="0" fontId="2" fillId="25" borderId="14" xfId="20" applyFont="1" applyFill="1" applyBorder="1" applyAlignment="1">
      <alignment wrapText="1"/>
    </xf>
    <xf numFmtId="164" fontId="2" fillId="6" borderId="14" xfId="20" applyNumberFormat="1" applyFont="1" applyFill="1" applyBorder="1" applyAlignment="1">
      <alignment horizontal="right" wrapText="1"/>
    </xf>
    <xf numFmtId="0" fontId="1" fillId="6" borderId="14" xfId="20" applyFill="1" applyBorder="1"/>
    <xf numFmtId="14" fontId="24" fillId="0" borderId="14" xfId="16" applyNumberFormat="1" applyFont="1" applyBorder="1" applyAlignment="1" applyProtection="1">
      <alignment horizontal="left" vertical="top"/>
      <protection locked="0"/>
    </xf>
    <xf numFmtId="9" fontId="0" fillId="0" borderId="0" xfId="0" applyNumberFormat="1"/>
    <xf numFmtId="14" fontId="24" fillId="0" borderId="14" xfId="22" applyNumberFormat="1" applyFont="1" applyBorder="1" applyAlignment="1" applyProtection="1">
      <alignment horizontal="left" vertical="top"/>
      <protection locked="0"/>
    </xf>
    <xf numFmtId="1" fontId="24" fillId="0" borderId="14" xfId="22" applyNumberFormat="1" applyFont="1" applyBorder="1" applyAlignment="1" applyProtection="1">
      <alignment horizontal="left" vertical="top"/>
      <protection locked="0"/>
    </xf>
    <xf numFmtId="0" fontId="0" fillId="0" borderId="14" xfId="0" applyFill="1" applyBorder="1"/>
    <xf numFmtId="10" fontId="0" fillId="0" borderId="14" xfId="0" applyNumberFormat="1" applyFill="1" applyBorder="1"/>
    <xf numFmtId="169" fontId="0" fillId="0" borderId="14" xfId="0" applyNumberFormat="1" applyFill="1" applyBorder="1"/>
    <xf numFmtId="14" fontId="0" fillId="0" borderId="14" xfId="0" applyNumberFormat="1" applyFill="1" applyBorder="1"/>
    <xf numFmtId="14" fontId="0" fillId="0" borderId="0" xfId="0" applyNumberFormat="1"/>
    <xf numFmtId="0" fontId="0" fillId="0" borderId="16" xfId="0" applyFill="1" applyBorder="1"/>
    <xf numFmtId="10" fontId="0" fillId="0" borderId="0" xfId="0" applyNumberFormat="1"/>
    <xf numFmtId="0" fontId="0" fillId="0" borderId="14" xfId="0" applyFont="1" applyFill="1" applyBorder="1"/>
    <xf numFmtId="0" fontId="13" fillId="7" borderId="14" xfId="0" applyFont="1" applyFill="1" applyBorder="1"/>
    <xf numFmtId="0" fontId="2" fillId="6" borderId="14" xfId="0" applyFont="1" applyFill="1" applyBorder="1" applyAlignment="1">
      <alignment horizontal="right" wrapText="1"/>
    </xf>
    <xf numFmtId="0" fontId="2" fillId="25" borderId="14" xfId="0" applyFont="1" applyFill="1" applyBorder="1" applyAlignment="1">
      <alignment wrapText="1"/>
    </xf>
    <xf numFmtId="164" fontId="2" fillId="6" borderId="14" xfId="0" applyNumberFormat="1" applyFont="1" applyFill="1" applyBorder="1" applyAlignment="1">
      <alignment horizontal="right" wrapText="1"/>
    </xf>
    <xf numFmtId="0" fontId="1" fillId="6" borderId="14" xfId="0" applyFont="1" applyFill="1" applyBorder="1"/>
    <xf numFmtId="0" fontId="2" fillId="0" borderId="6" xfId="23" applyFont="1" applyFill="1" applyBorder="1" applyAlignment="1">
      <alignment wrapText="1"/>
    </xf>
    <xf numFmtId="0" fontId="2" fillId="0" borderId="6" xfId="23" applyFont="1" applyFill="1" applyBorder="1" applyAlignment="1">
      <alignment horizontal="right" wrapText="1"/>
    </xf>
    <xf numFmtId="1" fontId="2" fillId="0" borderId="6" xfId="23" applyNumberFormat="1" applyFont="1" applyFill="1" applyBorder="1" applyAlignment="1">
      <alignment horizontal="right" wrapText="1"/>
    </xf>
    <xf numFmtId="1" fontId="1" fillId="0" borderId="0" xfId="23" applyNumberFormat="1"/>
    <xf numFmtId="0" fontId="2" fillId="2" borderId="5" xfId="23" applyFont="1" applyFill="1" applyBorder="1" applyAlignment="1">
      <alignment horizontal="center" wrapText="1"/>
    </xf>
    <xf numFmtId="0" fontId="7" fillId="0" borderId="0" xfId="6">
      <alignment horizontal="center" vertical="center" wrapText="1"/>
    </xf>
    <xf numFmtId="1" fontId="8" fillId="0" borderId="0" xfId="9" applyNumberFormat="1">
      <alignment horizontal="center" vertical="top" wrapText="1"/>
    </xf>
    <xf numFmtId="1" fontId="8" fillId="0" borderId="0" xfId="10" applyNumberFormat="1">
      <alignment horizontal="right" vertical="top" wrapText="1"/>
    </xf>
    <xf numFmtId="0" fontId="2" fillId="2" borderId="5" xfId="24" applyFont="1" applyFill="1" applyBorder="1" applyAlignment="1">
      <alignment horizontal="center"/>
    </xf>
    <xf numFmtId="0" fontId="2" fillId="0" borderId="6" xfId="24" applyFont="1" applyFill="1" applyBorder="1" applyAlignment="1">
      <alignment wrapText="1"/>
    </xf>
    <xf numFmtId="0" fontId="2" fillId="0" borderId="6" xfId="24" applyFont="1" applyFill="1" applyBorder="1" applyAlignment="1">
      <alignment horizontal="right" wrapText="1"/>
    </xf>
    <xf numFmtId="9" fontId="8" fillId="0" borderId="0" xfId="10" applyNumberFormat="1">
      <alignment horizontal="right" vertical="top" wrapText="1"/>
    </xf>
    <xf numFmtId="3" fontId="0" fillId="0" borderId="0" xfId="0" applyNumberFormat="1" applyAlignment="1">
      <alignment vertical="top"/>
    </xf>
    <xf numFmtId="0" fontId="0" fillId="7" borderId="0" xfId="0" applyFill="1" applyAlignment="1">
      <alignment vertical="top"/>
    </xf>
    <xf numFmtId="3" fontId="0" fillId="7" borderId="0" xfId="0" applyNumberFormat="1" applyFill="1" applyAlignment="1">
      <alignment vertical="top"/>
    </xf>
    <xf numFmtId="0" fontId="25" fillId="2" borderId="5" xfId="25" applyFont="1" applyFill="1" applyBorder="1" applyAlignment="1">
      <alignment horizontal="center"/>
    </xf>
    <xf numFmtId="0" fontId="25" fillId="0" borderId="6" xfId="25" applyFont="1" applyFill="1" applyBorder="1" applyAlignment="1">
      <alignment horizontal="right" wrapText="1"/>
    </xf>
    <xf numFmtId="0" fontId="2" fillId="20" borderId="14" xfId="21" applyFont="1" applyFill="1" applyBorder="1" applyAlignment="1">
      <alignment wrapText="1"/>
    </xf>
    <xf numFmtId="0" fontId="2" fillId="20" borderId="14" xfId="21" applyFont="1" applyFill="1" applyBorder="1" applyAlignment="1">
      <alignment horizontal="right" wrapText="1"/>
    </xf>
    <xf numFmtId="164" fontId="2" fillId="20" borderId="14" xfId="21" applyNumberFormat="1" applyFont="1" applyFill="1" applyBorder="1" applyAlignment="1">
      <alignment horizontal="right" wrapText="1"/>
    </xf>
    <xf numFmtId="0" fontId="1" fillId="20" borderId="14" xfId="21" applyFill="1" applyBorder="1"/>
    <xf numFmtId="10" fontId="2" fillId="20" borderId="14" xfId="21" applyNumberFormat="1" applyFont="1" applyFill="1" applyBorder="1" applyAlignment="1">
      <alignment horizontal="right" wrapText="1"/>
    </xf>
    <xf numFmtId="14" fontId="0" fillId="20" borderId="14" xfId="0" applyNumberFormat="1" applyFill="1" applyBorder="1"/>
    <xf numFmtId="9" fontId="0" fillId="20" borderId="14" xfId="0" applyNumberFormat="1" applyFill="1" applyBorder="1"/>
    <xf numFmtId="10" fontId="0" fillId="20" borderId="14" xfId="0" applyNumberFormat="1" applyFill="1" applyBorder="1"/>
    <xf numFmtId="3" fontId="0" fillId="20" borderId="14" xfId="0" applyNumberFormat="1" applyFill="1" applyBorder="1"/>
    <xf numFmtId="0" fontId="0" fillId="20" borderId="0" xfId="0" applyFill="1"/>
    <xf numFmtId="0" fontId="2" fillId="26" borderId="14" xfId="21" applyFont="1" applyFill="1" applyBorder="1" applyAlignment="1">
      <alignment wrapText="1"/>
    </xf>
    <xf numFmtId="0" fontId="2" fillId="26" borderId="14" xfId="21" applyFont="1" applyFill="1" applyBorder="1" applyAlignment="1">
      <alignment horizontal="right" wrapText="1"/>
    </xf>
    <xf numFmtId="164" fontId="2" fillId="26" borderId="14" xfId="21" applyNumberFormat="1" applyFont="1" applyFill="1" applyBorder="1" applyAlignment="1">
      <alignment horizontal="right" wrapText="1"/>
    </xf>
    <xf numFmtId="0" fontId="1" fillId="26" borderId="14" xfId="21" applyFill="1" applyBorder="1"/>
    <xf numFmtId="10" fontId="2" fillId="26" borderId="14" xfId="21" applyNumberFormat="1" applyFont="1" applyFill="1" applyBorder="1" applyAlignment="1">
      <alignment horizontal="right" wrapText="1"/>
    </xf>
    <xf numFmtId="0" fontId="0" fillId="26" borderId="14" xfId="0" applyFill="1" applyBorder="1"/>
    <xf numFmtId="14" fontId="0" fillId="26" borderId="14" xfId="0" applyNumberFormat="1" applyFill="1" applyBorder="1"/>
    <xf numFmtId="9" fontId="0" fillId="26" borderId="14" xfId="0" applyNumberFormat="1" applyFill="1" applyBorder="1"/>
    <xf numFmtId="10" fontId="0" fillId="26" borderId="14" xfId="0" applyNumberFormat="1" applyFill="1" applyBorder="1"/>
    <xf numFmtId="3" fontId="0" fillId="26" borderId="14" xfId="0" applyNumberFormat="1" applyFill="1" applyBorder="1"/>
    <xf numFmtId="0" fontId="0" fillId="26" borderId="0" xfId="0" applyFill="1"/>
    <xf numFmtId="6" fontId="0" fillId="26" borderId="14" xfId="0" applyNumberFormat="1" applyFill="1" applyBorder="1"/>
    <xf numFmtId="0" fontId="0" fillId="26" borderId="14" xfId="0" applyNumberFormat="1" applyFill="1" applyBorder="1"/>
    <xf numFmtId="10" fontId="0" fillId="20" borderId="0" xfId="0" applyNumberFormat="1" applyFill="1" applyBorder="1"/>
    <xf numFmtId="0" fontId="2" fillId="26" borderId="6" xfId="21" applyFont="1" applyFill="1" applyBorder="1" applyAlignment="1">
      <alignment wrapText="1"/>
    </xf>
    <xf numFmtId="0" fontId="2" fillId="26" borderId="6" xfId="21" applyFont="1" applyFill="1" applyBorder="1" applyAlignment="1">
      <alignment horizontal="right" wrapText="1"/>
    </xf>
    <xf numFmtId="164" fontId="2" fillId="26" borderId="6" xfId="21" applyNumberFormat="1" applyFont="1" applyFill="1" applyBorder="1" applyAlignment="1">
      <alignment horizontal="right" wrapText="1"/>
    </xf>
    <xf numFmtId="0" fontId="0" fillId="26" borderId="0" xfId="0" applyFill="1" applyBorder="1"/>
    <xf numFmtId="0" fontId="2" fillId="26" borderId="6" xfId="21" applyNumberFormat="1" applyFont="1" applyFill="1" applyBorder="1" applyAlignment="1">
      <alignment horizontal="right" wrapText="1"/>
    </xf>
    <xf numFmtId="0" fontId="0" fillId="26" borderId="0" xfId="0" applyNumberFormat="1" applyFill="1" applyBorder="1"/>
    <xf numFmtId="0" fontId="2" fillId="26" borderId="14" xfId="20" applyFont="1" applyFill="1" applyBorder="1" applyAlignment="1">
      <alignment wrapText="1"/>
    </xf>
    <xf numFmtId="0" fontId="2" fillId="26" borderId="14" xfId="20" applyFont="1" applyFill="1" applyBorder="1" applyAlignment="1">
      <alignment horizontal="right" wrapText="1"/>
    </xf>
    <xf numFmtId="164" fontId="2" fillId="26" borderId="14" xfId="20" applyNumberFormat="1" applyFont="1" applyFill="1" applyBorder="1" applyAlignment="1">
      <alignment horizontal="right" wrapText="1"/>
    </xf>
    <xf numFmtId="0" fontId="1" fillId="26" borderId="14" xfId="20" applyFill="1" applyBorder="1"/>
    <xf numFmtId="169" fontId="0" fillId="26" borderId="14" xfId="0" applyNumberFormat="1" applyFill="1" applyBorder="1"/>
    <xf numFmtId="170" fontId="0" fillId="26" borderId="14" xfId="0" applyNumberFormat="1" applyFill="1" applyBorder="1"/>
    <xf numFmtId="1" fontId="0" fillId="26" borderId="0" xfId="0" applyNumberFormat="1" applyFill="1"/>
    <xf numFmtId="0" fontId="25" fillId="26" borderId="6" xfId="25" applyFont="1" applyFill="1" applyBorder="1" applyAlignment="1">
      <alignment horizontal="right" wrapText="1"/>
    </xf>
    <xf numFmtId="0" fontId="2" fillId="26" borderId="14" xfId="0" applyFont="1" applyFill="1" applyBorder="1" applyAlignment="1">
      <alignment wrapText="1"/>
    </xf>
    <xf numFmtId="0" fontId="2" fillId="26" borderId="14" xfId="0" applyFont="1" applyFill="1" applyBorder="1" applyAlignment="1">
      <alignment horizontal="right" wrapText="1"/>
    </xf>
    <xf numFmtId="164" fontId="2" fillId="26" borderId="14" xfId="0" applyNumberFormat="1" applyFont="1" applyFill="1" applyBorder="1" applyAlignment="1">
      <alignment horizontal="right" wrapText="1"/>
    </xf>
    <xf numFmtId="0" fontId="1" fillId="26" borderId="14" xfId="0" applyFont="1" applyFill="1" applyBorder="1"/>
    <xf numFmtId="3" fontId="0" fillId="0" borderId="16" xfId="0" applyNumberFormat="1" applyFill="1" applyBorder="1"/>
    <xf numFmtId="2" fontId="0" fillId="0" borderId="0" xfId="4" applyNumberFormat="1" applyFont="1" applyAlignment="1">
      <alignment vertical="top"/>
    </xf>
    <xf numFmtId="0" fontId="2" fillId="0" borderId="5" xfId="24" applyFont="1" applyFill="1" applyBorder="1" applyAlignment="1"/>
    <xf numFmtId="0" fontId="2" fillId="0" borderId="5" xfId="19" applyFont="1" applyFill="1" applyBorder="1" applyAlignment="1"/>
    <xf numFmtId="0" fontId="0" fillId="0" borderId="0" xfId="0" applyFill="1" applyAlignment="1"/>
    <xf numFmtId="0" fontId="2" fillId="2" borderId="5" xfId="26" applyFont="1" applyFill="1" applyBorder="1" applyAlignment="1">
      <alignment horizontal="center"/>
    </xf>
    <xf numFmtId="0" fontId="2" fillId="0" borderId="6" xfId="26" applyFont="1" applyFill="1" applyBorder="1" applyAlignment="1">
      <alignment wrapText="1"/>
    </xf>
    <xf numFmtId="0" fontId="2" fillId="2" borderId="5" xfId="26" applyFont="1" applyFill="1" applyBorder="1" applyAlignment="1">
      <alignment horizontal="center" wrapText="1"/>
    </xf>
    <xf numFmtId="0" fontId="2" fillId="0" borderId="6" xfId="26" applyFont="1" applyFill="1" applyBorder="1" applyAlignment="1"/>
    <xf numFmtId="0" fontId="2" fillId="0" borderId="6" xfId="26" applyFont="1" applyFill="1" applyBorder="1" applyAlignment="1">
      <alignment horizontal="right"/>
    </xf>
    <xf numFmtId="166" fontId="8" fillId="0" borderId="0" xfId="8" applyNumberFormat="1">
      <alignment horizontal="left" vertical="top" wrapText="1"/>
    </xf>
    <xf numFmtId="166" fontId="8" fillId="0" borderId="0" xfId="9" applyNumberFormat="1">
      <alignment horizontal="center" vertical="top" wrapText="1"/>
    </xf>
    <xf numFmtId="9" fontId="8" fillId="0" borderId="0" xfId="9" applyNumberFormat="1">
      <alignment horizontal="center" vertical="top" wrapText="1"/>
    </xf>
    <xf numFmtId="0" fontId="2" fillId="0" borderId="5" xfId="24" applyFont="1" applyFill="1" applyBorder="1" applyAlignment="1">
      <alignment wrapText="1"/>
    </xf>
    <xf numFmtId="0" fontId="2" fillId="0" borderId="5" xfId="19" applyFont="1" applyFill="1" applyBorder="1" applyAlignment="1">
      <alignment wrapText="1"/>
    </xf>
    <xf numFmtId="0" fontId="2" fillId="2" borderId="5" xfId="19" applyFont="1" applyFill="1" applyBorder="1" applyAlignment="1">
      <alignment horizontal="center" wrapText="1"/>
    </xf>
    <xf numFmtId="0" fontId="0" fillId="0" borderId="0" xfId="0" applyFill="1" applyAlignment="1">
      <alignment wrapText="1"/>
    </xf>
    <xf numFmtId="0" fontId="2" fillId="2" borderId="5" xfId="24" applyFont="1" applyFill="1" applyBorder="1" applyAlignment="1">
      <alignment horizontal="center" wrapText="1"/>
    </xf>
    <xf numFmtId="168" fontId="0" fillId="0" borderId="0" xfId="0" applyNumberFormat="1" applyAlignment="1">
      <alignment vertical="top"/>
    </xf>
    <xf numFmtId="168" fontId="2" fillId="0" borderId="6" xfId="26" applyNumberFormat="1" applyFont="1" applyFill="1" applyBorder="1" applyAlignment="1"/>
    <xf numFmtId="0" fontId="2" fillId="2" borderId="5" xfId="27" applyFont="1" applyFill="1" applyBorder="1" applyAlignment="1">
      <alignment horizontal="center"/>
    </xf>
    <xf numFmtId="0" fontId="2" fillId="0" borderId="6" xfId="27" applyFont="1" applyFill="1" applyBorder="1" applyAlignment="1"/>
    <xf numFmtId="0" fontId="2" fillId="0" borderId="6" xfId="27" applyFont="1" applyFill="1" applyBorder="1" applyAlignment="1">
      <alignment horizontal="right"/>
    </xf>
    <xf numFmtId="0" fontId="1" fillId="0" borderId="0" xfId="27" applyAlignment="1"/>
    <xf numFmtId="0" fontId="2" fillId="2" borderId="5" xfId="28" applyFont="1" applyFill="1" applyBorder="1" applyAlignment="1">
      <alignment horizontal="center"/>
    </xf>
    <xf numFmtId="0" fontId="2" fillId="0" borderId="6" xfId="28" applyFont="1" applyFill="1" applyBorder="1" applyAlignment="1">
      <alignment wrapText="1"/>
    </xf>
    <xf numFmtId="0" fontId="2" fillId="0" borderId="6" xfId="28" applyFont="1" applyFill="1" applyBorder="1" applyAlignment="1">
      <alignment horizontal="right" wrapText="1"/>
    </xf>
    <xf numFmtId="0" fontId="2" fillId="0" borderId="6" xfId="28" applyFont="1" applyFill="1" applyBorder="1" applyAlignment="1"/>
    <xf numFmtId="0" fontId="2" fillId="0" borderId="6" xfId="28" applyFont="1" applyFill="1" applyBorder="1" applyAlignment="1">
      <alignment horizontal="right"/>
    </xf>
    <xf numFmtId="4" fontId="2" fillId="0" borderId="6" xfId="28" applyNumberFormat="1" applyFont="1" applyFill="1" applyBorder="1" applyAlignment="1">
      <alignment horizontal="right" wrapText="1"/>
    </xf>
    <xf numFmtId="0" fontId="2" fillId="0" borderId="6" xfId="29" applyFont="1" applyFill="1" applyBorder="1" applyAlignment="1"/>
    <xf numFmtId="0" fontId="0" fillId="0" borderId="0" xfId="0" applyAlignment="1"/>
    <xf numFmtId="0" fontId="2" fillId="0" borderId="6" xfId="29" applyFont="1" applyFill="1" applyBorder="1" applyAlignment="1">
      <alignment horizontal="right"/>
    </xf>
    <xf numFmtId="0" fontId="2" fillId="0" borderId="6" xfId="30" applyFont="1" applyFill="1" applyBorder="1" applyAlignment="1"/>
    <xf numFmtId="0" fontId="2" fillId="0" borderId="6" xfId="30" applyFont="1" applyFill="1" applyBorder="1" applyAlignment="1">
      <alignment horizontal="right"/>
    </xf>
    <xf numFmtId="0" fontId="1" fillId="0" borderId="0" xfId="30" applyAlignment="1"/>
    <xf numFmtId="4" fontId="2" fillId="0" borderId="6" xfId="30" applyNumberFormat="1" applyFont="1" applyFill="1" applyBorder="1" applyAlignment="1">
      <alignment horizontal="right"/>
    </xf>
    <xf numFmtId="3" fontId="0" fillId="0" borderId="0" xfId="4" applyNumberFormat="1" applyFont="1" applyAlignment="1">
      <alignment vertical="top"/>
    </xf>
    <xf numFmtId="0" fontId="2" fillId="2" borderId="5" xfId="30" applyFont="1" applyFill="1" applyBorder="1" applyAlignment="1">
      <alignment horizontal="center" wrapText="1"/>
    </xf>
    <xf numFmtId="3" fontId="2" fillId="0" borderId="6" xfId="30" applyNumberFormat="1" applyFont="1" applyFill="1" applyBorder="1" applyAlignment="1">
      <alignment horizontal="right"/>
    </xf>
    <xf numFmtId="4" fontId="2" fillId="0" borderId="17" xfId="28" applyNumberFormat="1" applyFont="1" applyFill="1" applyBorder="1" applyAlignment="1">
      <alignment horizontal="right" wrapText="1"/>
    </xf>
    <xf numFmtId="9" fontId="0" fillId="0" borderId="0" xfId="4" applyNumberFormat="1" applyFont="1" applyAlignment="1">
      <alignment vertical="top"/>
    </xf>
    <xf numFmtId="0" fontId="2" fillId="2" borderId="5" xfId="31" applyFont="1" applyFill="1" applyBorder="1" applyAlignment="1">
      <alignment horizontal="center"/>
    </xf>
    <xf numFmtId="0" fontId="2" fillId="0" borderId="6" xfId="31" applyFont="1" applyFill="1" applyBorder="1" applyAlignment="1">
      <alignment wrapText="1"/>
    </xf>
    <xf numFmtId="0" fontId="2" fillId="0" borderId="6" xfId="31" applyFont="1" applyFill="1" applyBorder="1" applyAlignment="1">
      <alignment horizontal="right" wrapText="1"/>
    </xf>
    <xf numFmtId="3" fontId="2" fillId="0" borderId="6" xfId="31" applyNumberFormat="1" applyFont="1" applyFill="1" applyBorder="1" applyAlignment="1">
      <alignment horizontal="right" wrapText="1"/>
    </xf>
    <xf numFmtId="0" fontId="1" fillId="0" borderId="0" xfId="31"/>
    <xf numFmtId="0" fontId="2" fillId="2" borderId="18" xfId="31" applyFont="1" applyFill="1" applyBorder="1" applyAlignment="1">
      <alignment horizontal="center"/>
    </xf>
    <xf numFmtId="9" fontId="2" fillId="0" borderId="6" xfId="24" applyNumberFormat="1" applyFont="1" applyFill="1" applyBorder="1" applyAlignment="1">
      <alignment wrapText="1"/>
    </xf>
    <xf numFmtId="0" fontId="2" fillId="0" borderId="6" xfId="26" applyFont="1" applyFill="1" applyBorder="1" applyAlignment="1">
      <alignment horizontal="right" wrapText="1"/>
    </xf>
    <xf numFmtId="10" fontId="2" fillId="0" borderId="6" xfId="27" applyNumberFormat="1" applyFont="1" applyFill="1" applyBorder="1" applyAlignment="1">
      <alignment wrapText="1"/>
    </xf>
    <xf numFmtId="9" fontId="0" fillId="0" borderId="0" xfId="0" applyNumberFormat="1" applyAlignment="1">
      <alignment wrapText="1"/>
    </xf>
    <xf numFmtId="9" fontId="8" fillId="0" borderId="6" xfId="9" applyNumberFormat="1" applyFill="1" applyBorder="1">
      <alignment horizontal="center" vertical="top" wrapText="1"/>
    </xf>
    <xf numFmtId="0" fontId="2" fillId="0" borderId="6" xfId="32" applyFont="1" applyFill="1" applyBorder="1" applyAlignment="1">
      <alignment wrapText="1"/>
    </xf>
    <xf numFmtId="0" fontId="1" fillId="0" borderId="0" xfId="32"/>
    <xf numFmtId="0" fontId="2" fillId="0" borderId="6" xfId="32" applyFont="1" applyFill="1" applyBorder="1" applyAlignment="1">
      <alignment horizontal="right" wrapText="1"/>
    </xf>
    <xf numFmtId="3" fontId="2" fillId="0" borderId="6" xfId="32" applyNumberFormat="1" applyFont="1" applyFill="1" applyBorder="1" applyAlignment="1">
      <alignment horizontal="right" wrapText="1"/>
    </xf>
    <xf numFmtId="3" fontId="1" fillId="0" borderId="0" xfId="32" applyNumberFormat="1"/>
    <xf numFmtId="3" fontId="8" fillId="0" borderId="0" xfId="9" applyNumberFormat="1">
      <alignment horizontal="center" vertical="top" wrapText="1"/>
    </xf>
    <xf numFmtId="168" fontId="8" fillId="0" borderId="0" xfId="9" applyNumberFormat="1">
      <alignment horizontal="center" vertical="top" wrapText="1"/>
    </xf>
    <xf numFmtId="0" fontId="0" fillId="0" borderId="11" xfId="0" applyBorder="1" applyAlignment="1">
      <alignment vertical="top" wrapText="1"/>
    </xf>
    <xf numFmtId="171" fontId="0" fillId="0" borderId="0" xfId="0" applyNumberFormat="1" applyAlignment="1">
      <alignment vertical="top"/>
    </xf>
    <xf numFmtId="9" fontId="0" fillId="0" borderId="0" xfId="4" applyFont="1"/>
    <xf numFmtId="172" fontId="0" fillId="0" borderId="0" xfId="3" applyNumberFormat="1" applyFont="1" applyAlignment="1">
      <alignment vertical="top"/>
    </xf>
    <xf numFmtId="0" fontId="27" fillId="2" borderId="5" xfId="33" applyFont="1" applyFill="1" applyBorder="1" applyAlignment="1">
      <alignment horizontal="center"/>
    </xf>
    <xf numFmtId="0" fontId="27" fillId="0" borderId="6" xfId="33" applyFont="1" applyFill="1" applyBorder="1" applyAlignment="1">
      <alignment wrapText="1"/>
    </xf>
    <xf numFmtId="0" fontId="27" fillId="0" borderId="6" xfId="33" applyFont="1" applyFill="1" applyBorder="1" applyAlignment="1">
      <alignment horizontal="right" wrapText="1"/>
    </xf>
    <xf numFmtId="0" fontId="28" fillId="0" borderId="0" xfId="33"/>
    <xf numFmtId="0" fontId="0" fillId="0" borderId="0" xfId="0" applyBorder="1" applyAlignment="1">
      <alignment vertical="top" wrapText="1"/>
    </xf>
    <xf numFmtId="0" fontId="2" fillId="2" borderId="5" xfId="30" applyFont="1" applyFill="1" applyBorder="1" applyAlignment="1">
      <alignment horizontal="center"/>
    </xf>
    <xf numFmtId="0" fontId="2" fillId="0" borderId="6" xfId="30" applyFont="1" applyFill="1" applyBorder="1" applyAlignment="1">
      <alignment wrapText="1"/>
    </xf>
    <xf numFmtId="4" fontId="2" fillId="0" borderId="6" xfId="30" applyNumberFormat="1" applyFont="1" applyFill="1" applyBorder="1" applyAlignment="1">
      <alignment horizontal="right" wrapText="1"/>
    </xf>
    <xf numFmtId="3" fontId="2" fillId="0" borderId="6" xfId="30" applyNumberFormat="1" applyFont="1" applyFill="1" applyBorder="1" applyAlignment="1">
      <alignment horizontal="right" wrapText="1"/>
    </xf>
    <xf numFmtId="14" fontId="2" fillId="0" borderId="6" xfId="30" applyNumberFormat="1" applyFont="1" applyFill="1" applyBorder="1" applyAlignment="1">
      <alignment horizontal="right" wrapText="1"/>
    </xf>
    <xf numFmtId="0" fontId="2" fillId="0" borderId="6" xfId="30" applyFont="1" applyFill="1" applyBorder="1" applyAlignment="1">
      <alignment horizontal="right" wrapText="1"/>
    </xf>
    <xf numFmtId="0" fontId="0" fillId="0" borderId="0" xfId="0" applyAlignment="1">
      <alignment horizontal="left" vertical="top" wrapText="1"/>
    </xf>
    <xf numFmtId="0" fontId="7" fillId="0" borderId="9" xfId="6" applyBorder="1">
      <alignment horizontal="center" vertical="center" wrapText="1"/>
    </xf>
    <xf numFmtId="0" fontId="7" fillId="0" borderId="0" xfId="6" applyBorder="1">
      <alignment horizontal="center" vertical="center" wrapText="1"/>
    </xf>
    <xf numFmtId="0" fontId="29" fillId="0" borderId="0" xfId="34"/>
    <xf numFmtId="0" fontId="0" fillId="0" borderId="0" xfId="0" applyBorder="1" applyAlignment="1">
      <alignment horizontal="left" vertical="top" wrapText="1"/>
    </xf>
    <xf numFmtId="0" fontId="0" fillId="0" borderId="0" xfId="0" applyNumberFormat="1" applyAlignment="1">
      <alignment vertical="top" wrapText="1"/>
    </xf>
    <xf numFmtId="0" fontId="30" fillId="0" borderId="0" xfId="0" applyFont="1" applyAlignment="1">
      <alignment vertical="top" wrapText="1"/>
    </xf>
    <xf numFmtId="0" fontId="11" fillId="0" borderId="0" xfId="0" applyFont="1" applyAlignment="1">
      <alignment horizontal="justify"/>
    </xf>
    <xf numFmtId="0" fontId="8" fillId="0" borderId="0" xfId="8" applyFill="1" applyBorder="1" applyAlignment="1">
      <alignment horizontal="left" vertical="top" wrapText="1"/>
    </xf>
    <xf numFmtId="0" fontId="31" fillId="0" borderId="0" xfId="0" applyFont="1" applyAlignment="1">
      <alignment vertical="top" wrapText="1"/>
    </xf>
    <xf numFmtId="0" fontId="0" fillId="0" borderId="0" xfId="0" applyFont="1" applyAlignment="1">
      <alignment wrapText="1"/>
    </xf>
    <xf numFmtId="0" fontId="7" fillId="0" borderId="8" xfId="6" applyBorder="1">
      <alignment horizontal="center" vertical="center" wrapText="1"/>
    </xf>
    <xf numFmtId="0" fontId="7" fillId="0" borderId="11" xfId="6" applyBorder="1">
      <alignment horizontal="center" vertical="center" wrapText="1"/>
    </xf>
    <xf numFmtId="0" fontId="0" fillId="0" borderId="11" xfId="0" applyBorder="1"/>
    <xf numFmtId="173" fontId="0" fillId="0" borderId="0" xfId="35" applyNumberFormat="1" applyFont="1" applyBorder="1"/>
    <xf numFmtId="173" fontId="0" fillId="0" borderId="2" xfId="35" applyNumberFormat="1" applyFont="1" applyBorder="1"/>
    <xf numFmtId="44" fontId="0" fillId="0" borderId="0" xfId="0" applyNumberFormat="1"/>
    <xf numFmtId="0" fontId="0" fillId="0" borderId="4" xfId="0" applyBorder="1"/>
    <xf numFmtId="173" fontId="0" fillId="0" borderId="1" xfId="35" applyNumberFormat="1" applyFont="1" applyBorder="1"/>
    <xf numFmtId="173" fontId="0" fillId="0" borderId="3" xfId="35" applyNumberFormat="1" applyFont="1" applyBorder="1"/>
    <xf numFmtId="173" fontId="0" fillId="0" borderId="0" xfId="0" applyNumberFormat="1"/>
    <xf numFmtId="0" fontId="7" fillId="0" borderId="10" xfId="6" applyBorder="1">
      <alignment horizontal="center" vertical="center" wrapText="1"/>
    </xf>
    <xf numFmtId="0" fontId="8" fillId="0" borderId="8" xfId="0" applyFont="1" applyBorder="1"/>
    <xf numFmtId="0" fontId="8" fillId="0" borderId="11" xfId="0" applyFont="1" applyBorder="1" applyAlignment="1">
      <alignment wrapText="1"/>
    </xf>
    <xf numFmtId="0" fontId="8" fillId="0" borderId="11" xfId="0" applyFont="1" applyBorder="1"/>
    <xf numFmtId="0" fontId="9" fillId="0" borderId="0" xfId="12" applyFont="1" applyBorder="1" applyAlignment="1">
      <alignment horizontal="center" wrapText="1"/>
    </xf>
    <xf numFmtId="0" fontId="9" fillId="0" borderId="2" xfId="12" applyFont="1" applyBorder="1" applyAlignment="1">
      <alignment horizontal="center" wrapText="1"/>
    </xf>
    <xf numFmtId="0" fontId="32" fillId="0" borderId="11" xfId="0" applyFont="1" applyBorder="1" applyAlignment="1">
      <alignment horizontal="center"/>
    </xf>
    <xf numFmtId="0" fontId="9" fillId="0" borderId="0" xfId="12" applyFont="1" applyBorder="1">
      <alignment horizontal="center" vertical="top" wrapText="1"/>
    </xf>
    <xf numFmtId="0" fontId="9" fillId="0" borderId="2" xfId="12" applyFont="1" applyBorder="1">
      <alignment horizontal="center" vertical="top" wrapText="1"/>
    </xf>
    <xf numFmtId="0" fontId="32" fillId="0" borderId="11" xfId="0" applyFont="1" applyBorder="1" applyAlignment="1">
      <alignment wrapText="1"/>
    </xf>
    <xf numFmtId="0" fontId="33" fillId="0" borderId="11" xfId="8" applyFont="1" applyBorder="1">
      <alignment horizontal="left" vertical="top" wrapText="1"/>
    </xf>
    <xf numFmtId="9" fontId="9" fillId="0" borderId="0" xfId="12" applyNumberFormat="1" applyFont="1" applyBorder="1">
      <alignment horizontal="center" vertical="top" wrapText="1"/>
    </xf>
    <xf numFmtId="166" fontId="9" fillId="0" borderId="0" xfId="12" applyNumberFormat="1" applyFont="1" applyBorder="1">
      <alignment horizontal="center" vertical="top" wrapText="1"/>
    </xf>
    <xf numFmtId="9" fontId="33" fillId="0" borderId="0" xfId="9" applyNumberFormat="1" applyFont="1" applyBorder="1">
      <alignment horizontal="center" vertical="top" wrapText="1"/>
    </xf>
    <xf numFmtId="9" fontId="33" fillId="0" borderId="0" xfId="9" applyNumberFormat="1" applyFont="1" applyFill="1" applyBorder="1">
      <alignment horizontal="center" vertical="top" wrapText="1"/>
    </xf>
    <xf numFmtId="166" fontId="33" fillId="0" borderId="0" xfId="9" applyNumberFormat="1" applyFont="1" applyBorder="1">
      <alignment horizontal="center" vertical="top" wrapText="1"/>
    </xf>
    <xf numFmtId="166" fontId="33" fillId="0" borderId="2" xfId="9" applyNumberFormat="1" applyFont="1" applyBorder="1">
      <alignment horizontal="center" vertical="top" wrapText="1"/>
    </xf>
    <xf numFmtId="9" fontId="9" fillId="0" borderId="0" xfId="12" applyNumberFormat="1" applyFont="1" applyFill="1" applyBorder="1">
      <alignment horizontal="center" vertical="top" wrapText="1"/>
    </xf>
    <xf numFmtId="0" fontId="32" fillId="0" borderId="11" xfId="8" applyFont="1" applyBorder="1" applyAlignment="1">
      <alignment horizontal="center" vertical="top" wrapText="1"/>
    </xf>
    <xf numFmtId="0" fontId="32" fillId="0" borderId="11" xfId="8" applyFont="1" applyFill="1" applyBorder="1" applyAlignment="1">
      <alignment horizontal="center" vertical="top" wrapText="1"/>
    </xf>
    <xf numFmtId="0" fontId="8" fillId="0" borderId="0" xfId="0" applyFont="1" applyBorder="1"/>
    <xf numFmtId="0" fontId="8" fillId="0" borderId="2" xfId="0" applyFont="1" applyBorder="1"/>
    <xf numFmtId="0" fontId="8" fillId="0" borderId="4" xfId="0" applyFont="1" applyBorder="1"/>
    <xf numFmtId="0" fontId="8" fillId="0" borderId="1" xfId="0" applyFont="1" applyBorder="1"/>
    <xf numFmtId="0" fontId="8" fillId="0" borderId="3" xfId="0" applyFont="1" applyBorder="1"/>
    <xf numFmtId="0" fontId="0" fillId="0" borderId="8" xfId="0" applyBorder="1"/>
    <xf numFmtId="0" fontId="32" fillId="0" borderId="11" xfId="0" applyFont="1" applyBorder="1" applyAlignment="1">
      <alignment horizontal="right" wrapText="1"/>
    </xf>
    <xf numFmtId="0" fontId="8" fillId="0" borderId="11" xfId="0" applyFont="1" applyFill="1" applyBorder="1" applyAlignment="1">
      <alignment horizontal="right"/>
    </xf>
    <xf numFmtId="0" fontId="33" fillId="0" borderId="11" xfId="8" applyFont="1" applyFill="1" applyBorder="1">
      <alignment horizontal="left" vertical="top" wrapText="1"/>
    </xf>
    <xf numFmtId="166" fontId="9" fillId="0" borderId="0" xfId="12" applyNumberFormat="1" applyFont="1" applyFill="1" applyBorder="1">
      <alignment horizontal="center" vertical="top" wrapText="1"/>
    </xf>
    <xf numFmtId="166" fontId="33" fillId="0" borderId="0" xfId="9" applyNumberFormat="1" applyFont="1" applyFill="1" applyBorder="1">
      <alignment horizontal="center" vertical="top" wrapText="1"/>
    </xf>
    <xf numFmtId="166" fontId="33" fillId="0" borderId="2" xfId="9" applyNumberFormat="1" applyFont="1" applyFill="1" applyBorder="1">
      <alignment horizontal="center" vertical="top" wrapText="1"/>
    </xf>
    <xf numFmtId="0" fontId="8" fillId="0" borderId="11" xfId="0" applyFont="1" applyFill="1" applyBorder="1" applyAlignment="1">
      <alignment horizontal="right" wrapText="1"/>
    </xf>
    <xf numFmtId="0" fontId="8" fillId="0" borderId="2" xfId="8" applyNumberFormat="1" applyBorder="1" applyAlignment="1">
      <alignment horizontal="left" vertical="top" wrapText="1"/>
    </xf>
    <xf numFmtId="0" fontId="0" fillId="0" borderId="8" xfId="0" applyBorder="1" applyAlignment="1"/>
    <xf numFmtId="0" fontId="7" fillId="27" borderId="21" xfId="5" applyFill="1" applyBorder="1">
      <alignment horizontal="left" vertical="center" wrapText="1"/>
    </xf>
    <xf numFmtId="0" fontId="7" fillId="27" borderId="22" xfId="6" applyFill="1" applyBorder="1">
      <alignment horizontal="center" vertical="center" wrapText="1"/>
    </xf>
    <xf numFmtId="0" fontId="7" fillId="27" borderId="23" xfId="6" applyFill="1" applyBorder="1">
      <alignment horizontal="center" vertical="center" wrapText="1"/>
    </xf>
    <xf numFmtId="0" fontId="9" fillId="0" borderId="24" xfId="13" applyFill="1" applyBorder="1">
      <alignment horizontal="right" vertical="top" wrapText="1"/>
    </xf>
    <xf numFmtId="9" fontId="9" fillId="0" borderId="25" xfId="12" applyNumberFormat="1" applyFill="1" applyBorder="1">
      <alignment horizontal="center" vertical="top" wrapText="1"/>
    </xf>
    <xf numFmtId="9" fontId="9" fillId="0" borderId="26" xfId="12" applyNumberFormat="1" applyFill="1" applyBorder="1">
      <alignment horizontal="center" vertical="top" wrapText="1"/>
    </xf>
    <xf numFmtId="0" fontId="9" fillId="0" borderId="27" xfId="13" applyFill="1" applyBorder="1">
      <alignment horizontal="right" vertical="top" wrapText="1"/>
    </xf>
    <xf numFmtId="9" fontId="9" fillId="0" borderId="28" xfId="12" applyNumberFormat="1" applyFill="1" applyBorder="1">
      <alignment horizontal="center" vertical="top" wrapText="1"/>
    </xf>
    <xf numFmtId="9" fontId="8" fillId="0" borderId="28" xfId="9" applyNumberFormat="1" applyFill="1" applyBorder="1">
      <alignment horizontal="center" vertical="top" wrapText="1"/>
    </xf>
    <xf numFmtId="9" fontId="8" fillId="0" borderId="29" xfId="9" applyNumberFormat="1" applyFill="1" applyBorder="1">
      <alignment horizontal="center" vertical="top" wrapText="1"/>
    </xf>
    <xf numFmtId="0" fontId="9" fillId="0" borderId="30" xfId="13" applyFill="1" applyBorder="1">
      <alignment horizontal="right" vertical="top" wrapText="1"/>
    </xf>
    <xf numFmtId="9" fontId="8" fillId="0" borderId="31" xfId="9" applyNumberFormat="1" applyFill="1" applyBorder="1">
      <alignment horizontal="center" vertical="top" wrapText="1"/>
    </xf>
    <xf numFmtId="9" fontId="8" fillId="0" borderId="32" xfId="9" applyNumberFormat="1" applyFill="1" applyBorder="1">
      <alignment horizontal="center" vertical="top" wrapText="1"/>
    </xf>
    <xf numFmtId="0" fontId="7" fillId="0" borderId="33" xfId="6" applyFill="1" applyBorder="1">
      <alignment horizontal="center" vertical="center" wrapText="1"/>
    </xf>
    <xf numFmtId="0" fontId="9" fillId="0" borderId="25" xfId="13" applyFill="1" applyBorder="1">
      <alignment horizontal="right" vertical="top" wrapText="1"/>
    </xf>
    <xf numFmtId="0" fontId="9" fillId="0" borderId="28" xfId="13" applyFill="1" applyBorder="1">
      <alignment horizontal="right" vertical="top" wrapText="1"/>
    </xf>
    <xf numFmtId="0" fontId="9" fillId="0" borderId="34" xfId="13" applyFill="1" applyBorder="1">
      <alignment horizontal="right" vertical="top" wrapText="1"/>
    </xf>
    <xf numFmtId="9" fontId="8" fillId="0" borderId="34" xfId="9" applyNumberFormat="1" applyFill="1" applyBorder="1">
      <alignment horizontal="center" vertical="top" wrapText="1"/>
    </xf>
    <xf numFmtId="0" fontId="9" fillId="0" borderId="35" xfId="13" applyFill="1" applyBorder="1">
      <alignment horizontal="right" vertical="top" wrapText="1"/>
    </xf>
    <xf numFmtId="9" fontId="8" fillId="0" borderId="35" xfId="9" applyNumberFormat="1" applyFill="1" applyBorder="1">
      <alignment horizontal="center" vertical="top" wrapText="1"/>
    </xf>
    <xf numFmtId="166" fontId="8" fillId="0" borderId="35" xfId="9" applyNumberFormat="1" applyFill="1" applyBorder="1">
      <alignment horizontal="center" vertical="top" wrapText="1"/>
    </xf>
    <xf numFmtId="166" fontId="8" fillId="0" borderId="28" xfId="9" applyNumberFormat="1" applyFill="1" applyBorder="1">
      <alignment horizontal="center" vertical="top" wrapText="1"/>
    </xf>
    <xf numFmtId="166" fontId="8" fillId="0" borderId="34" xfId="9" applyNumberFormat="1" applyFill="1" applyBorder="1">
      <alignment horizontal="center" vertical="top" wrapText="1"/>
    </xf>
    <xf numFmtId="9" fontId="17" fillId="0" borderId="25" xfId="9" applyNumberFormat="1" applyFont="1" applyFill="1" applyBorder="1">
      <alignment horizontal="center" vertical="top" wrapText="1"/>
    </xf>
    <xf numFmtId="9" fontId="17" fillId="0" borderId="28" xfId="9" applyNumberFormat="1" applyFont="1" applyFill="1" applyBorder="1">
      <alignment horizontal="center" vertical="top" wrapText="1"/>
    </xf>
    <xf numFmtId="0" fontId="7" fillId="0" borderId="53" xfId="6" applyFill="1" applyBorder="1">
      <alignment horizontal="center" vertical="center" wrapText="1"/>
    </xf>
    <xf numFmtId="0" fontId="7" fillId="0" borderId="54" xfId="6" applyFill="1" applyBorder="1">
      <alignment horizontal="center" vertical="center" wrapText="1"/>
    </xf>
    <xf numFmtId="0" fontId="7" fillId="0" borderId="56" xfId="6" applyFill="1" applyBorder="1">
      <alignment horizontal="center" vertical="center" wrapText="1"/>
    </xf>
    <xf numFmtId="0" fontId="7" fillId="0" borderId="57" xfId="6" applyFill="1" applyBorder="1">
      <alignment horizontal="center" vertical="center" wrapText="1"/>
    </xf>
    <xf numFmtId="0" fontId="8" fillId="0" borderId="58" xfId="8" applyBorder="1">
      <alignment horizontal="left" vertical="top" wrapText="1"/>
    </xf>
    <xf numFmtId="9" fontId="8" fillId="0" borderId="59" xfId="9" applyNumberFormat="1" applyBorder="1">
      <alignment horizontal="center" vertical="top" wrapText="1"/>
    </xf>
    <xf numFmtId="9" fontId="8" fillId="0" borderId="60" xfId="9" applyNumberFormat="1" applyBorder="1">
      <alignment horizontal="center" vertical="top" wrapText="1"/>
    </xf>
    <xf numFmtId="0" fontId="8" fillId="0" borderId="61" xfId="8" applyBorder="1">
      <alignment horizontal="left" vertical="top" wrapText="1"/>
    </xf>
    <xf numFmtId="9" fontId="8" fillId="0" borderId="62" xfId="9" applyNumberFormat="1" applyBorder="1">
      <alignment horizontal="center" vertical="top" wrapText="1"/>
    </xf>
    <xf numFmtId="9" fontId="8" fillId="0" borderId="63" xfId="9" applyNumberFormat="1" applyBorder="1">
      <alignment horizontal="center" vertical="top" wrapText="1"/>
    </xf>
    <xf numFmtId="0" fontId="8" fillId="0" borderId="62" xfId="9" applyBorder="1">
      <alignment horizontal="center" vertical="top" wrapText="1"/>
    </xf>
    <xf numFmtId="0" fontId="8" fillId="0" borderId="63" xfId="9" applyBorder="1">
      <alignment horizontal="center" vertical="top" wrapText="1"/>
    </xf>
    <xf numFmtId="0" fontId="8" fillId="0" borderId="65" xfId="9" applyBorder="1">
      <alignment horizontal="center" vertical="top" wrapText="1"/>
    </xf>
    <xf numFmtId="0" fontId="8" fillId="0" borderId="66" xfId="9" applyBorder="1">
      <alignment horizontal="center" vertical="top" wrapText="1"/>
    </xf>
    <xf numFmtId="0" fontId="8" fillId="0" borderId="68" xfId="9" applyBorder="1">
      <alignment horizontal="center" vertical="top" wrapText="1"/>
    </xf>
    <xf numFmtId="0" fontId="8" fillId="0" borderId="69" xfId="9" applyBorder="1">
      <alignment horizontal="center" vertical="top" wrapText="1"/>
    </xf>
    <xf numFmtId="0" fontId="34" fillId="0" borderId="0" xfId="0" applyFont="1" applyBorder="1" applyAlignment="1">
      <alignment horizontal="left" vertical="center" wrapText="1"/>
    </xf>
    <xf numFmtId="0" fontId="34" fillId="0" borderId="0" xfId="0" applyFont="1" applyBorder="1" applyAlignment="1">
      <alignment horizontal="center" vertical="center"/>
    </xf>
    <xf numFmtId="0" fontId="7" fillId="0" borderId="14" xfId="6" applyBorder="1">
      <alignment horizontal="center" vertical="center" wrapText="1"/>
    </xf>
    <xf numFmtId="0" fontId="8" fillId="0" borderId="14" xfId="10" applyBorder="1">
      <alignment horizontal="right" vertical="top" wrapText="1"/>
    </xf>
    <xf numFmtId="0" fontId="8" fillId="0" borderId="14" xfId="9" applyBorder="1">
      <alignment horizontal="center" vertical="top" wrapText="1"/>
    </xf>
    <xf numFmtId="166" fontId="8" fillId="0" borderId="14" xfId="9" applyNumberFormat="1" applyBorder="1">
      <alignment horizontal="center" vertical="top" wrapText="1"/>
    </xf>
    <xf numFmtId="166" fontId="17" fillId="0" borderId="14" xfId="9" applyNumberFormat="1" applyFont="1" applyBorder="1">
      <alignment horizontal="center" vertical="top" wrapText="1"/>
    </xf>
    <xf numFmtId="0" fontId="0" fillId="27" borderId="14" xfId="0" applyFill="1" applyBorder="1"/>
    <xf numFmtId="0" fontId="8" fillId="27" borderId="14" xfId="9" applyFill="1" applyBorder="1">
      <alignment horizontal="center" vertical="top" wrapText="1"/>
    </xf>
    <xf numFmtId="166" fontId="8" fillId="27" borderId="14" xfId="9" applyNumberFormat="1" applyFill="1" applyBorder="1">
      <alignment horizontal="center" vertical="top" wrapText="1"/>
    </xf>
    <xf numFmtId="166" fontId="17" fillId="27" borderId="14" xfId="9" applyNumberFormat="1" applyFont="1" applyFill="1" applyBorder="1">
      <alignment horizontal="center" vertical="top" wrapText="1"/>
    </xf>
    <xf numFmtId="166" fontId="8" fillId="7" borderId="14" xfId="9" applyNumberFormat="1" applyFill="1" applyBorder="1">
      <alignment horizontal="center" vertical="top" wrapText="1"/>
    </xf>
    <xf numFmtId="0" fontId="8" fillId="0" borderId="14" xfId="9" applyBorder="1" applyAlignment="1">
      <alignment horizontal="right" vertical="top" wrapText="1"/>
    </xf>
    <xf numFmtId="9" fontId="8" fillId="0" borderId="14" xfId="9" applyNumberFormat="1" applyBorder="1">
      <alignment horizontal="center" vertical="top" wrapText="1"/>
    </xf>
    <xf numFmtId="9" fontId="17" fillId="0" borderId="14" xfId="9" applyNumberFormat="1" applyFont="1" applyBorder="1">
      <alignment horizontal="center" vertical="top" wrapText="1"/>
    </xf>
    <xf numFmtId="0" fontId="35" fillId="0" borderId="14" xfId="0" applyFont="1" applyBorder="1" applyAlignment="1">
      <alignment vertical="top" wrapText="1"/>
    </xf>
    <xf numFmtId="0" fontId="35" fillId="0" borderId="14" xfId="0" applyFont="1" applyBorder="1" applyAlignment="1">
      <alignment horizontal="center" vertical="top" wrapText="1"/>
    </xf>
    <xf numFmtId="0" fontId="36" fillId="0" borderId="14" xfId="0" applyFont="1" applyBorder="1" applyAlignment="1">
      <alignment horizontal="center" vertical="top" wrapText="1"/>
    </xf>
    <xf numFmtId="0" fontId="8" fillId="0" borderId="14" xfId="9" applyFont="1" applyBorder="1" applyAlignment="1">
      <alignment horizontal="right" vertical="top" wrapText="1"/>
    </xf>
    <xf numFmtId="9" fontId="17" fillId="0" borderId="14" xfId="9" applyNumberFormat="1" applyFont="1" applyFill="1" applyBorder="1">
      <alignment horizontal="center" vertical="top" wrapText="1"/>
    </xf>
    <xf numFmtId="0" fontId="8" fillId="0" borderId="14" xfId="9" quotePrefix="1" applyFont="1" applyFill="1" applyBorder="1" applyAlignment="1">
      <alignment horizontal="center" vertical="top" wrapText="1"/>
    </xf>
    <xf numFmtId="0" fontId="8" fillId="0" borderId="14" xfId="9" quotePrefix="1" applyFont="1" applyFill="1" applyBorder="1">
      <alignment horizontal="center" vertical="top" wrapText="1"/>
    </xf>
    <xf numFmtId="0" fontId="17" fillId="0" borderId="14" xfId="9" applyFont="1" applyFill="1" applyBorder="1">
      <alignment horizontal="center" vertical="top" wrapText="1"/>
    </xf>
    <xf numFmtId="9" fontId="17" fillId="7" borderId="14" xfId="9" applyNumberFormat="1" applyFont="1" applyFill="1" applyBorder="1">
      <alignment horizontal="center" vertical="top" wrapText="1"/>
    </xf>
    <xf numFmtId="9" fontId="8" fillId="0" borderId="14" xfId="9" applyNumberFormat="1" applyFont="1" applyFill="1" applyBorder="1">
      <alignment horizontal="center" vertical="top" wrapText="1"/>
    </xf>
    <xf numFmtId="0" fontId="8" fillId="0" borderId="14" xfId="9" quotePrefix="1" applyFont="1" applyBorder="1">
      <alignment horizontal="center" vertical="top" wrapText="1"/>
    </xf>
    <xf numFmtId="0" fontId="8" fillId="0" borderId="14" xfId="9" quotePrefix="1" applyBorder="1">
      <alignment horizontal="center" vertical="top" wrapText="1"/>
    </xf>
    <xf numFmtId="0" fontId="8" fillId="0" borderId="14" xfId="9" applyFill="1" applyBorder="1">
      <alignment horizontal="center" vertical="top" wrapText="1"/>
    </xf>
    <xf numFmtId="0" fontId="33" fillId="0" borderId="14" xfId="0" applyFont="1" applyBorder="1" applyAlignment="1">
      <alignment horizontal="right"/>
    </xf>
    <xf numFmtId="0" fontId="17" fillId="0" borderId="14" xfId="9" applyFont="1" applyBorder="1">
      <alignment horizontal="center" vertical="top" wrapText="1"/>
    </xf>
    <xf numFmtId="0" fontId="33" fillId="0" borderId="14" xfId="0" applyFont="1" applyBorder="1"/>
    <xf numFmtId="0" fontId="33" fillId="0" borderId="14" xfId="0" applyFont="1" applyBorder="1" applyAlignment="1">
      <alignment horizontal="center"/>
    </xf>
    <xf numFmtId="0" fontId="32" fillId="0" borderId="14" xfId="0" applyFont="1" applyBorder="1" applyAlignment="1">
      <alignment horizontal="right"/>
    </xf>
    <xf numFmtId="0" fontId="32" fillId="0" borderId="14" xfId="0" applyFont="1" applyBorder="1" applyAlignment="1">
      <alignment horizontal="center"/>
    </xf>
    <xf numFmtId="9" fontId="33" fillId="0" borderId="14" xfId="4" applyFont="1" applyBorder="1" applyAlignment="1">
      <alignment horizontal="center"/>
    </xf>
    <xf numFmtId="9" fontId="32" fillId="0" borderId="14" xfId="0" applyNumberFormat="1" applyFont="1" applyBorder="1" applyAlignment="1">
      <alignment horizontal="right"/>
    </xf>
    <xf numFmtId="9" fontId="33" fillId="0" borderId="14" xfId="0" applyNumberFormat="1" applyFont="1" applyBorder="1" applyAlignment="1">
      <alignment horizontal="right"/>
    </xf>
    <xf numFmtId="0" fontId="8" fillId="0" borderId="14" xfId="9" applyFill="1" applyBorder="1" applyAlignment="1">
      <alignment horizontal="right" vertical="top" wrapText="1"/>
    </xf>
    <xf numFmtId="0" fontId="0" fillId="0" borderId="14" xfId="0" applyBorder="1" applyAlignment="1">
      <alignment horizontal="center"/>
    </xf>
    <xf numFmtId="1" fontId="0" fillId="0" borderId="14" xfId="0" applyNumberFormat="1" applyBorder="1" applyAlignment="1">
      <alignment horizontal="center"/>
    </xf>
    <xf numFmtId="0" fontId="0" fillId="0" borderId="8" xfId="0" applyFill="1" applyBorder="1" applyAlignment="1">
      <alignment wrapText="1"/>
    </xf>
    <xf numFmtId="0" fontId="0" fillId="0" borderId="11" xfId="0" applyBorder="1" applyAlignment="1">
      <alignment horizontal="left" vertical="top" wrapText="1"/>
    </xf>
    <xf numFmtId="9" fontId="17" fillId="0" borderId="0" xfId="9" applyNumberFormat="1" applyFont="1" applyBorder="1">
      <alignment horizontal="center" vertical="top" wrapText="1"/>
    </xf>
    <xf numFmtId="9" fontId="8" fillId="0" borderId="0" xfId="9" applyNumberFormat="1" applyBorder="1">
      <alignment horizontal="center" vertical="top" wrapText="1"/>
    </xf>
    <xf numFmtId="9" fontId="8" fillId="0" borderId="2" xfId="9" applyNumberFormat="1" applyBorder="1">
      <alignment horizontal="center" vertical="top" wrapText="1"/>
    </xf>
    <xf numFmtId="0" fontId="0" fillId="0" borderId="4" xfId="0" applyBorder="1" applyAlignment="1">
      <alignment horizontal="left" vertical="top" wrapText="1"/>
    </xf>
    <xf numFmtId="9" fontId="17" fillId="0" borderId="1" xfId="9" applyNumberFormat="1" applyFont="1" applyBorder="1">
      <alignment horizontal="center" vertical="top" wrapText="1"/>
    </xf>
    <xf numFmtId="9" fontId="8" fillId="0" borderId="1" xfId="9" applyNumberFormat="1" applyBorder="1">
      <alignment horizontal="center" vertical="top" wrapText="1"/>
    </xf>
    <xf numFmtId="9" fontId="8" fillId="0" borderId="3" xfId="9" applyNumberFormat="1" applyBorder="1">
      <alignment horizontal="center" vertical="top" wrapText="1"/>
    </xf>
    <xf numFmtId="166" fontId="17" fillId="0" borderId="0" xfId="9" applyNumberFormat="1" applyFont="1" applyBorder="1" applyAlignment="1">
      <alignment horizontal="center" vertical="center" wrapText="1"/>
    </xf>
    <xf numFmtId="166" fontId="8" fillId="0" borderId="0" xfId="9" applyNumberFormat="1" applyBorder="1" applyAlignment="1">
      <alignment horizontal="center" vertical="center" wrapText="1"/>
    </xf>
    <xf numFmtId="166" fontId="8" fillId="0" borderId="2" xfId="9" applyNumberFormat="1" applyBorder="1" applyAlignment="1">
      <alignment horizontal="center" vertical="center" wrapText="1"/>
    </xf>
    <xf numFmtId="0" fontId="8" fillId="0" borderId="8" xfId="0" applyFont="1" applyFill="1" applyBorder="1" applyAlignment="1">
      <alignment wrapText="1"/>
    </xf>
    <xf numFmtId="0" fontId="7" fillId="0" borderId="9" xfId="6" applyFont="1" applyBorder="1">
      <alignment horizontal="center" vertical="center" wrapText="1"/>
    </xf>
    <xf numFmtId="0" fontId="7" fillId="0" borderId="10" xfId="6" applyFont="1" applyBorder="1">
      <alignment horizontal="center" vertical="center" wrapText="1"/>
    </xf>
    <xf numFmtId="0" fontId="32" fillId="0" borderId="11" xfId="0" applyFont="1" applyBorder="1" applyAlignment="1">
      <alignment vertical="top" wrapText="1"/>
    </xf>
    <xf numFmtId="0" fontId="32" fillId="0" borderId="0" xfId="0" applyFont="1" applyBorder="1" applyAlignment="1">
      <alignment horizontal="center" vertical="top"/>
    </xf>
    <xf numFmtId="0" fontId="32" fillId="0" borderId="2" xfId="0" applyFont="1" applyBorder="1" applyAlignment="1">
      <alignment horizontal="center" vertical="top"/>
    </xf>
    <xf numFmtId="0" fontId="8" fillId="0" borderId="11" xfId="0" applyFont="1" applyBorder="1" applyAlignment="1">
      <alignment horizontal="right" vertical="top" wrapText="1"/>
    </xf>
    <xf numFmtId="9" fontId="32" fillId="0" borderId="0" xfId="9" applyNumberFormat="1" applyFont="1" applyBorder="1">
      <alignment horizontal="center" vertical="top" wrapText="1"/>
    </xf>
    <xf numFmtId="9" fontId="33" fillId="0" borderId="2" xfId="9" applyNumberFormat="1" applyFont="1" applyBorder="1">
      <alignment horizontal="center" vertical="top" wrapText="1"/>
    </xf>
    <xf numFmtId="0" fontId="8" fillId="0" borderId="11" xfId="0" applyFont="1" applyFill="1" applyBorder="1" applyAlignment="1">
      <alignment horizontal="right" vertical="top" wrapText="1"/>
    </xf>
    <xf numFmtId="0" fontId="9" fillId="0" borderId="0" xfId="11" applyFont="1" applyBorder="1" applyAlignment="1">
      <alignment horizontal="center" vertical="top" wrapText="1"/>
    </xf>
    <xf numFmtId="0" fontId="9" fillId="0" borderId="2" xfId="11" applyFont="1" applyBorder="1" applyAlignment="1">
      <alignment horizontal="center" vertical="top" wrapText="1"/>
    </xf>
    <xf numFmtId="9" fontId="32" fillId="0" borderId="0" xfId="9" applyNumberFormat="1" applyFont="1" applyFill="1" applyBorder="1">
      <alignment horizontal="center" vertical="top" wrapText="1"/>
    </xf>
    <xf numFmtId="9" fontId="33" fillId="0" borderId="2" xfId="9" applyNumberFormat="1" applyFont="1" applyFill="1" applyBorder="1">
      <alignment horizontal="center" vertical="top" wrapText="1"/>
    </xf>
    <xf numFmtId="0" fontId="32" fillId="0" borderId="11" xfId="0" applyFont="1" applyFill="1" applyBorder="1" applyAlignment="1">
      <alignment vertical="top" wrapText="1"/>
    </xf>
    <xf numFmtId="0" fontId="32" fillId="0" borderId="0" xfId="0" applyFont="1" applyFill="1" applyBorder="1" applyAlignment="1">
      <alignment horizontal="center" vertical="top"/>
    </xf>
    <xf numFmtId="0" fontId="32" fillId="0" borderId="2" xfId="0" applyFont="1" applyFill="1" applyBorder="1" applyAlignment="1">
      <alignment horizontal="center" vertical="top"/>
    </xf>
    <xf numFmtId="0" fontId="8" fillId="0" borderId="4" xfId="0" applyFont="1" applyFill="1" applyBorder="1" applyAlignment="1">
      <alignment horizontal="right" vertical="top" wrapText="1"/>
    </xf>
    <xf numFmtId="9" fontId="32" fillId="0" borderId="1" xfId="9" applyNumberFormat="1" applyFont="1" applyFill="1" applyBorder="1">
      <alignment horizontal="center" vertical="top" wrapText="1"/>
    </xf>
    <xf numFmtId="9" fontId="33" fillId="0" borderId="1" xfId="9" applyNumberFormat="1" applyFont="1" applyFill="1" applyBorder="1">
      <alignment horizontal="center" vertical="top" wrapText="1"/>
    </xf>
    <xf numFmtId="9" fontId="33" fillId="0" borderId="3" xfId="9" applyNumberFormat="1" applyFont="1" applyFill="1" applyBorder="1">
      <alignment horizontal="center" vertical="top" wrapText="1"/>
    </xf>
    <xf numFmtId="0" fontId="32" fillId="0" borderId="0" xfId="0" applyFont="1" applyBorder="1" applyAlignment="1">
      <alignment horizontal="center" vertical="top" wrapText="1"/>
    </xf>
    <xf numFmtId="0" fontId="32" fillId="0" borderId="2" xfId="0" applyFont="1" applyBorder="1" applyAlignment="1">
      <alignment horizontal="center" vertical="top" wrapText="1"/>
    </xf>
    <xf numFmtId="166" fontId="32" fillId="0" borderId="0" xfId="9" applyNumberFormat="1" applyFont="1" applyBorder="1">
      <alignment horizontal="center" vertical="top" wrapText="1"/>
    </xf>
    <xf numFmtId="0" fontId="32" fillId="0" borderId="0" xfId="0" applyFont="1" applyBorder="1" applyAlignment="1">
      <alignment horizontal="center" wrapText="1"/>
    </xf>
    <xf numFmtId="0" fontId="32" fillId="0" borderId="2" xfId="0" applyFont="1" applyBorder="1" applyAlignment="1">
      <alignment horizontal="center" wrapText="1"/>
    </xf>
    <xf numFmtId="0" fontId="8" fillId="0" borderId="11" xfId="0" applyFont="1" applyBorder="1" applyAlignment="1">
      <alignment horizontal="left" vertical="top" wrapText="1"/>
    </xf>
    <xf numFmtId="0" fontId="9" fillId="0" borderId="11" xfId="11" applyFont="1" applyBorder="1">
      <alignment horizontal="left" vertical="top" wrapText="1"/>
    </xf>
    <xf numFmtId="9" fontId="32" fillId="0" borderId="1" xfId="9" applyNumberFormat="1" applyFont="1" applyBorder="1">
      <alignment horizontal="center" vertical="top" wrapText="1"/>
    </xf>
    <xf numFmtId="9" fontId="33" fillId="0" borderId="1" xfId="9" applyNumberFormat="1" applyFont="1" applyBorder="1">
      <alignment horizontal="center" vertical="top" wrapText="1"/>
    </xf>
    <xf numFmtId="9" fontId="33" fillId="0" borderId="3" xfId="9" applyNumberFormat="1" applyFont="1" applyBorder="1">
      <alignment horizontal="center" vertical="top" wrapText="1"/>
    </xf>
    <xf numFmtId="0" fontId="9" fillId="0" borderId="11" xfId="11" applyBorder="1">
      <alignment horizontal="left" vertical="top" wrapText="1"/>
    </xf>
    <xf numFmtId="0" fontId="3" fillId="0" borderId="0" xfId="0" applyFont="1" applyBorder="1" applyAlignment="1">
      <alignment horizontal="center" wrapText="1"/>
    </xf>
    <xf numFmtId="0" fontId="3" fillId="0" borderId="2" xfId="0" applyFont="1" applyBorder="1" applyAlignment="1">
      <alignment horizontal="center" wrapText="1"/>
    </xf>
    <xf numFmtId="0" fontId="0" fillId="0" borderId="11" xfId="0" applyFill="1" applyBorder="1" applyAlignment="1">
      <alignment horizontal="right" vertical="top" wrapText="1"/>
    </xf>
    <xf numFmtId="0" fontId="0" fillId="0" borderId="11" xfId="0" applyFill="1" applyBorder="1" applyAlignment="1">
      <alignment wrapText="1"/>
    </xf>
    <xf numFmtId="0" fontId="3" fillId="0" borderId="4" xfId="0" applyFont="1" applyFill="1" applyBorder="1" applyAlignment="1">
      <alignment horizontal="right" vertical="top" wrapText="1"/>
    </xf>
    <xf numFmtId="0" fontId="32" fillId="0" borderId="11" xfId="36" applyFont="1" applyBorder="1" applyAlignment="1">
      <alignment vertical="top" wrapText="1"/>
    </xf>
    <xf numFmtId="0" fontId="33" fillId="0" borderId="11" xfId="36" applyFont="1" applyBorder="1" applyAlignment="1">
      <alignment vertical="top" wrapText="1"/>
    </xf>
    <xf numFmtId="0" fontId="33" fillId="0" borderId="4" xfId="8" applyFont="1" applyBorder="1">
      <alignment horizontal="left" vertical="top" wrapText="1"/>
    </xf>
    <xf numFmtId="0" fontId="3" fillId="0" borderId="0"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Fill="1" applyBorder="1" applyAlignment="1">
      <alignment vertical="top" wrapText="1"/>
    </xf>
    <xf numFmtId="166" fontId="17" fillId="0" borderId="0" xfId="9" applyNumberFormat="1" applyFont="1" applyBorder="1">
      <alignment horizontal="center" vertical="top" wrapText="1"/>
    </xf>
    <xf numFmtId="166" fontId="8" fillId="0" borderId="0" xfId="9" applyNumberFormat="1" applyBorder="1">
      <alignment horizontal="center" vertical="top" wrapText="1"/>
    </xf>
    <xf numFmtId="166" fontId="8" fillId="0" borderId="2" xfId="9" applyNumberFormat="1" applyBorder="1">
      <alignment horizontal="center" vertical="top" wrapText="1"/>
    </xf>
    <xf numFmtId="0" fontId="3" fillId="0" borderId="0" xfId="0" applyFont="1" applyFill="1" applyBorder="1" applyAlignment="1">
      <alignment horizontal="center" vertical="top" wrapText="1"/>
    </xf>
    <xf numFmtId="0" fontId="3" fillId="0" borderId="2" xfId="0" applyFont="1" applyFill="1" applyBorder="1" applyAlignment="1">
      <alignment horizontal="center" vertical="top" wrapText="1"/>
    </xf>
    <xf numFmtId="0" fontId="8" fillId="0" borderId="11" xfId="10" applyFill="1" applyBorder="1">
      <alignment horizontal="right" vertical="top" wrapText="1"/>
    </xf>
    <xf numFmtId="9" fontId="17" fillId="0" borderId="0" xfId="9" applyNumberFormat="1" applyFont="1" applyFill="1" applyBorder="1">
      <alignment horizontal="center" vertical="top" wrapText="1"/>
    </xf>
    <xf numFmtId="9" fontId="8" fillId="0" borderId="0" xfId="9" applyNumberFormat="1" applyFill="1" applyBorder="1">
      <alignment horizontal="center" vertical="top" wrapText="1"/>
    </xf>
    <xf numFmtId="9" fontId="8" fillId="0" borderId="2" xfId="9" applyNumberFormat="1" applyFill="1" applyBorder="1">
      <alignment horizontal="center" vertical="top" wrapText="1"/>
    </xf>
    <xf numFmtId="0" fontId="0" fillId="0" borderId="11" xfId="0" applyFill="1" applyBorder="1" applyAlignment="1">
      <alignment horizontal="right" wrapText="1"/>
    </xf>
    <xf numFmtId="9" fontId="3" fillId="0" borderId="0" xfId="0" applyNumberFormat="1" applyFont="1" applyFill="1" applyBorder="1" applyAlignment="1">
      <alignment horizontal="center" vertical="top" wrapText="1"/>
    </xf>
    <xf numFmtId="9" fontId="0" fillId="0" borderId="0" xfId="0" applyNumberFormat="1" applyFont="1" applyFill="1" applyBorder="1" applyAlignment="1">
      <alignment horizontal="center" vertical="top" wrapText="1"/>
    </xf>
    <xf numFmtId="9" fontId="0" fillId="0" borderId="2" xfId="0" applyNumberFormat="1" applyFont="1" applyFill="1" applyBorder="1" applyAlignment="1">
      <alignment horizontal="center" vertical="top" wrapText="1"/>
    </xf>
    <xf numFmtId="9" fontId="0" fillId="0" borderId="2" xfId="0" applyNumberFormat="1" applyFill="1" applyBorder="1" applyAlignment="1">
      <alignment horizontal="center" vertical="top" wrapText="1"/>
    </xf>
    <xf numFmtId="0" fontId="8" fillId="0" borderId="4" xfId="10" applyFill="1" applyBorder="1">
      <alignment horizontal="right" vertical="top" wrapText="1"/>
    </xf>
    <xf numFmtId="9" fontId="3" fillId="0" borderId="1" xfId="0" applyNumberFormat="1" applyFont="1" applyFill="1" applyBorder="1" applyAlignment="1">
      <alignment horizontal="center" vertical="top" wrapText="1"/>
    </xf>
    <xf numFmtId="9" fontId="0" fillId="0" borderId="1" xfId="0" applyNumberFormat="1" applyFont="1" applyFill="1" applyBorder="1" applyAlignment="1">
      <alignment horizontal="center" vertical="top" wrapText="1"/>
    </xf>
    <xf numFmtId="9" fontId="0" fillId="0" borderId="3" xfId="0" applyNumberFormat="1" applyFont="1" applyFill="1" applyBorder="1" applyAlignment="1">
      <alignment horizontal="center" vertical="top" wrapText="1"/>
    </xf>
    <xf numFmtId="0" fontId="3" fillId="0" borderId="11" xfId="0" applyNumberFormat="1" applyFont="1" applyFill="1" applyBorder="1" applyAlignment="1">
      <alignment horizontal="center" vertical="top" wrapText="1"/>
    </xf>
    <xf numFmtId="9" fontId="3" fillId="0" borderId="0" xfId="0" applyNumberFormat="1" applyFont="1" applyBorder="1" applyAlignment="1">
      <alignment horizontal="center" vertical="top" wrapText="1"/>
    </xf>
    <xf numFmtId="9" fontId="0" fillId="0" borderId="0" xfId="0" applyNumberFormat="1" applyFont="1" applyBorder="1" applyAlignment="1">
      <alignment horizontal="center" vertical="top" wrapText="1"/>
    </xf>
    <xf numFmtId="9" fontId="0" fillId="0" borderId="2" xfId="0" applyNumberFormat="1" applyFont="1" applyBorder="1" applyAlignment="1">
      <alignment horizontal="center" vertical="top" wrapText="1"/>
    </xf>
    <xf numFmtId="9" fontId="0" fillId="0" borderId="2" xfId="0" applyNumberFormat="1" applyBorder="1" applyAlignment="1">
      <alignment horizontal="center" vertical="top" wrapText="1"/>
    </xf>
    <xf numFmtId="9" fontId="3" fillId="0" borderId="1" xfId="0" applyNumberFormat="1" applyFont="1" applyBorder="1" applyAlignment="1">
      <alignment horizontal="center" vertical="top" wrapText="1"/>
    </xf>
    <xf numFmtId="9" fontId="0" fillId="0" borderId="1" xfId="0" applyNumberFormat="1" applyFont="1" applyBorder="1" applyAlignment="1">
      <alignment horizontal="center" vertical="top" wrapText="1"/>
    </xf>
    <xf numFmtId="9" fontId="0" fillId="0" borderId="3" xfId="0" applyNumberFormat="1" applyFont="1" applyBorder="1" applyAlignment="1">
      <alignment horizontal="center" vertical="top" wrapText="1"/>
    </xf>
    <xf numFmtId="0" fontId="8" fillId="0" borderId="3" xfId="8" applyBorder="1">
      <alignment horizontal="left" vertical="top" wrapText="1"/>
    </xf>
    <xf numFmtId="0" fontId="8" fillId="0" borderId="0" xfId="8" applyBorder="1">
      <alignment horizontal="left" vertical="top" wrapText="1"/>
    </xf>
    <xf numFmtId="0" fontId="8" fillId="0" borderId="4" xfId="8" applyBorder="1">
      <alignment horizontal="left" vertical="top" wrapText="1"/>
    </xf>
    <xf numFmtId="0" fontId="8" fillId="0" borderId="1" xfId="8" applyBorder="1">
      <alignment horizontal="left" vertical="top" wrapText="1"/>
    </xf>
    <xf numFmtId="0" fontId="30" fillId="0" borderId="11" xfId="0" applyFont="1" applyBorder="1" applyAlignment="1">
      <alignment vertical="top" wrapText="1"/>
    </xf>
    <xf numFmtId="0" fontId="30" fillId="0" borderId="2" xfId="0" applyFont="1" applyBorder="1" applyAlignment="1">
      <alignment vertical="top" wrapText="1"/>
    </xf>
    <xf numFmtId="0" fontId="29" fillId="0" borderId="0" xfId="34" applyAlignment="1">
      <alignment vertical="top" wrapText="1"/>
    </xf>
    <xf numFmtId="0" fontId="29" fillId="0" borderId="0" xfId="34" applyAlignment="1">
      <alignment wrapText="1"/>
    </xf>
    <xf numFmtId="0" fontId="29" fillId="0" borderId="0" xfId="34" applyAlignment="1">
      <alignment vertical="top"/>
    </xf>
    <xf numFmtId="0" fontId="29" fillId="0" borderId="0" xfId="34" quotePrefix="1" applyAlignment="1">
      <alignment vertical="top" wrapText="1"/>
    </xf>
    <xf numFmtId="0" fontId="0" fillId="0" borderId="11" xfId="0" applyBorder="1" applyAlignment="1">
      <alignment vertical="top"/>
    </xf>
    <xf numFmtId="0" fontId="29" fillId="0" borderId="11" xfId="34" applyBorder="1" applyAlignment="1">
      <alignment vertical="top" wrapText="1"/>
    </xf>
    <xf numFmtId="0" fontId="29" fillId="0" borderId="0" xfId="34" applyBorder="1" applyAlignment="1">
      <alignment vertical="top" wrapText="1"/>
    </xf>
    <xf numFmtId="0" fontId="29" fillId="0" borderId="0" xfId="34" quotePrefix="1" applyBorder="1" applyAlignment="1">
      <alignment vertical="top" wrapText="1"/>
    </xf>
    <xf numFmtId="0" fontId="29" fillId="0" borderId="0" xfId="34" applyAlignment="1">
      <alignment horizontal="left" vertical="top" wrapText="1"/>
    </xf>
    <xf numFmtId="0" fontId="7" fillId="0" borderId="19" xfId="6" applyBorder="1">
      <alignment horizontal="center" vertical="center" wrapText="1"/>
    </xf>
    <xf numFmtId="0" fontId="7" fillId="0" borderId="20" xfId="6" applyBorder="1">
      <alignment horizontal="center" vertical="center" wrapText="1"/>
    </xf>
    <xf numFmtId="0" fontId="7" fillId="0" borderId="14" xfId="6" applyBorder="1">
      <alignment horizontal="center" vertical="center" wrapText="1"/>
    </xf>
    <xf numFmtId="0" fontId="0" fillId="0" borderId="0" xfId="0" applyBorder="1" applyAlignment="1">
      <alignment horizontal="left" vertical="top" wrapText="1"/>
    </xf>
    <xf numFmtId="0" fontId="0" fillId="0" borderId="0" xfId="0" applyAlignment="1">
      <alignment horizontal="left" vertical="top" wrapText="1"/>
    </xf>
    <xf numFmtId="0" fontId="8" fillId="0" borderId="15" xfId="8" applyBorder="1">
      <alignment horizontal="left" vertical="top" wrapText="1"/>
    </xf>
    <xf numFmtId="0" fontId="7" fillId="0" borderId="14" xfId="6" applyFill="1" applyBorder="1">
      <alignment horizontal="center" vertical="center" wrapText="1"/>
    </xf>
    <xf numFmtId="167" fontId="8" fillId="0" borderId="11" xfId="3" applyNumberFormat="1" applyFont="1" applyBorder="1" applyAlignment="1">
      <alignment horizontal="center" vertical="top" wrapText="1"/>
    </xf>
    <xf numFmtId="167" fontId="8" fillId="0" borderId="2" xfId="3" applyNumberFormat="1" applyFont="1" applyBorder="1" applyAlignment="1">
      <alignment horizontal="center" vertical="top" wrapText="1"/>
    </xf>
    <xf numFmtId="167" fontId="8" fillId="0" borderId="0" xfId="3" applyNumberFormat="1" applyFont="1" applyBorder="1" applyAlignment="1">
      <alignment horizontal="center" vertical="top" wrapText="1"/>
    </xf>
    <xf numFmtId="167" fontId="8" fillId="0" borderId="16" xfId="3" applyNumberFormat="1" applyFont="1" applyBorder="1" applyAlignment="1">
      <alignment horizontal="center" vertical="top" wrapText="1"/>
    </xf>
    <xf numFmtId="167" fontId="8" fillId="0" borderId="4" xfId="3" applyNumberFormat="1" applyFont="1" applyBorder="1" applyAlignment="1">
      <alignment horizontal="center" vertical="top" wrapText="1"/>
    </xf>
    <xf numFmtId="167" fontId="8" fillId="0" borderId="3" xfId="3" applyNumberFormat="1" applyFont="1" applyBorder="1" applyAlignment="1">
      <alignment horizontal="center" vertical="top" wrapText="1"/>
    </xf>
    <xf numFmtId="167" fontId="8" fillId="0" borderId="15" xfId="3" applyNumberFormat="1" applyFont="1" applyBorder="1" applyAlignment="1">
      <alignment horizontal="center" vertical="top" wrapText="1"/>
    </xf>
    <xf numFmtId="0" fontId="3" fillId="0" borderId="0" xfId="0" applyFont="1"/>
    <xf numFmtId="17" fontId="6" fillId="0" borderId="0" xfId="0" quotePrefix="1" applyNumberFormat="1" applyFont="1" applyAlignment="1">
      <alignment horizontal="right" vertical="top"/>
    </xf>
    <xf numFmtId="0" fontId="37" fillId="29" borderId="5" xfId="0" applyFont="1" applyFill="1" applyBorder="1" applyAlignment="1" applyProtection="1">
      <alignment horizontal="left" vertical="top" readingOrder="1"/>
      <protection locked="0"/>
    </xf>
    <xf numFmtId="0" fontId="37" fillId="29" borderId="71" xfId="0" applyFont="1" applyFill="1" applyBorder="1" applyAlignment="1" applyProtection="1">
      <alignment horizontal="left" vertical="top" readingOrder="1"/>
      <protection locked="0"/>
    </xf>
    <xf numFmtId="0" fontId="37" fillId="29" borderId="18" xfId="0" applyFont="1" applyFill="1" applyBorder="1" applyAlignment="1" applyProtection="1">
      <alignment horizontal="left" vertical="top" readingOrder="1"/>
      <protection locked="0"/>
    </xf>
    <xf numFmtId="0" fontId="38" fillId="0" borderId="5" xfId="0" applyFont="1" applyBorder="1" applyAlignment="1" applyProtection="1">
      <alignment vertical="top" readingOrder="1"/>
      <protection locked="0"/>
    </xf>
    <xf numFmtId="0" fontId="38" fillId="0" borderId="71" xfId="0" applyFont="1" applyBorder="1" applyAlignment="1" applyProtection="1">
      <alignment vertical="top" readingOrder="1"/>
      <protection locked="0"/>
    </xf>
    <xf numFmtId="0" fontId="38" fillId="0" borderId="72" xfId="0" applyFont="1" applyBorder="1" applyAlignment="1" applyProtection="1">
      <alignment vertical="top" readingOrder="1"/>
      <protection locked="0"/>
    </xf>
    <xf numFmtId="0" fontId="37" fillId="0" borderId="71" xfId="0" applyFont="1" applyBorder="1" applyAlignment="1" applyProtection="1">
      <alignment vertical="top" readingOrder="1"/>
      <protection locked="0"/>
    </xf>
    <xf numFmtId="0" fontId="0" fillId="0" borderId="73" xfId="0" applyBorder="1" applyAlignment="1" applyProtection="1">
      <alignment vertical="top"/>
      <protection locked="0"/>
    </xf>
    <xf numFmtId="0" fontId="37" fillId="0" borderId="74" xfId="0" applyFont="1" applyBorder="1" applyAlignment="1" applyProtection="1">
      <alignment vertical="top" readingOrder="1"/>
      <protection locked="0"/>
    </xf>
    <xf numFmtId="0" fontId="31" fillId="0" borderId="0" xfId="0" applyFont="1" applyAlignment="1">
      <alignment horizontal="left" vertical="top" wrapText="1"/>
    </xf>
    <xf numFmtId="0" fontId="3" fillId="0" borderId="0" xfId="0" applyFont="1" applyAlignment="1">
      <alignment vertical="top" wrapText="1"/>
    </xf>
    <xf numFmtId="0" fontId="3" fillId="0" borderId="1" xfId="0" applyFont="1" applyBorder="1" applyAlignment="1">
      <alignment horizontal="center" vertical="top" wrapText="1"/>
    </xf>
    <xf numFmtId="0" fontId="3" fillId="0" borderId="1" xfId="0" applyFont="1" applyBorder="1" applyAlignment="1">
      <alignment vertical="top" wrapText="1"/>
    </xf>
    <xf numFmtId="0" fontId="3" fillId="0" borderId="1" xfId="0" applyFont="1" applyBorder="1" applyAlignment="1">
      <alignment horizontal="center" vertical="top"/>
    </xf>
    <xf numFmtId="0" fontId="3" fillId="0" borderId="19" xfId="0" applyFont="1" applyBorder="1" applyAlignment="1">
      <alignment vertical="top" wrapText="1"/>
    </xf>
    <xf numFmtId="0" fontId="3" fillId="0" borderId="7" xfId="0" applyFont="1" applyBorder="1" applyAlignment="1">
      <alignment vertical="top" wrapText="1"/>
    </xf>
    <xf numFmtId="0" fontId="3" fillId="0" borderId="20" xfId="0" applyFont="1" applyBorder="1" applyAlignment="1">
      <alignment vertical="top" wrapText="1"/>
    </xf>
    <xf numFmtId="0" fontId="3" fillId="0" borderId="7" xfId="0" applyFont="1" applyBorder="1" applyAlignment="1">
      <alignment vertical="top"/>
    </xf>
    <xf numFmtId="0" fontId="3" fillId="0" borderId="4" xfId="0" applyFont="1" applyBorder="1" applyAlignment="1">
      <alignment vertical="top"/>
    </xf>
    <xf numFmtId="0" fontId="3" fillId="0" borderId="1" xfId="0" applyFont="1" applyFill="1" applyBorder="1" applyAlignment="1">
      <alignment vertical="top" wrapText="1"/>
    </xf>
    <xf numFmtId="0" fontId="0" fillId="0" borderId="0" xfId="0" applyBorder="1" applyAlignment="1">
      <alignment horizontal="left" vertical="top"/>
    </xf>
    <xf numFmtId="0" fontId="0" fillId="0" borderId="0" xfId="0" applyAlignment="1">
      <alignment horizontal="left" vertical="top"/>
    </xf>
    <xf numFmtId="0" fontId="8" fillId="0" borderId="11" xfId="0" applyFont="1" applyFill="1" applyBorder="1" applyAlignment="1"/>
    <xf numFmtId="0" fontId="8" fillId="0" borderId="0" xfId="0" applyFont="1" applyBorder="1" applyAlignment="1"/>
    <xf numFmtId="0" fontId="8" fillId="0" borderId="2" xfId="0" applyFont="1" applyBorder="1" applyAlignment="1"/>
    <xf numFmtId="0" fontId="8" fillId="0" borderId="0" xfId="8" applyAlignment="1">
      <alignment horizontal="left" wrapText="1"/>
    </xf>
    <xf numFmtId="0" fontId="8" fillId="0" borderId="0" xfId="9" applyAlignment="1">
      <alignment horizontal="center" wrapText="1"/>
    </xf>
    <xf numFmtId="168" fontId="8" fillId="0" borderId="0" xfId="10" applyNumberFormat="1" applyAlignment="1">
      <alignment horizontal="right" wrapText="1"/>
    </xf>
    <xf numFmtId="9" fontId="0" fillId="0" borderId="0" xfId="0" applyNumberFormat="1" applyAlignment="1"/>
    <xf numFmtId="0" fontId="3" fillId="0" borderId="0" xfId="0" applyFont="1" applyAlignment="1">
      <alignment horizontal="right"/>
    </xf>
    <xf numFmtId="0" fontId="21" fillId="0" borderId="0" xfId="34" applyFont="1"/>
    <xf numFmtId="0" fontId="3" fillId="0" borderId="0" xfId="0" applyFont="1" applyAlignment="1"/>
    <xf numFmtId="0" fontId="5" fillId="0" borderId="0" xfId="0" applyFont="1" applyFill="1" applyAlignment="1">
      <alignment horizontal="center" vertical="center" textRotation="90"/>
    </xf>
    <xf numFmtId="0" fontId="40" fillId="0" borderId="0" xfId="0" applyFont="1" applyAlignment="1">
      <alignment horizontal="center" vertical="top"/>
    </xf>
    <xf numFmtId="0" fontId="40" fillId="0" borderId="0" xfId="0" applyFont="1" applyAlignment="1">
      <alignment horizontal="center"/>
    </xf>
    <xf numFmtId="0" fontId="8" fillId="0" borderId="11" xfId="8" applyBorder="1" applyAlignment="1">
      <alignment horizontal="left" vertical="top" wrapText="1"/>
    </xf>
    <xf numFmtId="0" fontId="8" fillId="0" borderId="0" xfId="8" applyBorder="1" applyAlignment="1">
      <alignment horizontal="left" vertical="top" wrapText="1"/>
    </xf>
    <xf numFmtId="0" fontId="8" fillId="0" borderId="2" xfId="8" applyBorder="1" applyAlignment="1">
      <alignment horizontal="left" vertical="top" wrapText="1"/>
    </xf>
    <xf numFmtId="0" fontId="7" fillId="0" borderId="19" xfId="6" applyBorder="1">
      <alignment horizontal="center" vertical="center" wrapText="1"/>
    </xf>
    <xf numFmtId="0" fontId="7" fillId="0" borderId="7" xfId="6" applyBorder="1">
      <alignment horizontal="center" vertical="center" wrapText="1"/>
    </xf>
    <xf numFmtId="0" fontId="7" fillId="0" borderId="20" xfId="6" applyBorder="1">
      <alignment horizontal="center" vertical="center" wrapText="1"/>
    </xf>
    <xf numFmtId="0" fontId="7" fillId="0" borderId="14" xfId="6" applyBorder="1">
      <alignment horizontal="center" vertical="center" wrapText="1"/>
    </xf>
    <xf numFmtId="0" fontId="7" fillId="0" borderId="8" xfId="5" applyBorder="1">
      <alignment horizontal="left" vertical="center" wrapText="1"/>
    </xf>
    <xf numFmtId="0" fontId="0" fillId="0" borderId="0" xfId="0" quotePrefix="1" applyAlignment="1">
      <alignment vertical="top" wrapText="1"/>
    </xf>
    <xf numFmtId="0" fontId="7" fillId="0" borderId="1" xfId="5" applyFill="1" applyBorder="1">
      <alignment horizontal="left" vertical="center" wrapText="1"/>
    </xf>
    <xf numFmtId="0" fontId="7" fillId="0" borderId="1" xfId="6" applyBorder="1">
      <alignment horizontal="center" vertical="center" wrapText="1"/>
    </xf>
    <xf numFmtId="0" fontId="7" fillId="0" borderId="1" xfId="7" applyBorder="1">
      <alignment horizontal="right" vertical="center" wrapText="1"/>
    </xf>
    <xf numFmtId="0" fontId="7" fillId="0" borderId="1" xfId="5" applyBorder="1">
      <alignment horizontal="left" vertical="center" wrapText="1"/>
    </xf>
    <xf numFmtId="0" fontId="7" fillId="0" borderId="1" xfId="6" applyFill="1" applyBorder="1">
      <alignment horizontal="center" vertical="center" wrapText="1"/>
    </xf>
    <xf numFmtId="168" fontId="8" fillId="0" borderId="75" xfId="9" applyNumberFormat="1" applyFill="1" applyBorder="1">
      <alignment horizontal="center" vertical="top" wrapText="1"/>
    </xf>
    <xf numFmtId="0" fontId="2" fillId="0" borderId="0" xfId="31" applyFont="1" applyFill="1" applyBorder="1" applyAlignment="1">
      <alignment wrapText="1"/>
    </xf>
    <xf numFmtId="0" fontId="2" fillId="0" borderId="0" xfId="31" applyFont="1" applyFill="1" applyBorder="1" applyAlignment="1">
      <alignment horizontal="right" wrapText="1"/>
    </xf>
    <xf numFmtId="3" fontId="2" fillId="0" borderId="0" xfId="31" applyNumberFormat="1" applyFont="1" applyFill="1" applyBorder="1" applyAlignment="1">
      <alignment horizontal="right" wrapText="1"/>
    </xf>
    <xf numFmtId="1" fontId="2" fillId="0" borderId="0" xfId="23" applyNumberFormat="1" applyFont="1" applyFill="1" applyBorder="1" applyAlignment="1">
      <alignment horizontal="right" wrapText="1"/>
    </xf>
    <xf numFmtId="0" fontId="2" fillId="0" borderId="0" xfId="31" applyFont="1" applyFill="1" applyBorder="1" applyAlignment="1">
      <alignment horizontal="center"/>
    </xf>
    <xf numFmtId="0" fontId="2" fillId="0" borderId="0" xfId="23" applyFont="1" applyFill="1" applyBorder="1" applyAlignment="1">
      <alignment horizontal="center" wrapText="1"/>
    </xf>
    <xf numFmtId="0" fontId="1" fillId="0" borderId="0" xfId="31" applyFill="1" applyBorder="1"/>
    <xf numFmtId="0" fontId="0" fillId="0" borderId="0" xfId="0" applyFill="1" applyBorder="1"/>
    <xf numFmtId="0" fontId="7" fillId="0" borderId="9" xfId="0" applyFont="1" applyBorder="1" applyAlignment="1">
      <alignment horizontal="center" vertical="center" wrapText="1"/>
    </xf>
    <xf numFmtId="0" fontId="7" fillId="0" borderId="4" xfId="5" applyBorder="1">
      <alignment horizontal="left" vertical="center" wrapText="1"/>
    </xf>
    <xf numFmtId="0" fontId="7" fillId="0" borderId="1" xfId="6" applyFont="1" applyBorder="1" applyAlignment="1">
      <alignment horizontal="center" vertical="center" wrapText="1"/>
    </xf>
    <xf numFmtId="0" fontId="7" fillId="0" borderId="1" xfId="7" quotePrefix="1" applyFont="1" applyBorder="1" applyAlignment="1">
      <alignment horizontal="center" vertical="center" wrapText="1"/>
    </xf>
    <xf numFmtId="0" fontId="7" fillId="0" borderId="3" xfId="7" quotePrefix="1" applyFont="1" applyBorder="1" applyAlignment="1">
      <alignment horizontal="center" vertical="center" wrapText="1"/>
    </xf>
    <xf numFmtId="0" fontId="7" fillId="0" borderId="3" xfId="7" applyFont="1" applyBorder="1" applyAlignment="1">
      <alignment horizontal="center" vertical="center" wrapText="1"/>
    </xf>
    <xf numFmtId="0" fontId="7" fillId="0" borderId="11" xfId="8" applyFont="1" applyBorder="1" applyAlignment="1">
      <alignment horizontal="left" vertical="center" wrapText="1"/>
    </xf>
    <xf numFmtId="0" fontId="8" fillId="0" borderId="0" xfId="9" applyFont="1" applyBorder="1" applyAlignment="1">
      <alignment horizontal="center" vertical="top" wrapText="1"/>
    </xf>
    <xf numFmtId="0" fontId="8" fillId="0" borderId="0" xfId="10" applyFont="1" applyBorder="1" applyAlignment="1">
      <alignment horizontal="center" vertical="top" wrapText="1"/>
    </xf>
    <xf numFmtId="0" fontId="8" fillId="0" borderId="2" xfId="10" applyFont="1" applyBorder="1" applyAlignment="1">
      <alignment horizontal="center" vertical="top" wrapText="1"/>
    </xf>
    <xf numFmtId="0" fontId="8" fillId="0" borderId="2" xfId="13" applyFont="1" applyBorder="1" applyAlignment="1">
      <alignment horizontal="center" vertical="top" wrapText="1"/>
    </xf>
    <xf numFmtId="0" fontId="7" fillId="0" borderId="4" xfId="11" applyFont="1" applyBorder="1" applyAlignment="1">
      <alignment horizontal="left" vertical="center" wrapText="1"/>
    </xf>
    <xf numFmtId="0" fontId="8" fillId="0" borderId="1" xfId="9" applyFont="1" applyBorder="1" applyAlignment="1">
      <alignment horizontal="center" vertical="top" wrapText="1"/>
    </xf>
    <xf numFmtId="0" fontId="8" fillId="0" borderId="1" xfId="13" applyFont="1" applyBorder="1" applyAlignment="1">
      <alignment horizontal="center" vertical="top" wrapText="1"/>
    </xf>
    <xf numFmtId="0" fontId="8" fillId="0" borderId="3" xfId="13" applyFont="1" applyBorder="1" applyAlignment="1">
      <alignment horizontal="center" vertical="top" wrapText="1"/>
    </xf>
    <xf numFmtId="9" fontId="8" fillId="0" borderId="75" xfId="9" applyNumberFormat="1" applyFill="1" applyBorder="1">
      <alignment horizontal="center" vertical="top" wrapText="1"/>
    </xf>
    <xf numFmtId="166" fontId="8" fillId="0" borderId="0" xfId="10" applyNumberFormat="1">
      <alignment horizontal="right" vertical="top" wrapText="1"/>
    </xf>
    <xf numFmtId="0" fontId="7" fillId="0" borderId="19" xfId="5" applyBorder="1">
      <alignment horizontal="left" vertical="center" wrapText="1"/>
    </xf>
    <xf numFmtId="0" fontId="0" fillId="0" borderId="2" xfId="0" applyNumberFormat="1" applyBorder="1" applyAlignment="1">
      <alignment vertical="top" wrapText="1"/>
    </xf>
    <xf numFmtId="0" fontId="0" fillId="0" borderId="3" xfId="0" applyNumberFormat="1" applyBorder="1" applyAlignment="1">
      <alignment vertical="top" wrapText="1"/>
    </xf>
    <xf numFmtId="0" fontId="0" fillId="0" borderId="3" xfId="0" applyFill="1" applyBorder="1" applyAlignment="1">
      <alignment vertical="top" wrapText="1"/>
    </xf>
    <xf numFmtId="0" fontId="0" fillId="0" borderId="0" xfId="0" applyBorder="1" applyAlignment="1">
      <alignment vertical="top"/>
    </xf>
    <xf numFmtId="0" fontId="0" fillId="0" borderId="11" xfId="0" applyFill="1" applyBorder="1" applyAlignment="1">
      <alignment vertical="top"/>
    </xf>
    <xf numFmtId="0" fontId="0" fillId="0" borderId="4" xfId="0" applyFill="1" applyBorder="1" applyAlignment="1">
      <alignment vertical="top"/>
    </xf>
    <xf numFmtId="0" fontId="0" fillId="0" borderId="3" xfId="0" applyBorder="1" applyAlignment="1">
      <alignment vertical="top" wrapText="1"/>
    </xf>
    <xf numFmtId="0" fontId="9" fillId="0" borderId="11" xfId="12" applyBorder="1">
      <alignment horizontal="center" vertical="top" wrapText="1"/>
    </xf>
    <xf numFmtId="0" fontId="0" fillId="0" borderId="19" xfId="0" applyFill="1" applyBorder="1" applyAlignment="1">
      <alignment wrapText="1"/>
    </xf>
    <xf numFmtId="0" fontId="7" fillId="0" borderId="7" xfId="6" applyBorder="1">
      <alignment horizontal="center" vertical="center" wrapText="1"/>
    </xf>
    <xf numFmtId="0" fontId="7" fillId="0" borderId="14" xfId="6" applyBorder="1">
      <alignment horizontal="center" vertical="center" wrapText="1"/>
    </xf>
    <xf numFmtId="167" fontId="8" fillId="0" borderId="1" xfId="3" applyNumberFormat="1" applyFont="1" applyBorder="1" applyAlignment="1">
      <alignment horizontal="center" vertical="top" wrapText="1"/>
    </xf>
    <xf numFmtId="167" fontId="8" fillId="0" borderId="16" xfId="3" applyNumberFormat="1" applyFont="1" applyBorder="1" applyAlignment="1">
      <alignment horizontal="right" vertical="top" wrapText="1"/>
    </xf>
    <xf numFmtId="167" fontId="8" fillId="0" borderId="15" xfId="3" applyNumberFormat="1" applyFont="1" applyBorder="1" applyAlignment="1">
      <alignment horizontal="right" vertical="top" wrapText="1"/>
    </xf>
    <xf numFmtId="0" fontId="2" fillId="2" borderId="5" xfId="0" applyFont="1" applyFill="1" applyBorder="1" applyAlignment="1">
      <alignment horizontal="center"/>
    </xf>
    <xf numFmtId="0" fontId="2" fillId="0" borderId="6" xfId="0" applyFont="1" applyBorder="1" applyAlignment="1">
      <alignment wrapText="1"/>
    </xf>
    <xf numFmtId="0" fontId="2" fillId="0" borderId="6" xfId="9" applyNumberFormat="1" applyFont="1" applyFill="1" applyBorder="1" applyAlignment="1">
      <alignment wrapText="1"/>
    </xf>
    <xf numFmtId="0" fontId="2" fillId="0" borderId="6" xfId="0" applyFont="1" applyBorder="1" applyAlignment="1">
      <alignment horizontal="right" wrapText="1"/>
    </xf>
    <xf numFmtId="0" fontId="2" fillId="0" borderId="6" xfId="9" applyFont="1" applyBorder="1" applyAlignment="1">
      <alignment wrapText="1"/>
    </xf>
    <xf numFmtId="168" fontId="0" fillId="7" borderId="0" xfId="0" applyNumberFormat="1" applyFill="1" applyAlignment="1">
      <alignment vertical="top"/>
    </xf>
    <xf numFmtId="0" fontId="0" fillId="30" borderId="0" xfId="0" applyFill="1" applyAlignment="1">
      <alignment vertical="top"/>
    </xf>
    <xf numFmtId="168" fontId="0" fillId="30" borderId="0" xfId="0" applyNumberFormat="1" applyFill="1" applyAlignment="1">
      <alignment vertical="top"/>
    </xf>
    <xf numFmtId="0" fontId="7" fillId="0" borderId="4" xfId="7" quotePrefix="1" applyFont="1" applyBorder="1" applyAlignment="1">
      <alignment horizontal="center" vertical="center" wrapText="1"/>
    </xf>
    <xf numFmtId="0" fontId="8" fillId="0" borderId="11" xfId="10" applyFont="1" applyBorder="1" applyAlignment="1">
      <alignment horizontal="center" vertical="top" wrapText="1"/>
    </xf>
    <xf numFmtId="0" fontId="8" fillId="0" borderId="4" xfId="13" applyFont="1" applyBorder="1" applyAlignment="1">
      <alignment horizontal="center" vertical="top" wrapText="1"/>
    </xf>
    <xf numFmtId="0" fontId="2" fillId="2" borderId="5" xfId="0" applyNumberFormat="1" applyFont="1" applyFill="1" applyBorder="1" applyAlignment="1" applyProtection="1">
      <alignment horizontal="center"/>
    </xf>
    <xf numFmtId="0" fontId="2" fillId="0" borderId="6" xfId="0" applyNumberFormat="1" applyFont="1" applyFill="1" applyBorder="1" applyAlignment="1" applyProtection="1">
      <alignment wrapText="1"/>
    </xf>
    <xf numFmtId="0" fontId="1" fillId="0" borderId="0" xfId="0" applyNumberFormat="1" applyFont="1" applyFill="1" applyBorder="1" applyAlignment="1" applyProtection="1"/>
    <xf numFmtId="0" fontId="2" fillId="0" borderId="6" xfId="0" applyNumberFormat="1" applyFont="1" applyFill="1" applyBorder="1" applyAlignment="1" applyProtection="1">
      <alignment horizontal="right" wrapText="1"/>
    </xf>
    <xf numFmtId="0" fontId="7" fillId="0" borderId="8" xfId="0" applyFont="1" applyBorder="1" applyAlignment="1">
      <alignment horizontal="left" vertical="center" wrapText="1"/>
    </xf>
    <xf numFmtId="0" fontId="7" fillId="0" borderId="11" xfId="0" applyFont="1" applyBorder="1" applyAlignment="1">
      <alignment horizontal="left" vertical="center" wrapText="1"/>
    </xf>
    <xf numFmtId="0" fontId="7" fillId="0" borderId="4" xfId="0" applyFont="1" applyBorder="1" applyAlignment="1">
      <alignment horizontal="left" vertical="center" wrapText="1"/>
    </xf>
    <xf numFmtId="0" fontId="7" fillId="0" borderId="10"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8" fillId="0" borderId="8" xfId="0" applyFont="1" applyBorder="1" applyAlignment="1">
      <alignment horizontal="center" vertical="top" wrapText="1"/>
    </xf>
    <xf numFmtId="9" fontId="8" fillId="0" borderId="9" xfId="0" applyNumberFormat="1" applyFont="1" applyBorder="1" applyAlignment="1">
      <alignment horizontal="center" vertical="top" wrapText="1"/>
    </xf>
    <xf numFmtId="9" fontId="8" fillId="0" borderId="10" xfId="0" applyNumberFormat="1" applyFont="1" applyBorder="1" applyAlignment="1">
      <alignment horizontal="center" vertical="top" wrapText="1"/>
    </xf>
    <xf numFmtId="0" fontId="8" fillId="0" borderId="9" xfId="0" applyFont="1" applyBorder="1" applyAlignment="1">
      <alignment horizontal="center" vertical="top" wrapText="1"/>
    </xf>
    <xf numFmtId="0" fontId="8" fillId="0" borderId="11" xfId="0" applyFont="1" applyBorder="1" applyAlignment="1">
      <alignment horizontal="center" vertical="top" wrapText="1"/>
    </xf>
    <xf numFmtId="9" fontId="8" fillId="0" borderId="0" xfId="0" applyNumberFormat="1" applyFont="1" applyAlignment="1">
      <alignment horizontal="center" vertical="top" wrapText="1"/>
    </xf>
    <xf numFmtId="0" fontId="8" fillId="0" borderId="0" xfId="0" applyFont="1" applyAlignment="1">
      <alignment horizontal="center" vertical="top" wrapText="1"/>
    </xf>
    <xf numFmtId="9" fontId="8" fillId="0" borderId="2" xfId="0" applyNumberFormat="1" applyFont="1" applyBorder="1" applyAlignment="1">
      <alignment horizontal="center" vertical="top" wrapText="1"/>
    </xf>
    <xf numFmtId="0" fontId="8" fillId="0" borderId="4" xfId="0" applyFont="1" applyBorder="1" applyAlignment="1">
      <alignment horizontal="center" vertical="top" wrapText="1"/>
    </xf>
    <xf numFmtId="9" fontId="8" fillId="0" borderId="1" xfId="0" applyNumberFormat="1" applyFont="1" applyBorder="1" applyAlignment="1">
      <alignment horizontal="center" vertical="top" wrapText="1"/>
    </xf>
    <xf numFmtId="0" fontId="8" fillId="0" borderId="1" xfId="0" quotePrefix="1" applyFont="1" applyBorder="1" applyAlignment="1">
      <alignment horizontal="center" vertical="top" wrapText="1"/>
    </xf>
    <xf numFmtId="9" fontId="8" fillId="0" borderId="3" xfId="0" applyNumberFormat="1" applyFont="1" applyBorder="1" applyAlignment="1">
      <alignment horizontal="center" vertical="top" wrapText="1"/>
    </xf>
    <xf numFmtId="0" fontId="8" fillId="0" borderId="1" xfId="0" applyFont="1" applyBorder="1" applyAlignment="1">
      <alignment horizontal="center" vertical="top" wrapText="1"/>
    </xf>
    <xf numFmtId="0" fontId="8" fillId="0" borderId="3" xfId="0" applyFont="1" applyBorder="1" applyAlignment="1">
      <alignment horizontal="center" vertical="top" wrapText="1"/>
    </xf>
    <xf numFmtId="0" fontId="7" fillId="0" borderId="14" xfId="6" applyBorder="1">
      <alignment horizontal="center" vertical="center" wrapText="1"/>
    </xf>
    <xf numFmtId="167" fontId="8" fillId="0" borderId="9" xfId="0" applyNumberFormat="1" applyFont="1" applyBorder="1" applyAlignment="1">
      <alignment horizontal="center" vertical="top" wrapText="1"/>
    </xf>
    <xf numFmtId="167" fontId="8" fillId="0" borderId="0" xfId="0" applyNumberFormat="1" applyFont="1" applyAlignment="1">
      <alignment horizontal="center" vertical="top" wrapText="1"/>
    </xf>
    <xf numFmtId="167" fontId="8" fillId="0" borderId="1" xfId="0" quotePrefix="1" applyNumberFormat="1" applyFont="1" applyBorder="1" applyAlignment="1">
      <alignment horizontal="center" vertical="top" wrapText="1"/>
    </xf>
    <xf numFmtId="167" fontId="8" fillId="0" borderId="1" xfId="0" applyNumberFormat="1" applyFont="1" applyBorder="1" applyAlignment="1">
      <alignment horizontal="center" vertical="top" wrapText="1"/>
    </xf>
    <xf numFmtId="0" fontId="8" fillId="0" borderId="11" xfId="8" applyBorder="1">
      <alignment horizontal="left" vertical="top" wrapText="1"/>
    </xf>
    <xf numFmtId="0" fontId="8" fillId="0" borderId="4" xfId="8" applyBorder="1">
      <alignment horizontal="left" vertical="top" wrapText="1"/>
    </xf>
    <xf numFmtId="0" fontId="7" fillId="0" borderId="7" xfId="6" applyBorder="1">
      <alignment horizontal="center" vertical="center" wrapText="1"/>
    </xf>
    <xf numFmtId="0" fontId="7" fillId="0" borderId="20" xfId="6" applyBorder="1">
      <alignment horizontal="center" vertical="center" wrapText="1"/>
    </xf>
    <xf numFmtId="0" fontId="0" fillId="0" borderId="0" xfId="0"/>
    <xf numFmtId="0" fontId="0" fillId="0" borderId="0" xfId="0" applyAlignment="1">
      <alignment vertical="top"/>
    </xf>
    <xf numFmtId="0" fontId="41" fillId="0" borderId="14" xfId="0" applyFont="1" applyBorder="1" applyAlignment="1">
      <alignment vertical="top" wrapText="1"/>
    </xf>
    <xf numFmtId="0" fontId="42" fillId="0" borderId="14" xfId="0" applyFont="1" applyBorder="1" applyAlignment="1">
      <alignment vertical="top" wrapText="1"/>
    </xf>
    <xf numFmtId="0" fontId="40" fillId="0" borderId="1" xfId="0" applyFont="1" applyBorder="1" applyAlignment="1">
      <alignment horizontal="center" vertical="top"/>
    </xf>
    <xf numFmtId="0" fontId="44" fillId="2" borderId="5" xfId="0" applyNumberFormat="1" applyFont="1" applyFill="1" applyBorder="1" applyAlignment="1" applyProtection="1">
      <alignment horizontal="center"/>
    </xf>
    <xf numFmtId="0" fontId="44" fillId="0" borderId="6" xfId="0" applyNumberFormat="1" applyFont="1" applyFill="1" applyBorder="1" applyAlignment="1" applyProtection="1">
      <alignment horizontal="right" wrapText="1"/>
    </xf>
    <xf numFmtId="0" fontId="44" fillId="0" borderId="6" xfId="0" applyNumberFormat="1" applyFont="1" applyFill="1" applyBorder="1" applyAlignment="1" applyProtection="1">
      <alignment wrapText="1"/>
    </xf>
    <xf numFmtId="9" fontId="8" fillId="0" borderId="2" xfId="10" applyNumberFormat="1" applyBorder="1">
      <alignment horizontal="right" vertical="top" wrapText="1"/>
    </xf>
    <xf numFmtId="1" fontId="8" fillId="0" borderId="1" xfId="10" applyNumberFormat="1" applyBorder="1">
      <alignment horizontal="right" vertical="top" wrapText="1"/>
    </xf>
    <xf numFmtId="9" fontId="8" fillId="0" borderId="3" xfId="10" applyNumberFormat="1" applyBorder="1">
      <alignment horizontal="right" vertical="top" wrapText="1"/>
    </xf>
    <xf numFmtId="0" fontId="8" fillId="0" borderId="11" xfId="8" applyBorder="1" applyAlignment="1">
      <alignment horizontal="left" vertical="top"/>
    </xf>
    <xf numFmtId="0" fontId="0" fillId="0" borderId="2" xfId="0" applyBorder="1"/>
    <xf numFmtId="0" fontId="8" fillId="0" borderId="4" xfId="8" applyBorder="1" applyAlignment="1">
      <alignment horizontal="left" vertical="top"/>
    </xf>
    <xf numFmtId="168" fontId="8" fillId="0" borderId="1" xfId="10" applyNumberFormat="1" applyBorder="1">
      <alignment horizontal="right" vertical="top" wrapText="1"/>
    </xf>
    <xf numFmtId="0" fontId="0" fillId="0" borderId="3" xfId="0" applyBorder="1"/>
    <xf numFmtId="0" fontId="43" fillId="0" borderId="0" xfId="0" applyNumberFormat="1" applyFont="1" applyFill="1" applyBorder="1" applyAlignment="1" applyProtection="1">
      <alignment vertical="top"/>
    </xf>
    <xf numFmtId="0" fontId="43" fillId="0" borderId="0" xfId="0" applyFont="1" applyBorder="1" applyAlignment="1">
      <alignment vertical="top"/>
    </xf>
    <xf numFmtId="0" fontId="44" fillId="0" borderId="6" xfId="30" applyFont="1" applyBorder="1" applyAlignment="1">
      <alignment horizontal="right" wrapText="1"/>
    </xf>
    <xf numFmtId="0" fontId="44" fillId="0" borderId="6" xfId="0" applyFont="1" applyBorder="1" applyAlignment="1">
      <alignment wrapText="1"/>
    </xf>
    <xf numFmtId="0" fontId="44" fillId="0" borderId="6" xfId="0" applyFont="1" applyBorder="1" applyAlignment="1">
      <alignment horizontal="right" wrapText="1"/>
    </xf>
    <xf numFmtId="4" fontId="44" fillId="0" borderId="6" xfId="0" applyNumberFormat="1" applyFont="1" applyBorder="1" applyAlignment="1">
      <alignment horizontal="right" wrapText="1"/>
    </xf>
    <xf numFmtId="3" fontId="44" fillId="0" borderId="6" xfId="30" applyNumberFormat="1" applyFont="1" applyBorder="1" applyAlignment="1">
      <alignment horizontal="right" wrapText="1"/>
    </xf>
    <xf numFmtId="0" fontId="8" fillId="0" borderId="8" xfId="8" applyBorder="1">
      <alignment horizontal="left" vertical="top" wrapText="1"/>
    </xf>
    <xf numFmtId="0" fontId="8" fillId="0" borderId="9" xfId="9" applyBorder="1">
      <alignment horizontal="center" vertical="top" wrapText="1"/>
    </xf>
    <xf numFmtId="1" fontId="8" fillId="0" borderId="9" xfId="10" applyNumberFormat="1" applyBorder="1">
      <alignment horizontal="right" vertical="top" wrapText="1"/>
    </xf>
    <xf numFmtId="9" fontId="8" fillId="0" borderId="10" xfId="10" applyNumberFormat="1" applyBorder="1">
      <alignment horizontal="right" vertical="top" wrapText="1"/>
    </xf>
    <xf numFmtId="1" fontId="8" fillId="0" borderId="0" xfId="10" applyNumberFormat="1" applyBorder="1">
      <alignment horizontal="right" vertical="top" wrapText="1"/>
    </xf>
    <xf numFmtId="168" fontId="8" fillId="0" borderId="0" xfId="10" applyNumberFormat="1" applyBorder="1">
      <alignment horizontal="right" vertical="top" wrapText="1"/>
    </xf>
    <xf numFmtId="0" fontId="7" fillId="0" borderId="19" xfId="5" applyFill="1" applyBorder="1">
      <alignment horizontal="left" vertical="center" wrapText="1"/>
    </xf>
    <xf numFmtId="0" fontId="7" fillId="0" borderId="20" xfId="7" applyBorder="1">
      <alignment horizontal="right" vertical="center" wrapText="1"/>
    </xf>
    <xf numFmtId="0" fontId="40" fillId="0" borderId="0" xfId="0" applyFont="1" applyBorder="1" applyAlignment="1">
      <alignment horizontal="center" vertical="top"/>
    </xf>
    <xf numFmtId="0" fontId="29" fillId="0" borderId="0" xfId="34" applyBorder="1" applyAlignment="1">
      <alignment vertical="top"/>
    </xf>
    <xf numFmtId="0" fontId="39" fillId="0" borderId="0" xfId="0" applyFont="1" applyFill="1" applyAlignment="1">
      <alignment horizontal="center" vertical="top"/>
    </xf>
    <xf numFmtId="0" fontId="5" fillId="0" borderId="0" xfId="0" applyFont="1" applyFill="1" applyAlignment="1">
      <alignment horizontal="center" vertical="center" textRotation="90"/>
    </xf>
    <xf numFmtId="0" fontId="3" fillId="0" borderId="0" xfId="0" applyFont="1" applyAlignment="1">
      <alignment horizontal="left" vertical="top" wrapText="1"/>
    </xf>
    <xf numFmtId="0" fontId="5" fillId="3" borderId="0" xfId="0" applyFont="1" applyFill="1" applyAlignment="1">
      <alignment horizontal="left" vertical="top" wrapText="1"/>
    </xf>
    <xf numFmtId="0" fontId="5" fillId="0" borderId="0" xfId="0" applyFont="1" applyFill="1" applyAlignment="1">
      <alignment horizontal="center" vertical="top"/>
    </xf>
    <xf numFmtId="0" fontId="7" fillId="0" borderId="19" xfId="6" applyFont="1" applyBorder="1" applyAlignment="1">
      <alignment horizontal="center" vertical="center" wrapText="1"/>
    </xf>
    <xf numFmtId="0" fontId="7" fillId="0" borderId="7" xfId="6" applyFont="1" applyBorder="1" applyAlignment="1">
      <alignment horizontal="center" vertical="center" wrapText="1"/>
    </xf>
    <xf numFmtId="0" fontId="7" fillId="0" borderId="20" xfId="6" applyFont="1" applyBorder="1" applyAlignment="1">
      <alignment horizontal="center" vertical="center" wrapText="1"/>
    </xf>
    <xf numFmtId="0" fontId="5" fillId="0" borderId="0" xfId="0" applyFont="1" applyFill="1" applyAlignment="1">
      <alignment horizontal="center" vertical="top" textRotation="90"/>
    </xf>
    <xf numFmtId="0" fontId="8" fillId="0" borderId="11" xfId="8" applyBorder="1" applyAlignment="1">
      <alignment horizontal="left" vertical="top" wrapText="1"/>
    </xf>
    <xf numFmtId="0" fontId="8" fillId="0" borderId="0" xfId="8" applyBorder="1" applyAlignment="1">
      <alignment horizontal="left" vertical="top" wrapText="1"/>
    </xf>
    <xf numFmtId="0" fontId="8" fillId="0" borderId="2" xfId="8" applyBorder="1" applyAlignment="1">
      <alignment horizontal="left" vertical="top" wrapText="1"/>
    </xf>
    <xf numFmtId="0" fontId="8" fillId="0" borderId="4" xfId="8" applyBorder="1" applyAlignment="1">
      <alignment horizontal="left" vertical="top" wrapText="1"/>
    </xf>
    <xf numFmtId="0" fontId="8" fillId="0" borderId="1" xfId="8" applyBorder="1" applyAlignment="1">
      <alignment horizontal="left" vertical="top" wrapText="1"/>
    </xf>
    <xf numFmtId="0" fontId="8" fillId="0" borderId="3" xfId="8" applyBorder="1" applyAlignment="1">
      <alignment horizontal="left" vertical="top" wrapText="1"/>
    </xf>
    <xf numFmtId="0" fontId="7" fillId="0" borderId="19" xfId="6" applyBorder="1" applyAlignment="1">
      <alignment horizontal="center" vertical="center" wrapText="1"/>
    </xf>
    <xf numFmtId="0" fontId="7" fillId="0" borderId="7" xfId="6" applyBorder="1" applyAlignment="1">
      <alignment horizontal="center" vertical="center" wrapText="1"/>
    </xf>
    <xf numFmtId="0" fontId="7" fillId="0" borderId="20" xfId="6" applyBorder="1" applyAlignment="1">
      <alignment horizontal="center" vertical="center" wrapText="1"/>
    </xf>
    <xf numFmtId="0" fontId="8" fillId="0" borderId="8" xfId="8" applyBorder="1" applyAlignment="1">
      <alignment horizontal="left" vertical="top" wrapText="1"/>
    </xf>
    <xf numFmtId="0" fontId="8" fillId="0" borderId="9" xfId="8" applyBorder="1" applyAlignment="1">
      <alignment horizontal="left" vertical="top" wrapText="1"/>
    </xf>
    <xf numFmtId="0" fontId="8" fillId="0" borderId="10" xfId="8" applyBorder="1" applyAlignment="1">
      <alignment horizontal="left" vertical="top" wrapText="1"/>
    </xf>
    <xf numFmtId="0" fontId="8" fillId="0" borderId="11" xfId="8" applyBorder="1">
      <alignment horizontal="left" vertical="top" wrapText="1"/>
    </xf>
    <xf numFmtId="0" fontId="8" fillId="0" borderId="0" xfId="8" applyBorder="1">
      <alignment horizontal="left" vertical="top" wrapText="1"/>
    </xf>
    <xf numFmtId="0" fontId="8" fillId="0" borderId="2" xfId="8" applyBorder="1">
      <alignment horizontal="left" vertical="top" wrapText="1"/>
    </xf>
    <xf numFmtId="0" fontId="8" fillId="0" borderId="4" xfId="8" applyBorder="1">
      <alignment horizontal="left" vertical="top" wrapText="1"/>
    </xf>
    <xf numFmtId="0" fontId="8" fillId="0" borderId="1" xfId="8" applyBorder="1">
      <alignment horizontal="left" vertical="top" wrapText="1"/>
    </xf>
    <xf numFmtId="0" fontId="8" fillId="0" borderId="3" xfId="8" applyBorder="1">
      <alignment horizontal="left" vertical="top"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Alignment="1">
      <alignment horizontal="center" vertical="center" wrapText="1"/>
    </xf>
    <xf numFmtId="0" fontId="7" fillId="0" borderId="2" xfId="0" applyFont="1" applyBorder="1" applyAlignment="1">
      <alignment horizontal="center" vertical="center" wrapText="1"/>
    </xf>
    <xf numFmtId="0" fontId="7" fillId="0" borderId="9" xfId="6" applyBorder="1">
      <alignment horizontal="center" vertical="center" wrapText="1"/>
    </xf>
    <xf numFmtId="0" fontId="7" fillId="0" borderId="10" xfId="6" applyBorder="1">
      <alignment horizontal="center" vertical="center" wrapText="1"/>
    </xf>
    <xf numFmtId="0" fontId="7" fillId="0" borderId="9" xfId="6" applyFont="1" applyBorder="1">
      <alignment horizontal="center" vertical="center" wrapText="1"/>
    </xf>
    <xf numFmtId="0" fontId="7" fillId="0" borderId="10" xfId="6" applyFont="1" applyBorder="1">
      <alignment horizontal="center" vertical="center" wrapText="1"/>
    </xf>
    <xf numFmtId="0" fontId="7" fillId="0" borderId="2" xfId="6" applyBorder="1">
      <alignment horizontal="center" vertical="center" wrapText="1"/>
    </xf>
    <xf numFmtId="0" fontId="7" fillId="0" borderId="19" xfId="6" applyBorder="1">
      <alignment horizontal="center" vertical="center" wrapText="1"/>
    </xf>
    <xf numFmtId="0" fontId="7" fillId="0" borderId="7" xfId="6" applyBorder="1">
      <alignment horizontal="center" vertical="center" wrapText="1"/>
    </xf>
    <xf numFmtId="0" fontId="7" fillId="0" borderId="20" xfId="6" applyBorder="1">
      <alignment horizontal="center" vertical="center" wrapText="1"/>
    </xf>
    <xf numFmtId="9" fontId="8" fillId="0" borderId="45" xfId="9" applyNumberFormat="1" applyFill="1" applyBorder="1">
      <alignment horizontal="center" vertical="top" wrapText="1"/>
    </xf>
    <xf numFmtId="0" fontId="8" fillId="0" borderId="46" xfId="8" applyFill="1" applyBorder="1">
      <alignment horizontal="left" vertical="top" wrapText="1"/>
    </xf>
    <xf numFmtId="0" fontId="8" fillId="0" borderId="48" xfId="8" applyFill="1" applyBorder="1">
      <alignment horizontal="left" vertical="top" wrapText="1"/>
    </xf>
    <xf numFmtId="0" fontId="8" fillId="0" borderId="51" xfId="8" applyFill="1" applyBorder="1">
      <alignment horizontal="left" vertical="top" wrapText="1"/>
    </xf>
    <xf numFmtId="9" fontId="8" fillId="0" borderId="47" xfId="9" applyNumberFormat="1" applyFill="1" applyBorder="1">
      <alignment horizontal="center" vertical="top" wrapText="1"/>
    </xf>
    <xf numFmtId="9" fontId="8" fillId="0" borderId="49" xfId="9" applyNumberFormat="1" applyFill="1" applyBorder="1">
      <alignment horizontal="center" vertical="top" wrapText="1"/>
    </xf>
    <xf numFmtId="9" fontId="8" fillId="0" borderId="52" xfId="9" applyNumberFormat="1" applyFill="1" applyBorder="1">
      <alignment horizontal="center" vertical="top" wrapText="1"/>
    </xf>
    <xf numFmtId="0" fontId="0" fillId="28" borderId="36" xfId="0" applyFill="1" applyBorder="1" applyAlignment="1">
      <alignment horizontal="center"/>
    </xf>
    <xf numFmtId="0" fontId="0" fillId="28" borderId="39" xfId="0" applyFill="1" applyBorder="1" applyAlignment="1">
      <alignment horizontal="center"/>
    </xf>
    <xf numFmtId="0" fontId="0" fillId="28" borderId="50" xfId="0" applyFill="1" applyBorder="1" applyAlignment="1">
      <alignment horizontal="center"/>
    </xf>
    <xf numFmtId="0" fontId="7" fillId="0" borderId="37" xfId="6" applyFill="1" applyBorder="1">
      <alignment horizontal="center" vertical="center" wrapText="1"/>
    </xf>
    <xf numFmtId="0" fontId="7" fillId="0" borderId="40" xfId="6" applyFill="1" applyBorder="1">
      <alignment horizontal="center" vertical="center" wrapText="1"/>
    </xf>
    <xf numFmtId="0" fontId="7" fillId="0" borderId="38" xfId="6" applyFill="1" applyBorder="1">
      <alignment horizontal="center" vertical="center" wrapText="1"/>
    </xf>
    <xf numFmtId="0" fontId="7" fillId="0" borderId="41" xfId="6" applyFill="1" applyBorder="1">
      <alignment horizontal="center" vertical="center" wrapText="1"/>
    </xf>
    <xf numFmtId="0" fontId="8" fillId="0" borderId="42" xfId="8" applyFill="1" applyBorder="1">
      <alignment horizontal="left" vertical="top" wrapText="1"/>
    </xf>
    <xf numFmtId="0" fontId="8" fillId="0" borderId="44" xfId="8" applyFill="1" applyBorder="1">
      <alignment horizontal="left" vertical="top" wrapText="1"/>
    </xf>
    <xf numFmtId="9" fontId="17" fillId="0" borderId="43" xfId="9" applyNumberFormat="1" applyFont="1" applyFill="1" applyBorder="1">
      <alignment horizontal="center" vertical="top" wrapText="1"/>
    </xf>
    <xf numFmtId="9" fontId="17" fillId="0" borderId="45" xfId="9" applyNumberFormat="1" applyFont="1" applyFill="1" applyBorder="1">
      <alignment horizontal="center" vertical="top" wrapText="1"/>
    </xf>
    <xf numFmtId="0" fontId="7" fillId="0" borderId="36" xfId="6" applyFill="1" applyBorder="1">
      <alignment horizontal="center" vertical="center" wrapText="1"/>
    </xf>
    <xf numFmtId="0" fontId="7" fillId="0" borderId="55" xfId="6" applyFill="1" applyBorder="1">
      <alignment horizontal="center" vertical="center" wrapText="1"/>
    </xf>
    <xf numFmtId="0" fontId="8" fillId="0" borderId="61" xfId="8" applyBorder="1">
      <alignment horizontal="left" vertical="top" wrapText="1"/>
    </xf>
    <xf numFmtId="0" fontId="8" fillId="0" borderId="64" xfId="8" applyBorder="1">
      <alignment horizontal="left" vertical="top" wrapText="1"/>
    </xf>
    <xf numFmtId="0" fontId="8" fillId="0" borderId="67" xfId="8" applyBorder="1">
      <alignment horizontal="left" vertical="top" wrapText="1"/>
    </xf>
    <xf numFmtId="0" fontId="7" fillId="0" borderId="14" xfId="6" applyBorder="1">
      <alignment horizontal="center" vertical="center" wrapText="1"/>
    </xf>
    <xf numFmtId="0" fontId="35" fillId="0" borderId="19" xfId="0" applyFont="1" applyFill="1" applyBorder="1" applyAlignment="1">
      <alignment horizontal="left" vertical="top" wrapText="1"/>
    </xf>
    <xf numFmtId="0" fontId="35" fillId="0" borderId="7" xfId="0" applyFont="1" applyFill="1" applyBorder="1" applyAlignment="1">
      <alignment horizontal="left" vertical="top" wrapText="1"/>
    </xf>
    <xf numFmtId="0" fontId="35" fillId="0" borderId="20" xfId="0" applyFont="1" applyFill="1" applyBorder="1" applyAlignment="1">
      <alignment horizontal="left" vertical="top" wrapText="1"/>
    </xf>
    <xf numFmtId="0" fontId="7" fillId="0" borderId="70" xfId="6" applyBorder="1" applyAlignment="1">
      <alignment horizontal="center" vertical="center" wrapText="1"/>
    </xf>
    <xf numFmtId="0" fontId="7" fillId="0" borderId="15" xfId="6" applyBorder="1" applyAlignment="1">
      <alignment horizontal="center" vertical="center" wrapText="1"/>
    </xf>
    <xf numFmtId="0" fontId="33" fillId="0" borderId="70" xfId="0" applyFont="1" applyBorder="1" applyAlignment="1">
      <alignment horizontal="center" wrapText="1"/>
    </xf>
    <xf numFmtId="0" fontId="33" fillId="0" borderId="15" xfId="0" applyFont="1" applyBorder="1" applyAlignment="1">
      <alignment horizontal="center" wrapText="1"/>
    </xf>
    <xf numFmtId="0" fontId="0" fillId="0" borderId="4" xfId="0" applyBorder="1" applyAlignment="1">
      <alignment horizontal="left" vertical="top" wrapText="1"/>
    </xf>
    <xf numFmtId="0" fontId="0" fillId="0" borderId="1" xfId="0" applyBorder="1" applyAlignment="1">
      <alignment horizontal="left" vertical="top" wrapText="1"/>
    </xf>
    <xf numFmtId="0" fontId="0" fillId="0" borderId="3" xfId="0" applyBorder="1" applyAlignment="1">
      <alignment horizontal="left" vertical="top" wrapText="1"/>
    </xf>
    <xf numFmtId="0" fontId="8" fillId="0" borderId="11" xfId="0" applyFont="1" applyFill="1" applyBorder="1" applyAlignment="1"/>
    <xf numFmtId="0" fontId="8" fillId="0" borderId="0" xfId="0" applyFont="1" applyFill="1" applyBorder="1" applyAlignment="1"/>
    <xf numFmtId="0" fontId="8" fillId="0" borderId="2" xfId="0" applyFont="1" applyFill="1" applyBorder="1" applyAlignment="1"/>
    <xf numFmtId="0" fontId="8" fillId="0" borderId="0" xfId="0" applyFont="1" applyBorder="1" applyAlignment="1"/>
    <xf numFmtId="0" fontId="8" fillId="0" borderId="2" xfId="0" applyFont="1" applyBorder="1" applyAlignment="1"/>
    <xf numFmtId="0" fontId="8" fillId="0" borderId="11" xfId="0" applyFont="1" applyBorder="1" applyAlignment="1">
      <alignment horizontal="left" vertical="top"/>
    </xf>
    <xf numFmtId="0" fontId="8" fillId="0" borderId="0" xfId="0" applyFont="1" applyBorder="1" applyAlignment="1">
      <alignment horizontal="left" vertical="top"/>
    </xf>
    <xf numFmtId="0" fontId="8" fillId="0" borderId="2" xfId="0" applyFont="1" applyBorder="1" applyAlignment="1">
      <alignment horizontal="left" vertical="top"/>
    </xf>
    <xf numFmtId="0" fontId="8" fillId="0" borderId="11" xfId="0" applyFont="1" applyFill="1" applyBorder="1" applyAlignment="1">
      <alignment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11" xfId="0" applyFont="1" applyFill="1" applyBorder="1" applyAlignment="1">
      <alignment horizontal="right" wrapText="1"/>
    </xf>
    <xf numFmtId="0" fontId="8" fillId="0" borderId="0" xfId="0" applyFont="1" applyBorder="1" applyAlignment="1">
      <alignment wrapText="1"/>
    </xf>
    <xf numFmtId="0" fontId="8" fillId="0" borderId="2" xfId="0" applyFont="1" applyBorder="1" applyAlignment="1">
      <alignment wrapText="1"/>
    </xf>
    <xf numFmtId="0" fontId="0" fillId="0" borderId="11" xfId="0" applyFill="1" applyBorder="1" applyAlignment="1">
      <alignment horizontal="right" wrapText="1"/>
    </xf>
    <xf numFmtId="0" fontId="0" fillId="0" borderId="0" xfId="0" applyBorder="1" applyAlignment="1">
      <alignment wrapText="1"/>
    </xf>
    <xf numFmtId="0" fontId="0" fillId="0" borderId="2" xfId="0" applyBorder="1" applyAlignment="1">
      <alignment wrapText="1"/>
    </xf>
    <xf numFmtId="0" fontId="3" fillId="0" borderId="11" xfId="0" applyFont="1" applyFill="1" applyBorder="1" applyAlignment="1">
      <alignment horizontal="center" vertical="top"/>
    </xf>
    <xf numFmtId="0" fontId="3" fillId="0" borderId="0" xfId="0" applyFont="1" applyBorder="1" applyAlignment="1">
      <alignment horizontal="center" vertical="top"/>
    </xf>
    <xf numFmtId="0" fontId="3" fillId="0" borderId="2" xfId="0" applyFont="1" applyBorder="1" applyAlignment="1">
      <alignment horizontal="center" vertical="top"/>
    </xf>
    <xf numFmtId="0" fontId="0" fillId="0" borderId="11" xfId="0" applyBorder="1" applyAlignment="1">
      <alignment horizontal="left" vertical="top" wrapText="1"/>
    </xf>
    <xf numFmtId="0" fontId="0" fillId="0" borderId="0" xfId="0" applyBorder="1" applyAlignment="1">
      <alignment horizontal="left" vertical="top" wrapText="1"/>
    </xf>
    <xf numFmtId="0" fontId="0" fillId="0" borderId="2" xfId="0" applyBorder="1" applyAlignment="1">
      <alignment horizontal="left" vertical="top" wrapText="1"/>
    </xf>
    <xf numFmtId="0" fontId="0" fillId="0" borderId="11" xfId="0" applyBorder="1" applyAlignment="1">
      <alignment horizontal="left" vertical="top"/>
    </xf>
    <xf numFmtId="0" fontId="0" fillId="0" borderId="0" xfId="0" applyBorder="1" applyAlignment="1">
      <alignment horizontal="left" vertical="top"/>
    </xf>
    <xf numFmtId="0" fontId="0" fillId="0" borderId="2" xfId="0" applyBorder="1" applyAlignment="1">
      <alignment horizontal="left" vertical="top"/>
    </xf>
    <xf numFmtId="0" fontId="17" fillId="0" borderId="11" xfId="9" applyFont="1" applyFill="1" applyBorder="1" applyAlignment="1">
      <alignment horizontal="center" vertical="top" wrapText="1"/>
    </xf>
    <xf numFmtId="0" fontId="3" fillId="0" borderId="0" xfId="0" applyFont="1" applyBorder="1" applyAlignment="1">
      <alignment horizontal="center" wrapText="1"/>
    </xf>
    <xf numFmtId="0" fontId="3" fillId="0" borderId="2" xfId="0" applyFont="1" applyBorder="1" applyAlignment="1">
      <alignment horizontal="center" wrapText="1"/>
    </xf>
    <xf numFmtId="0" fontId="0" fillId="0" borderId="0" xfId="0" applyAlignment="1">
      <alignment horizontal="left" vertical="top" wrapText="1"/>
    </xf>
    <xf numFmtId="0" fontId="18" fillId="0" borderId="0" xfId="0" applyFont="1" applyAlignment="1">
      <alignment horizontal="left" vertical="top" wrapText="1" indent="3"/>
    </xf>
    <xf numFmtId="0" fontId="0" fillId="0" borderId="0" xfId="0" applyAlignment="1">
      <alignment horizontal="left" vertical="top" wrapText="1" indent="1"/>
    </xf>
    <xf numFmtId="0" fontId="5" fillId="3" borderId="0" xfId="0" applyFont="1" applyFill="1" applyAlignment="1">
      <alignment horizontal="center" vertical="top"/>
    </xf>
    <xf numFmtId="0" fontId="5" fillId="3" borderId="0" xfId="0" applyFont="1" applyFill="1" applyAlignment="1">
      <alignment horizontal="center" vertical="center" textRotation="90"/>
    </xf>
    <xf numFmtId="0" fontId="7" fillId="0" borderId="8" xfId="5" applyBorder="1">
      <alignment horizontal="left" vertical="center" wrapText="1"/>
    </xf>
    <xf numFmtId="0" fontId="7" fillId="0" borderId="11" xfId="5" applyBorder="1">
      <alignment horizontal="left" vertical="center" wrapText="1"/>
    </xf>
    <xf numFmtId="0" fontId="7" fillId="0" borderId="0" xfId="6" applyBorder="1">
      <alignment horizontal="center" vertical="center" wrapText="1"/>
    </xf>
    <xf numFmtId="0" fontId="7" fillId="0" borderId="10" xfId="7" applyBorder="1">
      <alignment horizontal="right" vertical="center" wrapText="1"/>
    </xf>
    <xf numFmtId="0" fontId="7" fillId="0" borderId="2" xfId="7" applyBorder="1">
      <alignment horizontal="right" vertical="center" wrapText="1"/>
    </xf>
  </cellXfs>
  <cellStyles count="37">
    <cellStyle name="Comma" xfId="3" builtinId="3"/>
    <cellStyle name="Comma0" xfId="14"/>
    <cellStyle name="Currency" xfId="35" builtinId="4"/>
    <cellStyle name="Hyperlink" xfId="34" builtinId="8"/>
    <cellStyle name="no dec" xfId="15"/>
    <cellStyle name="Normal" xfId="0" builtinId="0"/>
    <cellStyle name="Normal 2" xfId="16"/>
    <cellStyle name="Normal_11D" xfId="27"/>
    <cellStyle name="Normal_12D" xfId="23"/>
    <cellStyle name="Normal_13D" xfId="28"/>
    <cellStyle name="Normal_13D (2)" xfId="29"/>
    <cellStyle name="Normal_14D" xfId="30"/>
    <cellStyle name="Normal_15D" xfId="31"/>
    <cellStyle name="Normal_17D" xfId="32"/>
    <cellStyle name="Normal_17D_1" xfId="33"/>
    <cellStyle name="Normal_4D" xfId="24"/>
    <cellStyle name="Normal_7D" xfId="26"/>
    <cellStyle name="Normal_9" xfId="36"/>
    <cellStyle name="Normal_FileReviewW12" xfId="25"/>
    <cellStyle name="Normal_Measures" xfId="18"/>
    <cellStyle name="Normal_PG&amp;E Measures" xfId="19"/>
    <cellStyle name="Normal_PG&amp;E Surveyed Feb27 Updated" xfId="20"/>
    <cellStyle name="Normal_SBW PG&amp;E Review" xfId="22"/>
    <cellStyle name="Normal_Sheet1" xfId="2"/>
    <cellStyle name="Normal_Sheet3" xfId="1"/>
    <cellStyle name="Normal_Sheet4" xfId="21"/>
    <cellStyle name="Percent" xfId="4" builtinId="5"/>
    <cellStyle name="Percent 2" xfId="17"/>
    <cellStyle name="tbl head" xfId="5"/>
    <cellStyle name="tbl head c" xfId="6"/>
    <cellStyle name="tbl head r" xfId="7"/>
    <cellStyle name="tbl strong" xfId="11"/>
    <cellStyle name="tbl strong c" xfId="12"/>
    <cellStyle name="tbl strong r" xfId="13"/>
    <cellStyle name="tbl text" xfId="8"/>
    <cellStyle name="tbl text c" xfId="9"/>
    <cellStyle name="tbl text r" xfId="1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'2D'!$B$2</c:f>
              <c:strCache>
                <c:ptCount val="1"/>
                <c:pt idx="0">
                  <c:v>Median</c:v>
                </c:pt>
              </c:strCache>
            </c:strRef>
          </c:tx>
          <c:spPr>
            <a:ln>
              <a:noFill/>
            </a:ln>
          </c:spPr>
          <c:marker>
            <c:symbol val="dash"/>
            <c:size val="10"/>
            <c:spPr>
              <a:solidFill>
                <a:schemeClr val="tx1"/>
              </a:solidFill>
              <a:ln>
                <a:noFill/>
              </a:ln>
            </c:spPr>
          </c:marker>
          <c:cat>
            <c:strRef>
              <c:f>'2D'!$A$3:$A$8</c:f>
              <c:strCache>
                <c:ptCount val="6"/>
                <c:pt idx="0">
                  <c:v>SCE/SCG kWh (n=13, mean=68%)</c:v>
                </c:pt>
                <c:pt idx="1">
                  <c:v>PG&amp;E kWh (n=17, mean=56%)</c:v>
                </c:pt>
                <c:pt idx="2">
                  <c:v>SCE/SCG Therms (n=13, mean=39%)</c:v>
                </c:pt>
                <c:pt idx="3">
                  <c:v>PG&amp;E Therms (n=17, mean=43%)</c:v>
                </c:pt>
                <c:pt idx="4">
                  <c:v>SCE/SCG Total Energy (n=13, mean=40%)</c:v>
                </c:pt>
                <c:pt idx="5">
                  <c:v>PG&amp;E Total Energy (n=17, mean=40%)</c:v>
                </c:pt>
              </c:strCache>
            </c:strRef>
          </c:cat>
          <c:val>
            <c:numRef>
              <c:f>'2D'!$B$3:$B$8</c:f>
              <c:numCache>
                <c:formatCode>0%</c:formatCode>
                <c:ptCount val="6"/>
                <c:pt idx="0">
                  <c:v>0.48194367752622858</c:v>
                </c:pt>
                <c:pt idx="1">
                  <c:v>0.42382170259408108</c:v>
                </c:pt>
                <c:pt idx="2">
                  <c:v>7.2222222222222215E-2</c:v>
                </c:pt>
                <c:pt idx="3">
                  <c:v>0.31337579617834393</c:v>
                </c:pt>
                <c:pt idx="4">
                  <c:v>0.25804748441598258</c:v>
                </c:pt>
                <c:pt idx="5">
                  <c:v>0.3316950084343972</c:v>
                </c:pt>
              </c:numCache>
            </c:numRef>
          </c:val>
          <c:smooth val="0"/>
        </c:ser>
        <c:dLbls>
          <c:showLegendKey val="0"/>
          <c:showVal val="0"/>
          <c:showCatName val="0"/>
          <c:showSerName val="0"/>
          <c:showPercent val="0"/>
          <c:showBubbleSize val="0"/>
        </c:dLbls>
        <c:marker val="1"/>
        <c:smooth val="0"/>
        <c:axId val="127248640"/>
        <c:axId val="127262720"/>
      </c:lineChart>
      <c:stockChart>
        <c:ser>
          <c:idx val="1"/>
          <c:order val="1"/>
          <c:tx>
            <c:strRef>
              <c:f>'2D'!$C$2</c:f>
              <c:strCache>
                <c:ptCount val="1"/>
              </c:strCache>
            </c:strRef>
          </c:tx>
          <c:spPr>
            <a:ln w="28575">
              <a:noFill/>
            </a:ln>
          </c:spPr>
          <c:marker>
            <c:symbol val="none"/>
          </c:marker>
          <c:cat>
            <c:strRef>
              <c:f>'2D'!$A$3:$A$8</c:f>
              <c:strCache>
                <c:ptCount val="6"/>
                <c:pt idx="0">
                  <c:v>SCE/SCG kWh (n=13, mean=68%)</c:v>
                </c:pt>
                <c:pt idx="1">
                  <c:v>PG&amp;E kWh (n=17, mean=56%)</c:v>
                </c:pt>
                <c:pt idx="2">
                  <c:v>SCE/SCG Therms (n=13, mean=39%)</c:v>
                </c:pt>
                <c:pt idx="3">
                  <c:v>PG&amp;E Therms (n=17, mean=43%)</c:v>
                </c:pt>
                <c:pt idx="4">
                  <c:v>SCE/SCG Total Energy (n=13, mean=40%)</c:v>
                </c:pt>
                <c:pt idx="5">
                  <c:v>PG&amp;E Total Energy (n=17, mean=40%)</c:v>
                </c:pt>
              </c:strCache>
            </c:strRef>
          </c:cat>
          <c:val>
            <c:numRef>
              <c:f>'2D'!$C$3:$C$8</c:f>
              <c:numCache>
                <c:formatCode>0%</c:formatCode>
                <c:ptCount val="6"/>
                <c:pt idx="0">
                  <c:v>0.25009248982611915</c:v>
                </c:pt>
                <c:pt idx="1">
                  <c:v>-1.9271948608137045E-2</c:v>
                </c:pt>
                <c:pt idx="2">
                  <c:v>-6.9306930693069313E-2</c:v>
                </c:pt>
                <c:pt idx="3">
                  <c:v>0.18255250403877221</c:v>
                </c:pt>
                <c:pt idx="4">
                  <c:v>3.3661810047760289E-2</c:v>
                </c:pt>
                <c:pt idx="5">
                  <c:v>0.17977438345416014</c:v>
                </c:pt>
              </c:numCache>
            </c:numRef>
          </c:val>
          <c:smooth val="0"/>
        </c:ser>
        <c:ser>
          <c:idx val="2"/>
          <c:order val="2"/>
          <c:tx>
            <c:strRef>
              <c:f>'2D'!$E$2</c:f>
              <c:strCache>
                <c:ptCount val="1"/>
              </c:strCache>
            </c:strRef>
          </c:tx>
          <c:spPr>
            <a:ln w="28575">
              <a:noFill/>
            </a:ln>
          </c:spPr>
          <c:marker>
            <c:symbol val="none"/>
          </c:marker>
          <c:cat>
            <c:strRef>
              <c:f>'2D'!$A$3:$A$8</c:f>
              <c:strCache>
                <c:ptCount val="6"/>
                <c:pt idx="0">
                  <c:v>SCE/SCG kWh (n=13, mean=68%)</c:v>
                </c:pt>
                <c:pt idx="1">
                  <c:v>PG&amp;E kWh (n=17, mean=56%)</c:v>
                </c:pt>
                <c:pt idx="2">
                  <c:v>SCE/SCG Therms (n=13, mean=39%)</c:v>
                </c:pt>
                <c:pt idx="3">
                  <c:v>PG&amp;E Therms (n=17, mean=43%)</c:v>
                </c:pt>
                <c:pt idx="4">
                  <c:v>SCE/SCG Total Energy (n=13, mean=40%)</c:v>
                </c:pt>
                <c:pt idx="5">
                  <c:v>PG&amp;E Total Energy (n=17, mean=40%)</c:v>
                </c:pt>
              </c:strCache>
            </c:strRef>
          </c:cat>
          <c:val>
            <c:numRef>
              <c:f>'2D'!$E$3:$E$8</c:f>
              <c:numCache>
                <c:formatCode>0%</c:formatCode>
                <c:ptCount val="6"/>
                <c:pt idx="0">
                  <c:v>2.9325250395361095</c:v>
                </c:pt>
                <c:pt idx="1">
                  <c:v>1.9015352038115405</c:v>
                </c:pt>
                <c:pt idx="2">
                  <c:v>1.9753086419753085</c:v>
                </c:pt>
                <c:pt idx="3">
                  <c:v>1.6083916083916083</c:v>
                </c:pt>
                <c:pt idx="4">
                  <c:v>1.8312593628283236</c:v>
                </c:pt>
                <c:pt idx="5">
                  <c:v>1.6994851042129333</c:v>
                </c:pt>
              </c:numCache>
            </c:numRef>
          </c:val>
          <c:smooth val="0"/>
        </c:ser>
        <c:ser>
          <c:idx val="3"/>
          <c:order val="3"/>
          <c:tx>
            <c:strRef>
              <c:f>'2D'!$D$2</c:f>
              <c:strCache>
                <c:ptCount val="1"/>
              </c:strCache>
            </c:strRef>
          </c:tx>
          <c:spPr>
            <a:ln w="28575">
              <a:noFill/>
            </a:ln>
          </c:spPr>
          <c:marker>
            <c:symbol val="none"/>
          </c:marker>
          <c:cat>
            <c:strRef>
              <c:f>'2D'!$A$3:$A$8</c:f>
              <c:strCache>
                <c:ptCount val="6"/>
                <c:pt idx="0">
                  <c:v>SCE/SCG kWh (n=13, mean=68%)</c:v>
                </c:pt>
                <c:pt idx="1">
                  <c:v>PG&amp;E kWh (n=17, mean=56%)</c:v>
                </c:pt>
                <c:pt idx="2">
                  <c:v>SCE/SCG Therms (n=13, mean=39%)</c:v>
                </c:pt>
                <c:pt idx="3">
                  <c:v>PG&amp;E Therms (n=17, mean=43%)</c:v>
                </c:pt>
                <c:pt idx="4">
                  <c:v>SCE/SCG Total Energy (n=13, mean=40%)</c:v>
                </c:pt>
                <c:pt idx="5">
                  <c:v>PG&amp;E Total Energy (n=17, mean=40%)</c:v>
                </c:pt>
              </c:strCache>
            </c:strRef>
          </c:cat>
          <c:val>
            <c:numRef>
              <c:f>'2D'!$D$3:$D$8</c:f>
              <c:numCache>
                <c:formatCode>0%</c:formatCode>
                <c:ptCount val="6"/>
                <c:pt idx="0">
                  <c:v>-0.46393210749646391</c:v>
                </c:pt>
                <c:pt idx="1">
                  <c:v>-0.78386428386428386</c:v>
                </c:pt>
                <c:pt idx="2">
                  <c:v>-0.45165238678090575</c:v>
                </c:pt>
                <c:pt idx="3">
                  <c:v>-0.36208178438661709</c:v>
                </c:pt>
                <c:pt idx="4">
                  <c:v>-0.39943380008464091</c:v>
                </c:pt>
                <c:pt idx="5">
                  <c:v>-0.33071261989673223</c:v>
                </c:pt>
              </c:numCache>
            </c:numRef>
          </c:val>
          <c:smooth val="0"/>
        </c:ser>
        <c:ser>
          <c:idx val="5"/>
          <c:order val="4"/>
          <c:tx>
            <c:strRef>
              <c:f>'2D'!$G$2</c:f>
              <c:strCache>
                <c:ptCount val="1"/>
                <c:pt idx="0">
                  <c:v>Mean</c:v>
                </c:pt>
              </c:strCache>
            </c:strRef>
          </c:tx>
          <c:spPr>
            <a:ln w="28575">
              <a:noFill/>
            </a:ln>
          </c:spPr>
          <c:marker>
            <c:symbol val="circle"/>
            <c:size val="6"/>
            <c:spPr>
              <a:noFill/>
              <a:ln>
                <a:solidFill>
                  <a:schemeClr val="tx1">
                    <a:shade val="95000"/>
                    <a:satMod val="105000"/>
                  </a:schemeClr>
                </a:solidFill>
              </a:ln>
            </c:spPr>
          </c:marker>
          <c:val>
            <c:numRef>
              <c:f>'2D'!$G$3:$G$8</c:f>
              <c:numCache>
                <c:formatCode>0%</c:formatCode>
                <c:ptCount val="6"/>
                <c:pt idx="0">
                  <c:v>0.68470353575374143</c:v>
                </c:pt>
                <c:pt idx="1">
                  <c:v>0.56052220341403858</c:v>
                </c:pt>
                <c:pt idx="2">
                  <c:v>0.38825968546116663</c:v>
                </c:pt>
                <c:pt idx="3">
                  <c:v>0.43391258473731664</c:v>
                </c:pt>
                <c:pt idx="4">
                  <c:v>0.39763045578563538</c:v>
                </c:pt>
                <c:pt idx="5">
                  <c:v>0.39900783461817024</c:v>
                </c:pt>
              </c:numCache>
            </c:numRef>
          </c:val>
          <c:smooth val="0"/>
        </c:ser>
        <c:ser>
          <c:idx val="4"/>
          <c:order val="5"/>
          <c:tx>
            <c:strRef>
              <c:f>'2D'!$F$2</c:f>
              <c:strCache>
                <c:ptCount val="1"/>
              </c:strCache>
            </c:strRef>
          </c:tx>
          <c:spPr>
            <a:ln w="28575">
              <a:noFill/>
            </a:ln>
          </c:spPr>
          <c:marker>
            <c:symbol val="none"/>
          </c:marker>
          <c:cat>
            <c:strRef>
              <c:f>'2D'!$A$3:$A$8</c:f>
              <c:strCache>
                <c:ptCount val="6"/>
                <c:pt idx="0">
                  <c:v>SCE/SCG kWh (n=13, mean=68%)</c:v>
                </c:pt>
                <c:pt idx="1">
                  <c:v>PG&amp;E kWh (n=17, mean=56%)</c:v>
                </c:pt>
                <c:pt idx="2">
                  <c:v>SCE/SCG Therms (n=13, mean=39%)</c:v>
                </c:pt>
                <c:pt idx="3">
                  <c:v>PG&amp;E Therms (n=17, mean=43%)</c:v>
                </c:pt>
                <c:pt idx="4">
                  <c:v>SCE/SCG Total Energy (n=13, mean=40%)</c:v>
                </c:pt>
                <c:pt idx="5">
                  <c:v>PG&amp;E Total Energy (n=17, mean=40%)</c:v>
                </c:pt>
              </c:strCache>
            </c:strRef>
          </c:cat>
          <c:val>
            <c:numRef>
              <c:f>'2D'!$F$3:$F$8</c:f>
              <c:numCache>
                <c:formatCode>0%</c:formatCode>
                <c:ptCount val="6"/>
                <c:pt idx="0">
                  <c:v>0.87691466083150982</c:v>
                </c:pt>
                <c:pt idx="1">
                  <c:v>1.2204753199268739</c:v>
                </c:pt>
                <c:pt idx="2">
                  <c:v>0.45348837209302323</c:v>
                </c:pt>
                <c:pt idx="3">
                  <c:v>0.59885386819484243</c:v>
                </c:pt>
                <c:pt idx="4">
                  <c:v>0.658466601617411</c:v>
                </c:pt>
                <c:pt idx="5">
                  <c:v>0.37366667417659838</c:v>
                </c:pt>
              </c:numCache>
            </c:numRef>
          </c:val>
          <c:smooth val="0"/>
        </c:ser>
        <c:dLbls>
          <c:showLegendKey val="0"/>
          <c:showVal val="0"/>
          <c:showCatName val="0"/>
          <c:showSerName val="0"/>
          <c:showPercent val="0"/>
          <c:showBubbleSize val="0"/>
        </c:dLbls>
        <c:hiLowLines>
          <c:spPr>
            <a:ln w="19050">
              <a:headEnd type="oval"/>
              <a:tailEnd type="oval"/>
            </a:ln>
          </c:spPr>
        </c:hiLowLines>
        <c:upDownBars>
          <c:gapWidth val="150"/>
          <c:upBars>
            <c:spPr>
              <a:solidFill>
                <a:schemeClr val="tx1">
                  <a:alpha val="10000"/>
                </a:schemeClr>
              </a:solidFill>
              <a:ln w="19050"/>
            </c:spPr>
          </c:upBars>
          <c:downBars/>
        </c:upDownBars>
        <c:axId val="127265792"/>
        <c:axId val="127264256"/>
      </c:stockChart>
      <c:catAx>
        <c:axId val="127248640"/>
        <c:scaling>
          <c:orientation val="minMax"/>
        </c:scaling>
        <c:delete val="0"/>
        <c:axPos val="b"/>
        <c:numFmt formatCode="d\-mmm" sourceLinked="1"/>
        <c:majorTickMark val="none"/>
        <c:minorTickMark val="none"/>
        <c:tickLblPos val="low"/>
        <c:txPr>
          <a:bodyPr/>
          <a:lstStyle/>
          <a:p>
            <a:pPr>
              <a:defRPr sz="1400" b="1">
                <a:latin typeface="+mj-lt"/>
              </a:defRPr>
            </a:pPr>
            <a:endParaRPr lang="en-US"/>
          </a:p>
        </c:txPr>
        <c:crossAx val="127262720"/>
        <c:crosses val="autoZero"/>
        <c:auto val="1"/>
        <c:lblAlgn val="ctr"/>
        <c:lblOffset val="100"/>
        <c:noMultiLvlLbl val="0"/>
      </c:catAx>
      <c:valAx>
        <c:axId val="127262720"/>
        <c:scaling>
          <c:orientation val="minMax"/>
        </c:scaling>
        <c:delete val="0"/>
        <c:axPos val="l"/>
        <c:majorGridlines>
          <c:spPr>
            <a:ln>
              <a:solidFill>
                <a:schemeClr val="bg1">
                  <a:lumMod val="50000"/>
                </a:schemeClr>
              </a:solidFill>
            </a:ln>
          </c:spPr>
        </c:majorGridlines>
        <c:numFmt formatCode="0%" sourceLinked="1"/>
        <c:majorTickMark val="out"/>
        <c:minorTickMark val="none"/>
        <c:tickLblPos val="nextTo"/>
        <c:txPr>
          <a:bodyPr/>
          <a:lstStyle/>
          <a:p>
            <a:pPr>
              <a:defRPr sz="1400" b="1">
                <a:latin typeface="+mj-lt"/>
              </a:defRPr>
            </a:pPr>
            <a:endParaRPr lang="en-US"/>
          </a:p>
        </c:txPr>
        <c:crossAx val="127248640"/>
        <c:crosses val="autoZero"/>
        <c:crossBetween val="between"/>
      </c:valAx>
      <c:valAx>
        <c:axId val="127264256"/>
        <c:scaling>
          <c:orientation val="minMax"/>
        </c:scaling>
        <c:delete val="1"/>
        <c:axPos val="r"/>
        <c:numFmt formatCode="0%" sourceLinked="1"/>
        <c:majorTickMark val="out"/>
        <c:minorTickMark val="none"/>
        <c:tickLblPos val="none"/>
        <c:crossAx val="127265792"/>
        <c:crosses val="max"/>
        <c:crossBetween val="between"/>
      </c:valAx>
      <c:catAx>
        <c:axId val="127265792"/>
        <c:scaling>
          <c:orientation val="minMax"/>
        </c:scaling>
        <c:delete val="1"/>
        <c:axPos val="b"/>
        <c:numFmt formatCode="d\-mmm" sourceLinked="1"/>
        <c:majorTickMark val="out"/>
        <c:minorTickMark val="none"/>
        <c:tickLblPos val="none"/>
        <c:crossAx val="127264256"/>
        <c:crosses val="autoZero"/>
        <c:auto val="1"/>
        <c:lblAlgn val="ctr"/>
        <c:lblOffset val="100"/>
        <c:noMultiLvlLbl val="0"/>
      </c:cat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'23D'!$B$1</c:f>
              <c:strCache>
                <c:ptCount val="1"/>
                <c:pt idx="0">
                  <c:v>EnergyPro</c:v>
                </c:pt>
              </c:strCache>
            </c:strRef>
          </c:tx>
          <c:cat>
            <c:strRef>
              <c:f>'23D'!$A$2:$A$13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'23D'!$B$2:$B$13</c:f>
              <c:numCache>
                <c:formatCode>0.00</c:formatCode>
                <c:ptCount val="12"/>
                <c:pt idx="0" formatCode="0.0">
                  <c:v>259</c:v>
                </c:pt>
                <c:pt idx="1">
                  <c:v>178</c:v>
                </c:pt>
                <c:pt idx="2">
                  <c:v>167</c:v>
                </c:pt>
                <c:pt idx="3">
                  <c:v>136</c:v>
                </c:pt>
                <c:pt idx="4">
                  <c:v>111</c:v>
                </c:pt>
                <c:pt idx="5">
                  <c:v>51</c:v>
                </c:pt>
                <c:pt idx="6">
                  <c:v>28</c:v>
                </c:pt>
                <c:pt idx="7">
                  <c:v>28</c:v>
                </c:pt>
                <c:pt idx="8">
                  <c:v>26</c:v>
                </c:pt>
                <c:pt idx="9">
                  <c:v>62</c:v>
                </c:pt>
                <c:pt idx="10">
                  <c:v>152</c:v>
                </c:pt>
                <c:pt idx="11">
                  <c:v>255</c:v>
                </c:pt>
              </c:numCache>
            </c:numRef>
          </c:val>
          <c:smooth val="0"/>
        </c:ser>
        <c:ser>
          <c:idx val="1"/>
          <c:order val="1"/>
          <c:tx>
            <c:strRef>
              <c:f>'23D'!$C$1</c:f>
              <c:strCache>
                <c:ptCount val="1"/>
                <c:pt idx="0">
                  <c:v>eQUEST</c:v>
                </c:pt>
              </c:strCache>
            </c:strRef>
          </c:tx>
          <c:cat>
            <c:strRef>
              <c:f>'23D'!$A$2:$A$13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'23D'!$C$2:$C$13</c:f>
              <c:numCache>
                <c:formatCode>0.00</c:formatCode>
                <c:ptCount val="12"/>
                <c:pt idx="0" formatCode="0.0">
                  <c:v>292.38</c:v>
                </c:pt>
                <c:pt idx="1">
                  <c:v>194.2</c:v>
                </c:pt>
                <c:pt idx="2">
                  <c:v>224.84</c:v>
                </c:pt>
                <c:pt idx="3">
                  <c:v>184.03</c:v>
                </c:pt>
                <c:pt idx="4">
                  <c:v>156.63999999999999</c:v>
                </c:pt>
                <c:pt idx="5">
                  <c:v>116.56</c:v>
                </c:pt>
                <c:pt idx="6">
                  <c:v>97.42</c:v>
                </c:pt>
                <c:pt idx="7">
                  <c:v>93.12</c:v>
                </c:pt>
                <c:pt idx="8">
                  <c:v>86.75</c:v>
                </c:pt>
                <c:pt idx="9">
                  <c:v>115.63</c:v>
                </c:pt>
                <c:pt idx="10">
                  <c:v>179.37</c:v>
                </c:pt>
                <c:pt idx="11">
                  <c:v>277.27999999999997</c:v>
                </c:pt>
              </c:numCache>
            </c:numRef>
          </c:val>
          <c:smooth val="0"/>
        </c:ser>
        <c:ser>
          <c:idx val="2"/>
          <c:order val="2"/>
          <c:tx>
            <c:strRef>
              <c:f>'23D'!$D$1</c:f>
              <c:strCache>
                <c:ptCount val="1"/>
                <c:pt idx="0">
                  <c:v>Utility Bills</c:v>
                </c:pt>
              </c:strCache>
            </c:strRef>
          </c:tx>
          <c:cat>
            <c:strRef>
              <c:f>'23D'!$A$2:$A$13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'23D'!$D$2:$D$13</c:f>
              <c:numCache>
                <c:formatCode>0.00</c:formatCode>
                <c:ptCount val="12"/>
                <c:pt idx="0" formatCode="0.0">
                  <c:v>109.46875</c:v>
                </c:pt>
                <c:pt idx="1">
                  <c:v>101.73333333333333</c:v>
                </c:pt>
                <c:pt idx="2">
                  <c:v>63.033333333333331</c:v>
                </c:pt>
                <c:pt idx="3">
                  <c:v>89.032258064516128</c:v>
                </c:pt>
                <c:pt idx="4">
                  <c:v>62</c:v>
                </c:pt>
                <c:pt idx="5">
                  <c:v>40.344827586206897</c:v>
                </c:pt>
                <c:pt idx="6">
                  <c:v>30.03125</c:v>
                </c:pt>
                <c:pt idx="7">
                  <c:v>38.233333333333334</c:v>
                </c:pt>
                <c:pt idx="8">
                  <c:v>39</c:v>
                </c:pt>
                <c:pt idx="9">
                  <c:v>51</c:v>
                </c:pt>
                <c:pt idx="10">
                  <c:v>56.129032258064512</c:v>
                </c:pt>
                <c:pt idx="11">
                  <c:v>113.31034482758621</c:v>
                </c:pt>
              </c:numCache>
            </c:numRef>
          </c:val>
          <c:smooth val="0"/>
        </c:ser>
        <c:dLbls>
          <c:showLegendKey val="0"/>
          <c:showVal val="0"/>
          <c:showCatName val="0"/>
          <c:showSerName val="0"/>
          <c:showPercent val="0"/>
          <c:showBubbleSize val="0"/>
        </c:dLbls>
        <c:marker val="1"/>
        <c:smooth val="0"/>
        <c:axId val="145792384"/>
        <c:axId val="145937536"/>
      </c:lineChart>
      <c:catAx>
        <c:axId val="145792384"/>
        <c:scaling>
          <c:orientation val="minMax"/>
        </c:scaling>
        <c:delete val="0"/>
        <c:axPos val="b"/>
        <c:majorGridlines/>
        <c:numFmt formatCode="h:mm" sourceLinked="1"/>
        <c:majorTickMark val="out"/>
        <c:minorTickMark val="none"/>
        <c:tickLblPos val="nextTo"/>
        <c:txPr>
          <a:bodyPr rot="2700000" vert="horz"/>
          <a:lstStyle/>
          <a:p>
            <a:pPr>
              <a:defRPr sz="1200" b="1">
                <a:latin typeface="+mj-lt"/>
              </a:defRPr>
            </a:pPr>
            <a:endParaRPr lang="en-US"/>
          </a:p>
        </c:txPr>
        <c:crossAx val="145937536"/>
        <c:crosses val="autoZero"/>
        <c:auto val="1"/>
        <c:lblAlgn val="ctr"/>
        <c:lblOffset val="100"/>
        <c:tickLblSkip val="1"/>
        <c:tickMarkSkip val="1"/>
        <c:noMultiLvlLbl val="0"/>
      </c:catAx>
      <c:valAx>
        <c:axId val="145937536"/>
        <c:scaling>
          <c:orientation val="minMax"/>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sz="1600">
                    <a:latin typeface="+mj-lt"/>
                  </a:rPr>
                  <a:t>Therms</a:t>
                </a:r>
              </a:p>
            </c:rich>
          </c:tx>
          <c:overlay val="0"/>
        </c:title>
        <c:numFmt formatCode="0.0" sourceLinked="1"/>
        <c:majorTickMark val="out"/>
        <c:minorTickMark val="none"/>
        <c:tickLblPos val="nextTo"/>
        <c:txPr>
          <a:bodyPr/>
          <a:lstStyle/>
          <a:p>
            <a:pPr>
              <a:defRPr sz="1400" b="1">
                <a:latin typeface="+mj-lt"/>
              </a:defRPr>
            </a:pPr>
            <a:endParaRPr lang="en-US"/>
          </a:p>
        </c:txPr>
        <c:crossAx val="145792384"/>
        <c:crosses val="autoZero"/>
        <c:crossBetween val="between"/>
      </c:valAx>
      <c:spPr>
        <a:ln w="19050">
          <a:solidFill>
            <a:schemeClr val="tx1"/>
          </a:solidFill>
        </a:ln>
      </c:spPr>
    </c:plotArea>
    <c:legend>
      <c:legendPos val="b"/>
      <c:layout>
        <c:manualLayout>
          <c:xMode val="edge"/>
          <c:yMode val="edge"/>
          <c:x val="0.12588500656167978"/>
          <c:y val="0.8944079490063741"/>
          <c:w val="0.46008024387576563"/>
          <c:h val="4.7438882639670055E-2"/>
        </c:manualLayout>
      </c:layout>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'25D'!$B$1</c:f>
              <c:strCache>
                <c:ptCount val="1"/>
                <c:pt idx="0">
                  <c:v>EnergyPro</c:v>
                </c:pt>
              </c:strCache>
            </c:strRef>
          </c:tx>
          <c:cat>
            <c:strRef>
              <c:f>'25D'!$A$2:$A$13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'25D'!$B$2:$B$13</c:f>
              <c:numCache>
                <c:formatCode>0.00</c:formatCode>
                <c:ptCount val="12"/>
                <c:pt idx="0" formatCode="0.0">
                  <c:v>752</c:v>
                </c:pt>
                <c:pt idx="1">
                  <c:v>622</c:v>
                </c:pt>
                <c:pt idx="2">
                  <c:v>655</c:v>
                </c:pt>
                <c:pt idx="3">
                  <c:v>611</c:v>
                </c:pt>
                <c:pt idx="4">
                  <c:v>639</c:v>
                </c:pt>
                <c:pt idx="5">
                  <c:v>565</c:v>
                </c:pt>
                <c:pt idx="6">
                  <c:v>546</c:v>
                </c:pt>
                <c:pt idx="7">
                  <c:v>544</c:v>
                </c:pt>
                <c:pt idx="8">
                  <c:v>561</c:v>
                </c:pt>
                <c:pt idx="9">
                  <c:v>592</c:v>
                </c:pt>
                <c:pt idx="10">
                  <c:v>632</c:v>
                </c:pt>
                <c:pt idx="11">
                  <c:v>749</c:v>
                </c:pt>
              </c:numCache>
            </c:numRef>
          </c:val>
          <c:smooth val="0"/>
        </c:ser>
        <c:ser>
          <c:idx val="1"/>
          <c:order val="1"/>
          <c:tx>
            <c:strRef>
              <c:f>'25D'!$C$1</c:f>
              <c:strCache>
                <c:ptCount val="1"/>
                <c:pt idx="0">
                  <c:v>eQUEST</c:v>
                </c:pt>
              </c:strCache>
            </c:strRef>
          </c:tx>
          <c:cat>
            <c:strRef>
              <c:f>'25D'!$A$2:$A$13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'25D'!$C$2:$C$13</c:f>
              <c:numCache>
                <c:formatCode>0.00</c:formatCode>
                <c:ptCount val="12"/>
                <c:pt idx="0" formatCode="0.0">
                  <c:v>900.92259999999999</c:v>
                </c:pt>
                <c:pt idx="1">
                  <c:v>679.81439999999998</c:v>
                </c:pt>
                <c:pt idx="2">
                  <c:v>720.38630000000001</c:v>
                </c:pt>
                <c:pt idx="3">
                  <c:v>604.77409999999998</c:v>
                </c:pt>
                <c:pt idx="4">
                  <c:v>525.66250000000002</c:v>
                </c:pt>
                <c:pt idx="5">
                  <c:v>449.7912</c:v>
                </c:pt>
                <c:pt idx="6">
                  <c:v>447.33109999999999</c:v>
                </c:pt>
                <c:pt idx="7">
                  <c:v>524.79110000000003</c:v>
                </c:pt>
                <c:pt idx="8">
                  <c:v>512.29660000000001</c:v>
                </c:pt>
                <c:pt idx="9">
                  <c:v>602.90110000000004</c:v>
                </c:pt>
                <c:pt idx="10">
                  <c:v>714.64660000000003</c:v>
                </c:pt>
                <c:pt idx="11">
                  <c:v>889.19510000000002</c:v>
                </c:pt>
              </c:numCache>
            </c:numRef>
          </c:val>
          <c:smooth val="0"/>
        </c:ser>
        <c:ser>
          <c:idx val="2"/>
          <c:order val="2"/>
          <c:tx>
            <c:strRef>
              <c:f>'25D'!$D$1</c:f>
              <c:strCache>
                <c:ptCount val="1"/>
                <c:pt idx="0">
                  <c:v>Utility Bills</c:v>
                </c:pt>
              </c:strCache>
            </c:strRef>
          </c:tx>
          <c:cat>
            <c:strRef>
              <c:f>'25D'!$A$2:$A$13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'25D'!$D$2:$D$13</c:f>
              <c:numCache>
                <c:formatCode>0.00</c:formatCode>
                <c:ptCount val="12"/>
                <c:pt idx="0" formatCode="0.0">
                  <c:v>559.87878787878799</c:v>
                </c:pt>
                <c:pt idx="1">
                  <c:v>450.80000000000007</c:v>
                </c:pt>
                <c:pt idx="2">
                  <c:v>420.56666666666666</c:v>
                </c:pt>
                <c:pt idx="3">
                  <c:v>382.5</c:v>
                </c:pt>
                <c:pt idx="4">
                  <c:v>397.46428571428572</c:v>
                </c:pt>
                <c:pt idx="5">
                  <c:v>376.45161290322579</c:v>
                </c:pt>
                <c:pt idx="6">
                  <c:v>365</c:v>
                </c:pt>
                <c:pt idx="7">
                  <c:v>399.90000000000003</c:v>
                </c:pt>
                <c:pt idx="8">
                  <c:v>358</c:v>
                </c:pt>
                <c:pt idx="9">
                  <c:v>380</c:v>
                </c:pt>
                <c:pt idx="10">
                  <c:v>280.34482758620692</c:v>
                </c:pt>
                <c:pt idx="11">
                  <c:v>464</c:v>
                </c:pt>
              </c:numCache>
            </c:numRef>
          </c:val>
          <c:smooth val="0"/>
        </c:ser>
        <c:dLbls>
          <c:showLegendKey val="0"/>
          <c:showVal val="0"/>
          <c:showCatName val="0"/>
          <c:showSerName val="0"/>
          <c:showPercent val="0"/>
          <c:showBubbleSize val="0"/>
        </c:dLbls>
        <c:marker val="1"/>
        <c:smooth val="0"/>
        <c:axId val="146882944"/>
        <c:axId val="146884480"/>
      </c:lineChart>
      <c:catAx>
        <c:axId val="146882944"/>
        <c:scaling>
          <c:orientation val="minMax"/>
        </c:scaling>
        <c:delete val="0"/>
        <c:axPos val="b"/>
        <c:majorGridlines/>
        <c:numFmt formatCode="h:mm" sourceLinked="1"/>
        <c:majorTickMark val="out"/>
        <c:minorTickMark val="none"/>
        <c:tickLblPos val="nextTo"/>
        <c:txPr>
          <a:bodyPr rot="2700000" vert="horz"/>
          <a:lstStyle/>
          <a:p>
            <a:pPr>
              <a:defRPr sz="1200" b="1">
                <a:latin typeface="+mj-lt"/>
              </a:defRPr>
            </a:pPr>
            <a:endParaRPr lang="en-US"/>
          </a:p>
        </c:txPr>
        <c:crossAx val="146884480"/>
        <c:crosses val="autoZero"/>
        <c:auto val="1"/>
        <c:lblAlgn val="ctr"/>
        <c:lblOffset val="100"/>
        <c:tickLblSkip val="1"/>
        <c:tickMarkSkip val="1"/>
        <c:noMultiLvlLbl val="0"/>
      </c:catAx>
      <c:valAx>
        <c:axId val="146884480"/>
        <c:scaling>
          <c:orientation val="minMax"/>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sz="1600">
                    <a:latin typeface="+mj-lt"/>
                  </a:rPr>
                  <a:t>kWh</a:t>
                </a:r>
              </a:p>
            </c:rich>
          </c:tx>
          <c:overlay val="0"/>
        </c:title>
        <c:numFmt formatCode="0.0" sourceLinked="1"/>
        <c:majorTickMark val="out"/>
        <c:minorTickMark val="none"/>
        <c:tickLblPos val="nextTo"/>
        <c:txPr>
          <a:bodyPr/>
          <a:lstStyle/>
          <a:p>
            <a:pPr>
              <a:defRPr sz="1400" b="1">
                <a:latin typeface="+mj-lt"/>
              </a:defRPr>
            </a:pPr>
            <a:endParaRPr lang="en-US"/>
          </a:p>
        </c:txPr>
        <c:crossAx val="146882944"/>
        <c:crosses val="autoZero"/>
        <c:crossBetween val="between"/>
      </c:valAx>
      <c:spPr>
        <a:ln w="19050">
          <a:solidFill>
            <a:schemeClr val="tx1"/>
          </a:solidFill>
        </a:ln>
      </c:spPr>
    </c:plotArea>
    <c:legend>
      <c:legendPos val="b"/>
      <c:layout>
        <c:manualLayout>
          <c:xMode val="edge"/>
          <c:yMode val="edge"/>
          <c:x val="0.12588500656167978"/>
          <c:y val="0.8944079490063741"/>
          <c:w val="0.49091795166229224"/>
          <c:h val="4.7438882639670055E-2"/>
        </c:manualLayout>
      </c:layout>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'26D'!$B$1</c:f>
              <c:strCache>
                <c:ptCount val="1"/>
                <c:pt idx="0">
                  <c:v>EnergyPro</c:v>
                </c:pt>
              </c:strCache>
            </c:strRef>
          </c:tx>
          <c:cat>
            <c:strRef>
              <c:f>'26D'!$A$2:$A$13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'26D'!$B$2:$B$13</c:f>
              <c:numCache>
                <c:formatCode>0.00</c:formatCode>
                <c:ptCount val="12"/>
                <c:pt idx="0" formatCode="0.0">
                  <c:v>205</c:v>
                </c:pt>
                <c:pt idx="1">
                  <c:v>139</c:v>
                </c:pt>
                <c:pt idx="2">
                  <c:v>129</c:v>
                </c:pt>
                <c:pt idx="3">
                  <c:v>100</c:v>
                </c:pt>
                <c:pt idx="4">
                  <c:v>83</c:v>
                </c:pt>
                <c:pt idx="5">
                  <c:v>42</c:v>
                </c:pt>
                <c:pt idx="6">
                  <c:v>27</c:v>
                </c:pt>
                <c:pt idx="7">
                  <c:v>27</c:v>
                </c:pt>
                <c:pt idx="8">
                  <c:v>26</c:v>
                </c:pt>
                <c:pt idx="9">
                  <c:v>52</c:v>
                </c:pt>
                <c:pt idx="10">
                  <c:v>119</c:v>
                </c:pt>
                <c:pt idx="11">
                  <c:v>203</c:v>
                </c:pt>
              </c:numCache>
            </c:numRef>
          </c:val>
          <c:smooth val="0"/>
        </c:ser>
        <c:ser>
          <c:idx val="1"/>
          <c:order val="1"/>
          <c:tx>
            <c:strRef>
              <c:f>'26D'!$C$1</c:f>
              <c:strCache>
                <c:ptCount val="1"/>
                <c:pt idx="0">
                  <c:v>eQUEST</c:v>
                </c:pt>
              </c:strCache>
            </c:strRef>
          </c:tx>
          <c:cat>
            <c:strRef>
              <c:f>'26D'!$A$2:$A$13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'26D'!$C$2:$C$13</c:f>
              <c:numCache>
                <c:formatCode>0.00</c:formatCode>
                <c:ptCount val="12"/>
                <c:pt idx="0" formatCode="0.0">
                  <c:v>204.57</c:v>
                </c:pt>
                <c:pt idx="1">
                  <c:v>132.88999999999999</c:v>
                </c:pt>
                <c:pt idx="2">
                  <c:v>151.22999999999999</c:v>
                </c:pt>
                <c:pt idx="3">
                  <c:v>116.14</c:v>
                </c:pt>
                <c:pt idx="4">
                  <c:v>91.1</c:v>
                </c:pt>
                <c:pt idx="5">
                  <c:v>63.56</c:v>
                </c:pt>
                <c:pt idx="6">
                  <c:v>48.28</c:v>
                </c:pt>
                <c:pt idx="7">
                  <c:v>44.67</c:v>
                </c:pt>
                <c:pt idx="8">
                  <c:v>46.11</c:v>
                </c:pt>
                <c:pt idx="9">
                  <c:v>68.08</c:v>
                </c:pt>
                <c:pt idx="10">
                  <c:v>120.13</c:v>
                </c:pt>
                <c:pt idx="11">
                  <c:v>192.12</c:v>
                </c:pt>
              </c:numCache>
            </c:numRef>
          </c:val>
          <c:smooth val="0"/>
        </c:ser>
        <c:ser>
          <c:idx val="2"/>
          <c:order val="2"/>
          <c:tx>
            <c:strRef>
              <c:f>'26D'!$D$1</c:f>
              <c:strCache>
                <c:ptCount val="1"/>
                <c:pt idx="0">
                  <c:v>Utility Bills</c:v>
                </c:pt>
              </c:strCache>
            </c:strRef>
          </c:tx>
          <c:cat>
            <c:strRef>
              <c:f>'26D'!$A$2:$A$13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'26D'!$D$2:$D$13</c:f>
              <c:numCache>
                <c:formatCode>0.00</c:formatCode>
                <c:ptCount val="12"/>
                <c:pt idx="0" formatCode="0.0">
                  <c:v>163.45454545454544</c:v>
                </c:pt>
                <c:pt idx="1">
                  <c:v>112</c:v>
                </c:pt>
                <c:pt idx="2">
                  <c:v>95.066666666666677</c:v>
                </c:pt>
                <c:pt idx="3">
                  <c:v>88.125</c:v>
                </c:pt>
                <c:pt idx="4">
                  <c:v>73.071428571428569</c:v>
                </c:pt>
                <c:pt idx="5">
                  <c:v>29.032258064516128</c:v>
                </c:pt>
                <c:pt idx="6">
                  <c:v>26</c:v>
                </c:pt>
                <c:pt idx="7">
                  <c:v>24.8</c:v>
                </c:pt>
                <c:pt idx="8">
                  <c:v>21</c:v>
                </c:pt>
                <c:pt idx="9">
                  <c:v>35</c:v>
                </c:pt>
                <c:pt idx="10">
                  <c:v>41.379310344827587</c:v>
                </c:pt>
                <c:pt idx="11">
                  <c:v>110</c:v>
                </c:pt>
              </c:numCache>
            </c:numRef>
          </c:val>
          <c:smooth val="0"/>
        </c:ser>
        <c:dLbls>
          <c:showLegendKey val="0"/>
          <c:showVal val="0"/>
          <c:showCatName val="0"/>
          <c:showSerName val="0"/>
          <c:showPercent val="0"/>
          <c:showBubbleSize val="0"/>
        </c:dLbls>
        <c:marker val="1"/>
        <c:smooth val="0"/>
        <c:axId val="145642240"/>
        <c:axId val="145643776"/>
      </c:lineChart>
      <c:catAx>
        <c:axId val="145642240"/>
        <c:scaling>
          <c:orientation val="minMax"/>
        </c:scaling>
        <c:delete val="0"/>
        <c:axPos val="b"/>
        <c:majorGridlines/>
        <c:numFmt formatCode="h:mm" sourceLinked="1"/>
        <c:majorTickMark val="out"/>
        <c:minorTickMark val="none"/>
        <c:tickLblPos val="nextTo"/>
        <c:txPr>
          <a:bodyPr rot="2700000" vert="horz"/>
          <a:lstStyle/>
          <a:p>
            <a:pPr>
              <a:defRPr sz="1200" b="1">
                <a:latin typeface="+mj-lt"/>
              </a:defRPr>
            </a:pPr>
            <a:endParaRPr lang="en-US"/>
          </a:p>
        </c:txPr>
        <c:crossAx val="145643776"/>
        <c:crosses val="autoZero"/>
        <c:auto val="1"/>
        <c:lblAlgn val="ctr"/>
        <c:lblOffset val="100"/>
        <c:tickLblSkip val="1"/>
        <c:tickMarkSkip val="1"/>
        <c:noMultiLvlLbl val="0"/>
      </c:catAx>
      <c:valAx>
        <c:axId val="145643776"/>
        <c:scaling>
          <c:orientation val="minMax"/>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sz="1600">
                    <a:latin typeface="+mj-lt"/>
                  </a:rPr>
                  <a:t>Therms</a:t>
                </a:r>
              </a:p>
            </c:rich>
          </c:tx>
          <c:overlay val="0"/>
        </c:title>
        <c:numFmt formatCode="0.0" sourceLinked="1"/>
        <c:majorTickMark val="out"/>
        <c:minorTickMark val="none"/>
        <c:tickLblPos val="nextTo"/>
        <c:txPr>
          <a:bodyPr/>
          <a:lstStyle/>
          <a:p>
            <a:pPr>
              <a:defRPr sz="1400" b="1">
                <a:latin typeface="+mj-lt"/>
              </a:defRPr>
            </a:pPr>
            <a:endParaRPr lang="en-US"/>
          </a:p>
        </c:txPr>
        <c:crossAx val="145642240"/>
        <c:crosses val="autoZero"/>
        <c:crossBetween val="between"/>
      </c:valAx>
      <c:spPr>
        <a:ln w="19050">
          <a:solidFill>
            <a:schemeClr val="tx1"/>
          </a:solidFill>
        </a:ln>
      </c:spPr>
    </c:plotArea>
    <c:legend>
      <c:legendPos val="b"/>
      <c:layout>
        <c:manualLayout>
          <c:xMode val="edge"/>
          <c:yMode val="edge"/>
          <c:x val="0.12588500656167978"/>
          <c:y val="0.8944079490063741"/>
          <c:w val="0.49091795166229224"/>
          <c:h val="4.7438882639670055E-2"/>
        </c:manualLayout>
      </c:layout>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'28D'!$B$1</c:f>
              <c:strCache>
                <c:ptCount val="1"/>
                <c:pt idx="0">
                  <c:v>EnergyPro</c:v>
                </c:pt>
              </c:strCache>
            </c:strRef>
          </c:tx>
          <c:invertIfNegative val="0"/>
          <c:cat>
            <c:strRef>
              <c:f>'28D'!$A$2:$A$8</c:f>
              <c:strCache>
                <c:ptCount val="7"/>
                <c:pt idx="0">
                  <c:v>Roof Insulation</c:v>
                </c:pt>
                <c:pt idx="1">
                  <c:v>Building Leakage</c:v>
                </c:pt>
                <c:pt idx="2">
                  <c:v>HVAC Duct Leakage</c:v>
                </c:pt>
                <c:pt idx="3">
                  <c:v>HVAC Duct Insulation</c:v>
                </c:pt>
                <c:pt idx="4">
                  <c:v>HVAC System</c:v>
                </c:pt>
                <c:pt idx="5">
                  <c:v>Domestic Hot Water</c:v>
                </c:pt>
                <c:pt idx="6">
                  <c:v>All Measures</c:v>
                </c:pt>
              </c:strCache>
            </c:strRef>
          </c:cat>
          <c:val>
            <c:numRef>
              <c:f>'28D'!$B$2:$B$8</c:f>
              <c:numCache>
                <c:formatCode>_(* #,##0.0_);_(* \(#,##0.0\);_(* "-"??_);_(@_)</c:formatCode>
                <c:ptCount val="7"/>
                <c:pt idx="0">
                  <c:v>0.53000000000000114</c:v>
                </c:pt>
                <c:pt idx="1">
                  <c:v>4.9999999999997158E-2</c:v>
                </c:pt>
                <c:pt idx="2">
                  <c:v>12.370000000000005</c:v>
                </c:pt>
                <c:pt idx="3">
                  <c:v>4.6500000000000057</c:v>
                </c:pt>
                <c:pt idx="4">
                  <c:v>9.7999999999999972</c:v>
                </c:pt>
                <c:pt idx="5">
                  <c:v>4.5900000000000034</c:v>
                </c:pt>
                <c:pt idx="6">
                  <c:v>28.17</c:v>
                </c:pt>
              </c:numCache>
            </c:numRef>
          </c:val>
        </c:ser>
        <c:ser>
          <c:idx val="1"/>
          <c:order val="1"/>
          <c:tx>
            <c:strRef>
              <c:f>'28D'!$C$1</c:f>
              <c:strCache>
                <c:ptCount val="1"/>
                <c:pt idx="0">
                  <c:v>eQUEST</c:v>
                </c:pt>
              </c:strCache>
            </c:strRef>
          </c:tx>
          <c:invertIfNegative val="0"/>
          <c:cat>
            <c:strRef>
              <c:f>'28D'!$A$2:$A$8</c:f>
              <c:strCache>
                <c:ptCount val="7"/>
                <c:pt idx="0">
                  <c:v>Roof Insulation</c:v>
                </c:pt>
                <c:pt idx="1">
                  <c:v>Building Leakage</c:v>
                </c:pt>
                <c:pt idx="2">
                  <c:v>HVAC Duct Leakage</c:v>
                </c:pt>
                <c:pt idx="3">
                  <c:v>HVAC Duct Insulation</c:v>
                </c:pt>
                <c:pt idx="4">
                  <c:v>HVAC System</c:v>
                </c:pt>
                <c:pt idx="5">
                  <c:v>Domestic Hot Water</c:v>
                </c:pt>
                <c:pt idx="6">
                  <c:v>All Measures</c:v>
                </c:pt>
              </c:strCache>
            </c:strRef>
          </c:cat>
          <c:val>
            <c:numRef>
              <c:f>'28D'!$C$2:$C$8</c:f>
              <c:numCache>
                <c:formatCode>_(* #,##0.0_);_(* \(#,##0.0\);_(* "-"??_);_(@_)</c:formatCode>
                <c:ptCount val="7"/>
                <c:pt idx="0">
                  <c:v>4.7573739295899031E-2</c:v>
                </c:pt>
                <c:pt idx="1">
                  <c:v>0</c:v>
                </c:pt>
                <c:pt idx="2">
                  <c:v>49.950802568981921</c:v>
                </c:pt>
                <c:pt idx="3">
                  <c:v>0.95147478591816537</c:v>
                </c:pt>
                <c:pt idx="4">
                  <c:v>16.175071360608939</c:v>
                </c:pt>
                <c:pt idx="5">
                  <c:v>1.5699333967649807</c:v>
                </c:pt>
                <c:pt idx="6">
                  <c:v>60.17915651760228</c:v>
                </c:pt>
              </c:numCache>
            </c:numRef>
          </c:val>
        </c:ser>
        <c:dLbls>
          <c:showLegendKey val="0"/>
          <c:showVal val="1"/>
          <c:showCatName val="0"/>
          <c:showSerName val="0"/>
          <c:showPercent val="0"/>
          <c:showBubbleSize val="0"/>
        </c:dLbls>
        <c:gapWidth val="150"/>
        <c:axId val="146532224"/>
        <c:axId val="146533760"/>
      </c:barChart>
      <c:catAx>
        <c:axId val="146532224"/>
        <c:scaling>
          <c:orientation val="minMax"/>
        </c:scaling>
        <c:delete val="0"/>
        <c:axPos val="b"/>
        <c:majorGridlines/>
        <c:majorTickMark val="out"/>
        <c:minorTickMark val="none"/>
        <c:tickLblPos val="nextTo"/>
        <c:txPr>
          <a:bodyPr/>
          <a:lstStyle/>
          <a:p>
            <a:pPr>
              <a:defRPr sz="1400" b="1">
                <a:latin typeface="+mj-lt"/>
              </a:defRPr>
            </a:pPr>
            <a:endParaRPr lang="en-US"/>
          </a:p>
        </c:txPr>
        <c:crossAx val="146533760"/>
        <c:crosses val="autoZero"/>
        <c:auto val="1"/>
        <c:lblAlgn val="ctr"/>
        <c:lblOffset val="100"/>
        <c:noMultiLvlLbl val="0"/>
      </c:catAx>
      <c:valAx>
        <c:axId val="146533760"/>
        <c:scaling>
          <c:orientation val="minMax"/>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a:t>kBtu/ft^2-yr</a:t>
                </a:r>
              </a:p>
            </c:rich>
          </c:tx>
          <c:overlay val="0"/>
        </c:title>
        <c:numFmt formatCode="_(* #,##0.0_);_(* \(#,##0.0\);_(* &quot;-&quot;??_);_(@_)" sourceLinked="1"/>
        <c:majorTickMark val="out"/>
        <c:minorTickMark val="none"/>
        <c:tickLblPos val="nextTo"/>
        <c:txPr>
          <a:bodyPr/>
          <a:lstStyle/>
          <a:p>
            <a:pPr>
              <a:defRPr sz="1400" b="1">
                <a:latin typeface="+mj-lt"/>
              </a:defRPr>
            </a:pPr>
            <a:endParaRPr lang="en-US"/>
          </a:p>
        </c:txPr>
        <c:crossAx val="146532224"/>
        <c:crosses val="autoZero"/>
        <c:crossBetween val="between"/>
      </c:val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'29D'!$B$1</c:f>
              <c:strCache>
                <c:ptCount val="1"/>
                <c:pt idx="0">
                  <c:v>EnergyPro</c:v>
                </c:pt>
              </c:strCache>
            </c:strRef>
          </c:tx>
          <c:invertIfNegative val="0"/>
          <c:cat>
            <c:strRef>
              <c:f>'29D'!$A$2:$A$8</c:f>
              <c:strCache>
                <c:ptCount val="7"/>
                <c:pt idx="0">
                  <c:v>Roof Insulation</c:v>
                </c:pt>
                <c:pt idx="1">
                  <c:v>Building Leakage</c:v>
                </c:pt>
                <c:pt idx="2">
                  <c:v>HVAC Duct Leakage</c:v>
                </c:pt>
                <c:pt idx="3">
                  <c:v>HVAC Duct Insulation</c:v>
                </c:pt>
                <c:pt idx="4">
                  <c:v>HVAC System</c:v>
                </c:pt>
                <c:pt idx="5">
                  <c:v>Domestic Hot Water</c:v>
                </c:pt>
                <c:pt idx="6">
                  <c:v>All Measures</c:v>
                </c:pt>
              </c:strCache>
            </c:strRef>
          </c:cat>
          <c:val>
            <c:numRef>
              <c:f>'29D'!$B$2:$B$8</c:f>
              <c:numCache>
                <c:formatCode>_(* #,##0.0_);_(* \(#,##0.0\);_(* "-"??_);_(@_)</c:formatCode>
                <c:ptCount val="7"/>
                <c:pt idx="0">
                  <c:v>2.3200000000000003</c:v>
                </c:pt>
                <c:pt idx="1">
                  <c:v>2.0200000000000031</c:v>
                </c:pt>
                <c:pt idx="2">
                  <c:v>0.24000000000000199</c:v>
                </c:pt>
                <c:pt idx="3">
                  <c:v>4.1100000000000065</c:v>
                </c:pt>
                <c:pt idx="4">
                  <c:v>6.720000000000006</c:v>
                </c:pt>
                <c:pt idx="5">
                  <c:v>1.9100000000000037</c:v>
                </c:pt>
                <c:pt idx="6">
                  <c:v>15.510000000000005</c:v>
                </c:pt>
              </c:numCache>
            </c:numRef>
          </c:val>
        </c:ser>
        <c:ser>
          <c:idx val="1"/>
          <c:order val="1"/>
          <c:tx>
            <c:strRef>
              <c:f>'29D'!$C$1</c:f>
              <c:strCache>
                <c:ptCount val="1"/>
                <c:pt idx="0">
                  <c:v>eQUEST</c:v>
                </c:pt>
              </c:strCache>
            </c:strRef>
          </c:tx>
          <c:invertIfNegative val="0"/>
          <c:cat>
            <c:strRef>
              <c:f>'29D'!$A$2:$A$8</c:f>
              <c:strCache>
                <c:ptCount val="7"/>
                <c:pt idx="0">
                  <c:v>Roof Insulation</c:v>
                </c:pt>
                <c:pt idx="1">
                  <c:v>Building Leakage</c:v>
                </c:pt>
                <c:pt idx="2">
                  <c:v>HVAC Duct Leakage</c:v>
                </c:pt>
                <c:pt idx="3">
                  <c:v>HVAC Duct Insulation</c:v>
                </c:pt>
                <c:pt idx="4">
                  <c:v>HVAC System</c:v>
                </c:pt>
                <c:pt idx="5">
                  <c:v>Domestic Hot Water</c:v>
                </c:pt>
                <c:pt idx="6">
                  <c:v>All Measures</c:v>
                </c:pt>
              </c:strCache>
            </c:strRef>
          </c:cat>
          <c:val>
            <c:numRef>
              <c:f>'29D'!$C$2:$C$8</c:f>
              <c:numCache>
                <c:formatCode>_(* #,##0.0_);_(* \(#,##0.0\);_(* "-"??_);_(@_)</c:formatCode>
                <c:ptCount val="7"/>
                <c:pt idx="0">
                  <c:v>29.542818268315891</c:v>
                </c:pt>
                <c:pt idx="1">
                  <c:v>2.3544952426260721</c:v>
                </c:pt>
                <c:pt idx="2">
                  <c:v>0.69152473834444095</c:v>
                </c:pt>
                <c:pt idx="3">
                  <c:v>0</c:v>
                </c:pt>
                <c:pt idx="4">
                  <c:v>8.9896408182683132</c:v>
                </c:pt>
                <c:pt idx="5">
                  <c:v>1.3320647002854429</c:v>
                </c:pt>
                <c:pt idx="6">
                  <c:v>36.480625118934356</c:v>
                </c:pt>
              </c:numCache>
            </c:numRef>
          </c:val>
        </c:ser>
        <c:dLbls>
          <c:showLegendKey val="0"/>
          <c:showVal val="1"/>
          <c:showCatName val="0"/>
          <c:showSerName val="0"/>
          <c:showPercent val="0"/>
          <c:showBubbleSize val="0"/>
        </c:dLbls>
        <c:gapWidth val="150"/>
        <c:axId val="146475648"/>
        <c:axId val="146567552"/>
      </c:barChart>
      <c:catAx>
        <c:axId val="146475648"/>
        <c:scaling>
          <c:orientation val="minMax"/>
        </c:scaling>
        <c:delete val="0"/>
        <c:axPos val="b"/>
        <c:majorGridlines/>
        <c:majorTickMark val="out"/>
        <c:minorTickMark val="none"/>
        <c:tickLblPos val="nextTo"/>
        <c:txPr>
          <a:bodyPr/>
          <a:lstStyle/>
          <a:p>
            <a:pPr>
              <a:defRPr sz="1400" b="1">
                <a:latin typeface="+mj-lt"/>
              </a:defRPr>
            </a:pPr>
            <a:endParaRPr lang="en-US"/>
          </a:p>
        </c:txPr>
        <c:crossAx val="146567552"/>
        <c:crosses val="autoZero"/>
        <c:auto val="1"/>
        <c:lblAlgn val="ctr"/>
        <c:lblOffset val="100"/>
        <c:noMultiLvlLbl val="0"/>
      </c:catAx>
      <c:valAx>
        <c:axId val="146567552"/>
        <c:scaling>
          <c:orientation val="minMax"/>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a:t>kBtu/ft^2-yr</a:t>
                </a:r>
              </a:p>
            </c:rich>
          </c:tx>
          <c:overlay val="0"/>
        </c:title>
        <c:numFmt formatCode="_(* #,##0.0_);_(* \(#,##0.0\);_(* &quot;-&quot;??_);_(@_)" sourceLinked="1"/>
        <c:majorTickMark val="out"/>
        <c:minorTickMark val="none"/>
        <c:tickLblPos val="nextTo"/>
        <c:txPr>
          <a:bodyPr/>
          <a:lstStyle/>
          <a:p>
            <a:pPr>
              <a:defRPr sz="1400" b="1">
                <a:latin typeface="+mj-lt"/>
              </a:defRPr>
            </a:pPr>
            <a:endParaRPr lang="en-US"/>
          </a:p>
        </c:txPr>
        <c:crossAx val="146475648"/>
        <c:crosses val="autoZero"/>
        <c:crossBetween val="between"/>
      </c:val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ChtLd!$B$1</c:f>
              <c:strCache>
                <c:ptCount val="1"/>
                <c:pt idx="0">
                  <c:v>Line 1</c:v>
                </c:pt>
              </c:strCache>
            </c:strRef>
          </c:tx>
          <c:marker>
            <c:symbol val="none"/>
          </c:marker>
          <c:cat>
            <c:numRef>
              <c:f>ChtLd!$A$2:$A$289</c:f>
              <c:numCache>
                <c:formatCode>h:mm;@</c:formatCode>
                <c:ptCount val="288"/>
                <c:pt idx="0">
                  <c:v>0</c:v>
                </c:pt>
                <c:pt idx="1">
                  <c:v>3.472222222222222E-3</c:v>
                </c:pt>
                <c:pt idx="2">
                  <c:v>6.9444444444444397E-3</c:v>
                </c:pt>
                <c:pt idx="3">
                  <c:v>1.0416666666666701E-2</c:v>
                </c:pt>
                <c:pt idx="4">
                  <c:v>1.38888888888889E-2</c:v>
                </c:pt>
                <c:pt idx="5">
                  <c:v>1.7361111111111101E-2</c:v>
                </c:pt>
                <c:pt idx="6">
                  <c:v>2.0833333333333301E-2</c:v>
                </c:pt>
                <c:pt idx="7">
                  <c:v>2.4305555555555601E-2</c:v>
                </c:pt>
                <c:pt idx="8">
                  <c:v>2.7777777777777801E-2</c:v>
                </c:pt>
                <c:pt idx="9">
                  <c:v>3.125E-2</c:v>
                </c:pt>
                <c:pt idx="10">
                  <c:v>3.4722222222222203E-2</c:v>
                </c:pt>
                <c:pt idx="11">
                  <c:v>3.8194444444444399E-2</c:v>
                </c:pt>
                <c:pt idx="12">
                  <c:v>4.1666666666666699E-2</c:v>
                </c:pt>
                <c:pt idx="13">
                  <c:v>4.5138888888888902E-2</c:v>
                </c:pt>
                <c:pt idx="14">
                  <c:v>4.8611111111111098E-2</c:v>
                </c:pt>
                <c:pt idx="15">
                  <c:v>5.2083333333333301E-2</c:v>
                </c:pt>
                <c:pt idx="16">
                  <c:v>5.5555555555555601E-2</c:v>
                </c:pt>
                <c:pt idx="17">
                  <c:v>5.9027777777777797E-2</c:v>
                </c:pt>
                <c:pt idx="18">
                  <c:v>6.25E-2</c:v>
                </c:pt>
                <c:pt idx="19">
                  <c:v>6.5972222222222196E-2</c:v>
                </c:pt>
                <c:pt idx="20">
                  <c:v>6.9444444444444406E-2</c:v>
                </c:pt>
                <c:pt idx="21">
                  <c:v>7.2916666666666699E-2</c:v>
                </c:pt>
                <c:pt idx="22">
                  <c:v>7.6388888888888895E-2</c:v>
                </c:pt>
                <c:pt idx="23">
                  <c:v>7.9861111111111105E-2</c:v>
                </c:pt>
                <c:pt idx="24">
                  <c:v>8.3333333333333301E-2</c:v>
                </c:pt>
                <c:pt idx="25">
                  <c:v>8.6805555555555594E-2</c:v>
                </c:pt>
                <c:pt idx="26">
                  <c:v>9.0277777777777804E-2</c:v>
                </c:pt>
                <c:pt idx="27">
                  <c:v>9.375E-2</c:v>
                </c:pt>
                <c:pt idx="28">
                  <c:v>9.7222222222222196E-2</c:v>
                </c:pt>
                <c:pt idx="29">
                  <c:v>0.100694444444444</c:v>
                </c:pt>
                <c:pt idx="30">
                  <c:v>0.104166666666667</c:v>
                </c:pt>
                <c:pt idx="31">
                  <c:v>0.10763888888888901</c:v>
                </c:pt>
                <c:pt idx="32">
                  <c:v>0.11111111111111099</c:v>
                </c:pt>
                <c:pt idx="33">
                  <c:v>0.114583333333333</c:v>
                </c:pt>
                <c:pt idx="34">
                  <c:v>0.118055555555556</c:v>
                </c:pt>
                <c:pt idx="35">
                  <c:v>0.121527777777778</c:v>
                </c:pt>
                <c:pt idx="36">
                  <c:v>0.125</c:v>
                </c:pt>
                <c:pt idx="37">
                  <c:v>0.12847222222222199</c:v>
                </c:pt>
                <c:pt idx="38">
                  <c:v>0.131944444444444</c:v>
                </c:pt>
                <c:pt idx="39">
                  <c:v>0.13541666666666699</c:v>
                </c:pt>
                <c:pt idx="40">
                  <c:v>0.13888888888888901</c:v>
                </c:pt>
                <c:pt idx="41">
                  <c:v>0.14236111111111099</c:v>
                </c:pt>
                <c:pt idx="42">
                  <c:v>0.14583333333333301</c:v>
                </c:pt>
                <c:pt idx="43">
                  <c:v>0.149305555555556</c:v>
                </c:pt>
                <c:pt idx="44">
                  <c:v>0.15277777777777801</c:v>
                </c:pt>
                <c:pt idx="45">
                  <c:v>0.15625</c:v>
                </c:pt>
                <c:pt idx="46">
                  <c:v>0.15972222222222199</c:v>
                </c:pt>
                <c:pt idx="47">
                  <c:v>0.163194444444444</c:v>
                </c:pt>
                <c:pt idx="48">
                  <c:v>0.16666666666666699</c:v>
                </c:pt>
                <c:pt idx="49">
                  <c:v>0.17013888888888901</c:v>
                </c:pt>
                <c:pt idx="50">
                  <c:v>0.17361111111111099</c:v>
                </c:pt>
                <c:pt idx="51">
                  <c:v>0.17708333333333301</c:v>
                </c:pt>
                <c:pt idx="52">
                  <c:v>0.180555555555556</c:v>
                </c:pt>
                <c:pt idx="53">
                  <c:v>0.18402777777777801</c:v>
                </c:pt>
                <c:pt idx="54">
                  <c:v>0.1875</c:v>
                </c:pt>
                <c:pt idx="55">
                  <c:v>0.19097222222222199</c:v>
                </c:pt>
                <c:pt idx="56">
                  <c:v>0.194444444444444</c:v>
                </c:pt>
                <c:pt idx="57">
                  <c:v>0.19791666666666699</c:v>
                </c:pt>
                <c:pt idx="58">
                  <c:v>0.20138888888888901</c:v>
                </c:pt>
                <c:pt idx="59">
                  <c:v>0.20486111111111099</c:v>
                </c:pt>
                <c:pt idx="60">
                  <c:v>0.20833333333333301</c:v>
                </c:pt>
                <c:pt idx="61">
                  <c:v>0.211805555555556</c:v>
                </c:pt>
                <c:pt idx="62">
                  <c:v>0.21527777777777801</c:v>
                </c:pt>
                <c:pt idx="63">
                  <c:v>0.21875</c:v>
                </c:pt>
                <c:pt idx="64">
                  <c:v>0.22222222222222199</c:v>
                </c:pt>
                <c:pt idx="65">
                  <c:v>0.225694444444444</c:v>
                </c:pt>
                <c:pt idx="66">
                  <c:v>0.22916666666666699</c:v>
                </c:pt>
                <c:pt idx="67">
                  <c:v>0.23263888888888901</c:v>
                </c:pt>
                <c:pt idx="68">
                  <c:v>0.23611111111111099</c:v>
                </c:pt>
                <c:pt idx="69">
                  <c:v>0.23958333333333301</c:v>
                </c:pt>
                <c:pt idx="70">
                  <c:v>0.243055555555556</c:v>
                </c:pt>
                <c:pt idx="71">
                  <c:v>0.24652777777777801</c:v>
                </c:pt>
                <c:pt idx="72">
                  <c:v>0.25</c:v>
                </c:pt>
                <c:pt idx="73">
                  <c:v>0.25347222222222199</c:v>
                </c:pt>
                <c:pt idx="74">
                  <c:v>0.25694444444444398</c:v>
                </c:pt>
                <c:pt idx="75">
                  <c:v>0.26041666666666702</c:v>
                </c:pt>
                <c:pt idx="76">
                  <c:v>0.26388888888888901</c:v>
                </c:pt>
                <c:pt idx="77">
                  <c:v>0.26736111111111099</c:v>
                </c:pt>
                <c:pt idx="78">
                  <c:v>0.27083333333333298</c:v>
                </c:pt>
                <c:pt idx="79">
                  <c:v>0.27430555555555602</c:v>
                </c:pt>
                <c:pt idx="80">
                  <c:v>0.27777777777777801</c:v>
                </c:pt>
                <c:pt idx="81">
                  <c:v>0.28125</c:v>
                </c:pt>
                <c:pt idx="82">
                  <c:v>0.28472222222222199</c:v>
                </c:pt>
                <c:pt idx="83">
                  <c:v>0.28819444444444398</c:v>
                </c:pt>
                <c:pt idx="84">
                  <c:v>0.29166666666666702</c:v>
                </c:pt>
                <c:pt idx="85">
                  <c:v>0.29513888888888901</c:v>
                </c:pt>
                <c:pt idx="86">
                  <c:v>0.29861111111111099</c:v>
                </c:pt>
                <c:pt idx="87">
                  <c:v>0.30208333333333298</c:v>
                </c:pt>
                <c:pt idx="88">
                  <c:v>0.30555555555555602</c:v>
                </c:pt>
                <c:pt idx="89">
                  <c:v>0.30902777777777801</c:v>
                </c:pt>
                <c:pt idx="90">
                  <c:v>0.3125</c:v>
                </c:pt>
                <c:pt idx="91">
                  <c:v>0.31597222222222199</c:v>
                </c:pt>
                <c:pt idx="92">
                  <c:v>0.31944444444444398</c:v>
                </c:pt>
                <c:pt idx="93">
                  <c:v>0.32291666666666702</c:v>
                </c:pt>
                <c:pt idx="94">
                  <c:v>0.32638888888888901</c:v>
                </c:pt>
                <c:pt idx="95">
                  <c:v>0.32986111111111099</c:v>
                </c:pt>
                <c:pt idx="96">
                  <c:v>0.33333333333333298</c:v>
                </c:pt>
                <c:pt idx="97">
                  <c:v>0.33680555555555602</c:v>
                </c:pt>
                <c:pt idx="98">
                  <c:v>0.34027777777777801</c:v>
                </c:pt>
                <c:pt idx="99">
                  <c:v>0.34375</c:v>
                </c:pt>
                <c:pt idx="100">
                  <c:v>0.34722222222222199</c:v>
                </c:pt>
                <c:pt idx="101">
                  <c:v>0.35069444444444398</c:v>
                </c:pt>
                <c:pt idx="102">
                  <c:v>0.35416666666666702</c:v>
                </c:pt>
                <c:pt idx="103">
                  <c:v>0.35763888888888901</c:v>
                </c:pt>
                <c:pt idx="104">
                  <c:v>0.36111111111111099</c:v>
                </c:pt>
                <c:pt idx="105">
                  <c:v>0.36458333333333298</c:v>
                </c:pt>
                <c:pt idx="106">
                  <c:v>0.36805555555555602</c:v>
                </c:pt>
                <c:pt idx="107">
                  <c:v>0.37152777777777801</c:v>
                </c:pt>
                <c:pt idx="108">
                  <c:v>0.375</c:v>
                </c:pt>
                <c:pt idx="109">
                  <c:v>0.37847222222222199</c:v>
                </c:pt>
                <c:pt idx="110">
                  <c:v>0.38194444444444398</c:v>
                </c:pt>
                <c:pt idx="111">
                  <c:v>0.38541666666666702</c:v>
                </c:pt>
                <c:pt idx="112">
                  <c:v>0.38888888888888901</c:v>
                </c:pt>
                <c:pt idx="113">
                  <c:v>0.39236111111111099</c:v>
                </c:pt>
                <c:pt idx="114">
                  <c:v>0.39583333333333298</c:v>
                </c:pt>
                <c:pt idx="115">
                  <c:v>0.39930555555555602</c:v>
                </c:pt>
                <c:pt idx="116">
                  <c:v>0.40277777777777801</c:v>
                </c:pt>
                <c:pt idx="117">
                  <c:v>0.40625</c:v>
                </c:pt>
                <c:pt idx="118">
                  <c:v>0.40972222222222199</c:v>
                </c:pt>
                <c:pt idx="119">
                  <c:v>0.41319444444444398</c:v>
                </c:pt>
                <c:pt idx="120">
                  <c:v>0.41666666666666702</c:v>
                </c:pt>
                <c:pt idx="121">
                  <c:v>0.42013888888888901</c:v>
                </c:pt>
                <c:pt idx="122">
                  <c:v>0.42361111111111099</c:v>
                </c:pt>
                <c:pt idx="123">
                  <c:v>0.42708333333333298</c:v>
                </c:pt>
                <c:pt idx="124">
                  <c:v>0.43055555555555602</c:v>
                </c:pt>
                <c:pt idx="125">
                  <c:v>0.43402777777777801</c:v>
                </c:pt>
                <c:pt idx="126">
                  <c:v>0.4375</c:v>
                </c:pt>
                <c:pt idx="127">
                  <c:v>0.44097222222222199</c:v>
                </c:pt>
                <c:pt idx="128">
                  <c:v>0.44444444444444398</c:v>
                </c:pt>
                <c:pt idx="129">
                  <c:v>0.44791666666666702</c:v>
                </c:pt>
                <c:pt idx="130">
                  <c:v>0.45138888888888901</c:v>
                </c:pt>
                <c:pt idx="131">
                  <c:v>0.45486111111111099</c:v>
                </c:pt>
                <c:pt idx="132">
                  <c:v>0.45833333333333298</c:v>
                </c:pt>
                <c:pt idx="133">
                  <c:v>0.46180555555555602</c:v>
                </c:pt>
                <c:pt idx="134">
                  <c:v>0.46527777777777801</c:v>
                </c:pt>
                <c:pt idx="135">
                  <c:v>0.46875</c:v>
                </c:pt>
                <c:pt idx="136">
                  <c:v>0.47222222222222199</c:v>
                </c:pt>
                <c:pt idx="137">
                  <c:v>0.47569444444444398</c:v>
                </c:pt>
                <c:pt idx="138">
                  <c:v>0.47916666666666702</c:v>
                </c:pt>
                <c:pt idx="139">
                  <c:v>0.48263888888888901</c:v>
                </c:pt>
                <c:pt idx="140">
                  <c:v>0.48611111111111099</c:v>
                </c:pt>
                <c:pt idx="141">
                  <c:v>0.48958333333333298</c:v>
                </c:pt>
                <c:pt idx="142">
                  <c:v>0.49305555555555602</c:v>
                </c:pt>
                <c:pt idx="143">
                  <c:v>0.49652777777777801</c:v>
                </c:pt>
                <c:pt idx="144">
                  <c:v>0.5</c:v>
                </c:pt>
                <c:pt idx="145">
                  <c:v>0.50347222222222199</c:v>
                </c:pt>
                <c:pt idx="146">
                  <c:v>0.50694444444444398</c:v>
                </c:pt>
                <c:pt idx="147">
                  <c:v>0.51041666666666696</c:v>
                </c:pt>
                <c:pt idx="148">
                  <c:v>0.51388888888888895</c:v>
                </c:pt>
                <c:pt idx="149">
                  <c:v>0.51736111111111105</c:v>
                </c:pt>
                <c:pt idx="150">
                  <c:v>0.52083333333333304</c:v>
                </c:pt>
                <c:pt idx="151">
                  <c:v>0.52430555555555602</c:v>
                </c:pt>
                <c:pt idx="152">
                  <c:v>0.52777777777777801</c:v>
                </c:pt>
                <c:pt idx="153">
                  <c:v>0.53125</c:v>
                </c:pt>
                <c:pt idx="154">
                  <c:v>0.53472222222222199</c:v>
                </c:pt>
                <c:pt idx="155">
                  <c:v>0.53819444444444398</c:v>
                </c:pt>
                <c:pt idx="156">
                  <c:v>0.54166666666666696</c:v>
                </c:pt>
                <c:pt idx="157">
                  <c:v>0.54513888888888895</c:v>
                </c:pt>
                <c:pt idx="158">
                  <c:v>0.54861111111111105</c:v>
                </c:pt>
                <c:pt idx="159">
                  <c:v>0.55208333333333304</c:v>
                </c:pt>
                <c:pt idx="160">
                  <c:v>0.55555555555555602</c:v>
                </c:pt>
                <c:pt idx="161">
                  <c:v>0.55902777777777801</c:v>
                </c:pt>
                <c:pt idx="162">
                  <c:v>0.5625</c:v>
                </c:pt>
                <c:pt idx="163">
                  <c:v>0.56597222222222199</c:v>
                </c:pt>
                <c:pt idx="164">
                  <c:v>0.56944444444444398</c:v>
                </c:pt>
                <c:pt idx="165">
                  <c:v>0.57291666666666696</c:v>
                </c:pt>
                <c:pt idx="166">
                  <c:v>0.57638888888888895</c:v>
                </c:pt>
                <c:pt idx="167">
                  <c:v>0.57986111111111105</c:v>
                </c:pt>
                <c:pt idx="168">
                  <c:v>0.58333333333333304</c:v>
                </c:pt>
                <c:pt idx="169">
                  <c:v>0.58680555555555503</c:v>
                </c:pt>
                <c:pt idx="170">
                  <c:v>0.59027777777777801</c:v>
                </c:pt>
                <c:pt idx="171">
                  <c:v>0.59375</c:v>
                </c:pt>
                <c:pt idx="172">
                  <c:v>0.59722222222222199</c:v>
                </c:pt>
                <c:pt idx="173">
                  <c:v>0.60069444444444398</c:v>
                </c:pt>
                <c:pt idx="174">
                  <c:v>0.60416666666666696</c:v>
                </c:pt>
                <c:pt idx="175">
                  <c:v>0.60763888888888895</c:v>
                </c:pt>
                <c:pt idx="176">
                  <c:v>0.61111111111111105</c:v>
                </c:pt>
                <c:pt idx="177">
                  <c:v>0.61458333333333304</c:v>
                </c:pt>
                <c:pt idx="178">
                  <c:v>0.61805555555555503</c:v>
                </c:pt>
                <c:pt idx="179">
                  <c:v>0.62152777777777801</c:v>
                </c:pt>
                <c:pt idx="180">
                  <c:v>0.625</c:v>
                </c:pt>
                <c:pt idx="181">
                  <c:v>0.62847222222222199</c:v>
                </c:pt>
                <c:pt idx="182">
                  <c:v>0.63194444444444398</c:v>
                </c:pt>
                <c:pt idx="183">
                  <c:v>0.63541666666666696</c:v>
                </c:pt>
                <c:pt idx="184">
                  <c:v>0.63888888888888895</c:v>
                </c:pt>
                <c:pt idx="185">
                  <c:v>0.64236111111111105</c:v>
                </c:pt>
                <c:pt idx="186">
                  <c:v>0.64583333333333304</c:v>
                </c:pt>
                <c:pt idx="187">
                  <c:v>0.64930555555555503</c:v>
                </c:pt>
                <c:pt idx="188">
                  <c:v>0.65277777777777801</c:v>
                </c:pt>
                <c:pt idx="189">
                  <c:v>0.65625</c:v>
                </c:pt>
                <c:pt idx="190">
                  <c:v>0.65972222222222199</c:v>
                </c:pt>
                <c:pt idx="191">
                  <c:v>0.66319444444444398</c:v>
                </c:pt>
                <c:pt idx="192">
                  <c:v>0.66666666666666696</c:v>
                </c:pt>
                <c:pt idx="193">
                  <c:v>0.67013888888888895</c:v>
                </c:pt>
                <c:pt idx="194">
                  <c:v>0.67361111111111105</c:v>
                </c:pt>
                <c:pt idx="195">
                  <c:v>0.67708333333333304</c:v>
                </c:pt>
                <c:pt idx="196">
                  <c:v>0.68055555555555503</c:v>
                </c:pt>
                <c:pt idx="197">
                  <c:v>0.68402777777777801</c:v>
                </c:pt>
                <c:pt idx="198">
                  <c:v>0.6875</c:v>
                </c:pt>
                <c:pt idx="199">
                  <c:v>0.69097222222222199</c:v>
                </c:pt>
                <c:pt idx="200">
                  <c:v>0.69444444444444398</c:v>
                </c:pt>
                <c:pt idx="201">
                  <c:v>0.69791666666666696</c:v>
                </c:pt>
                <c:pt idx="202">
                  <c:v>0.70138888888888895</c:v>
                </c:pt>
                <c:pt idx="203">
                  <c:v>0.70486111111111105</c:v>
                </c:pt>
                <c:pt idx="204">
                  <c:v>0.70833333333333304</c:v>
                </c:pt>
                <c:pt idx="205">
                  <c:v>0.71180555555555503</c:v>
                </c:pt>
                <c:pt idx="206">
                  <c:v>0.71527777777777801</c:v>
                </c:pt>
                <c:pt idx="207">
                  <c:v>0.71875</c:v>
                </c:pt>
                <c:pt idx="208">
                  <c:v>0.72222222222222199</c:v>
                </c:pt>
                <c:pt idx="209">
                  <c:v>0.72569444444444398</c:v>
                </c:pt>
                <c:pt idx="210">
                  <c:v>0.72916666666666696</c:v>
                </c:pt>
                <c:pt idx="211">
                  <c:v>0.73263888888888895</c:v>
                </c:pt>
                <c:pt idx="212">
                  <c:v>0.73611111111111105</c:v>
                </c:pt>
                <c:pt idx="213">
                  <c:v>0.73958333333333304</c:v>
                </c:pt>
                <c:pt idx="214">
                  <c:v>0.74305555555555503</c:v>
                </c:pt>
                <c:pt idx="215">
                  <c:v>0.74652777777777801</c:v>
                </c:pt>
                <c:pt idx="216">
                  <c:v>0.75</c:v>
                </c:pt>
                <c:pt idx="217">
                  <c:v>0.75347222222222199</c:v>
                </c:pt>
                <c:pt idx="218">
                  <c:v>0.75694444444444398</c:v>
                </c:pt>
                <c:pt idx="219">
                  <c:v>0.76041666666666696</c:v>
                </c:pt>
                <c:pt idx="220">
                  <c:v>0.76388888888888895</c:v>
                </c:pt>
                <c:pt idx="221">
                  <c:v>0.76736111111111105</c:v>
                </c:pt>
                <c:pt idx="222">
                  <c:v>0.77083333333333304</c:v>
                </c:pt>
                <c:pt idx="223">
                  <c:v>0.77430555555555503</c:v>
                </c:pt>
                <c:pt idx="224">
                  <c:v>0.77777777777777801</c:v>
                </c:pt>
                <c:pt idx="225">
                  <c:v>0.78125</c:v>
                </c:pt>
                <c:pt idx="226">
                  <c:v>0.78472222222222199</c:v>
                </c:pt>
                <c:pt idx="227">
                  <c:v>0.78819444444444398</c:v>
                </c:pt>
                <c:pt idx="228">
                  <c:v>0.79166666666666696</c:v>
                </c:pt>
                <c:pt idx="229">
                  <c:v>0.79513888888888895</c:v>
                </c:pt>
                <c:pt idx="230">
                  <c:v>0.79861111111111105</c:v>
                </c:pt>
                <c:pt idx="231">
                  <c:v>0.80208333333333304</c:v>
                </c:pt>
                <c:pt idx="232">
                  <c:v>0.80555555555555503</c:v>
                </c:pt>
                <c:pt idx="233">
                  <c:v>0.80902777777777801</c:v>
                </c:pt>
                <c:pt idx="234">
                  <c:v>0.8125</c:v>
                </c:pt>
                <c:pt idx="235">
                  <c:v>0.81597222222222199</c:v>
                </c:pt>
                <c:pt idx="236">
                  <c:v>0.81944444444444398</c:v>
                </c:pt>
                <c:pt idx="237">
                  <c:v>0.82291666666666696</c:v>
                </c:pt>
                <c:pt idx="238">
                  <c:v>0.82638888888888895</c:v>
                </c:pt>
                <c:pt idx="239">
                  <c:v>0.82986111111111105</c:v>
                </c:pt>
                <c:pt idx="240">
                  <c:v>0.83333333333333304</c:v>
                </c:pt>
                <c:pt idx="241">
                  <c:v>0.83680555555555503</c:v>
                </c:pt>
                <c:pt idx="242">
                  <c:v>0.84027777777777801</c:v>
                </c:pt>
                <c:pt idx="243">
                  <c:v>0.84375</c:v>
                </c:pt>
                <c:pt idx="244">
                  <c:v>0.84722222222222199</c:v>
                </c:pt>
                <c:pt idx="245">
                  <c:v>0.85069444444444398</c:v>
                </c:pt>
                <c:pt idx="246">
                  <c:v>0.85416666666666696</c:v>
                </c:pt>
                <c:pt idx="247">
                  <c:v>0.85763888888888895</c:v>
                </c:pt>
                <c:pt idx="248">
                  <c:v>0.86111111111111105</c:v>
                </c:pt>
                <c:pt idx="249">
                  <c:v>0.86458333333333304</c:v>
                </c:pt>
                <c:pt idx="250">
                  <c:v>0.86805555555555503</c:v>
                </c:pt>
                <c:pt idx="251">
                  <c:v>0.87152777777777801</c:v>
                </c:pt>
                <c:pt idx="252">
                  <c:v>0.875</c:v>
                </c:pt>
                <c:pt idx="253">
                  <c:v>0.87847222222222199</c:v>
                </c:pt>
                <c:pt idx="254">
                  <c:v>0.88194444444444398</c:v>
                </c:pt>
                <c:pt idx="255">
                  <c:v>0.88541666666666696</c:v>
                </c:pt>
                <c:pt idx="256">
                  <c:v>0.88888888888888895</c:v>
                </c:pt>
                <c:pt idx="257">
                  <c:v>0.89236111111111105</c:v>
                </c:pt>
                <c:pt idx="258">
                  <c:v>0.89583333333333304</c:v>
                </c:pt>
                <c:pt idx="259">
                  <c:v>0.89930555555555503</c:v>
                </c:pt>
                <c:pt idx="260">
                  <c:v>0.90277777777777801</c:v>
                </c:pt>
                <c:pt idx="261">
                  <c:v>0.90625</c:v>
                </c:pt>
                <c:pt idx="262">
                  <c:v>0.90972222222222199</c:v>
                </c:pt>
                <c:pt idx="263">
                  <c:v>0.91319444444444398</c:v>
                </c:pt>
                <c:pt idx="264">
                  <c:v>0.91666666666666696</c:v>
                </c:pt>
                <c:pt idx="265">
                  <c:v>0.92013888888888895</c:v>
                </c:pt>
                <c:pt idx="266">
                  <c:v>0.92361111111111105</c:v>
                </c:pt>
                <c:pt idx="267">
                  <c:v>0.92708333333333304</c:v>
                </c:pt>
                <c:pt idx="268">
                  <c:v>0.93055555555555503</c:v>
                </c:pt>
                <c:pt idx="269">
                  <c:v>0.93402777777777801</c:v>
                </c:pt>
                <c:pt idx="270">
                  <c:v>0.9375</c:v>
                </c:pt>
                <c:pt idx="271">
                  <c:v>0.94097222222222199</c:v>
                </c:pt>
                <c:pt idx="272">
                  <c:v>0.94444444444444398</c:v>
                </c:pt>
                <c:pt idx="273">
                  <c:v>0.94791666666666696</c:v>
                </c:pt>
                <c:pt idx="274">
                  <c:v>0.95138888888888895</c:v>
                </c:pt>
                <c:pt idx="275">
                  <c:v>0.95486111111111105</c:v>
                </c:pt>
                <c:pt idx="276">
                  <c:v>0.95833333333333304</c:v>
                </c:pt>
                <c:pt idx="277">
                  <c:v>0.96180555555555503</c:v>
                </c:pt>
                <c:pt idx="278">
                  <c:v>0.96527777777777801</c:v>
                </c:pt>
                <c:pt idx="279">
                  <c:v>0.96875</c:v>
                </c:pt>
                <c:pt idx="280">
                  <c:v>0.97222222222222199</c:v>
                </c:pt>
                <c:pt idx="281">
                  <c:v>0.97569444444444398</c:v>
                </c:pt>
                <c:pt idx="282">
                  <c:v>0.97916666666666696</c:v>
                </c:pt>
                <c:pt idx="283">
                  <c:v>0.98263888888888895</c:v>
                </c:pt>
                <c:pt idx="284">
                  <c:v>0.98611111111111105</c:v>
                </c:pt>
                <c:pt idx="285">
                  <c:v>0.98958333333333304</c:v>
                </c:pt>
                <c:pt idx="286">
                  <c:v>0.99305555555555503</c:v>
                </c:pt>
                <c:pt idx="287">
                  <c:v>0.99652777777777801</c:v>
                </c:pt>
              </c:numCache>
            </c:numRef>
          </c:cat>
          <c:val>
            <c:numRef>
              <c:f>ChtLd!$B$2:$B$289</c:f>
              <c:numCache>
                <c:formatCode>0.00</c:formatCode>
                <c:ptCount val="288"/>
                <c:pt idx="0" formatCode="0.0">
                  <c:v>5</c:v>
                </c:pt>
                <c:pt idx="1">
                  <c:v>5.09</c:v>
                </c:pt>
                <c:pt idx="2">
                  <c:v>5.18</c:v>
                </c:pt>
                <c:pt idx="3">
                  <c:v>5.27</c:v>
                </c:pt>
                <c:pt idx="4">
                  <c:v>5.3599999999999994</c:v>
                </c:pt>
                <c:pt idx="5">
                  <c:v>5.4499999999999993</c:v>
                </c:pt>
                <c:pt idx="6">
                  <c:v>5.5399999999999991</c:v>
                </c:pt>
                <c:pt idx="7">
                  <c:v>5.629999999999999</c:v>
                </c:pt>
                <c:pt idx="8">
                  <c:v>5.7199999999999989</c:v>
                </c:pt>
                <c:pt idx="9">
                  <c:v>5.8099999999999987</c:v>
                </c:pt>
                <c:pt idx="10">
                  <c:v>5.8999999999999986</c:v>
                </c:pt>
                <c:pt idx="11">
                  <c:v>5.9899999999999984</c:v>
                </c:pt>
                <c:pt idx="12">
                  <c:v>6.0799999999999983</c:v>
                </c:pt>
                <c:pt idx="13">
                  <c:v>6.1699999999999982</c:v>
                </c:pt>
                <c:pt idx="14">
                  <c:v>6.259999999999998</c:v>
                </c:pt>
                <c:pt idx="15">
                  <c:v>6.3499999999999979</c:v>
                </c:pt>
                <c:pt idx="16">
                  <c:v>6.4399999999999977</c:v>
                </c:pt>
                <c:pt idx="17">
                  <c:v>6.5299999999999976</c:v>
                </c:pt>
                <c:pt idx="18">
                  <c:v>6.6199999999999974</c:v>
                </c:pt>
                <c:pt idx="19">
                  <c:v>6.7099999999999973</c:v>
                </c:pt>
                <c:pt idx="20">
                  <c:v>6.7999999999999972</c:v>
                </c:pt>
                <c:pt idx="21">
                  <c:v>6.889999999999997</c:v>
                </c:pt>
                <c:pt idx="22">
                  <c:v>6.9799999999999969</c:v>
                </c:pt>
                <c:pt idx="23">
                  <c:v>7.0699999999999967</c:v>
                </c:pt>
                <c:pt idx="24">
                  <c:v>7.1599999999999966</c:v>
                </c:pt>
                <c:pt idx="25">
                  <c:v>7.2499999999999964</c:v>
                </c:pt>
                <c:pt idx="26">
                  <c:v>7.3399999999999963</c:v>
                </c:pt>
                <c:pt idx="27">
                  <c:v>7.4299999999999962</c:v>
                </c:pt>
                <c:pt idx="28">
                  <c:v>7.519999999999996</c:v>
                </c:pt>
                <c:pt idx="29">
                  <c:v>7.6099999999999959</c:v>
                </c:pt>
                <c:pt idx="30">
                  <c:v>7.6999999999999957</c:v>
                </c:pt>
                <c:pt idx="31">
                  <c:v>7.7899999999999956</c:v>
                </c:pt>
                <c:pt idx="32">
                  <c:v>7.8799999999999955</c:v>
                </c:pt>
                <c:pt idx="33">
                  <c:v>7.9699999999999953</c:v>
                </c:pt>
                <c:pt idx="34">
                  <c:v>8.0599999999999952</c:v>
                </c:pt>
                <c:pt idx="35">
                  <c:v>8.149999999999995</c:v>
                </c:pt>
                <c:pt idx="36">
                  <c:v>8.2399999999999949</c:v>
                </c:pt>
                <c:pt idx="37">
                  <c:v>8.3299999999999947</c:v>
                </c:pt>
                <c:pt idx="38">
                  <c:v>8.4199999999999946</c:v>
                </c:pt>
                <c:pt idx="39">
                  <c:v>8.5099999999999945</c:v>
                </c:pt>
                <c:pt idx="40">
                  <c:v>8.5999999999999943</c:v>
                </c:pt>
                <c:pt idx="41">
                  <c:v>8.6899999999999942</c:v>
                </c:pt>
                <c:pt idx="42">
                  <c:v>8.779999999999994</c:v>
                </c:pt>
                <c:pt idx="43">
                  <c:v>8.8699999999999939</c:v>
                </c:pt>
                <c:pt idx="44">
                  <c:v>8.9599999999999937</c:v>
                </c:pt>
                <c:pt idx="45">
                  <c:v>9.0499999999999936</c:v>
                </c:pt>
                <c:pt idx="46">
                  <c:v>9.1399999999999935</c:v>
                </c:pt>
                <c:pt idx="47">
                  <c:v>9.2299999999999933</c:v>
                </c:pt>
                <c:pt idx="48">
                  <c:v>9.3199999999999932</c:v>
                </c:pt>
                <c:pt idx="49">
                  <c:v>9.409999999999993</c:v>
                </c:pt>
                <c:pt idx="50">
                  <c:v>9.4999999999999929</c:v>
                </c:pt>
                <c:pt idx="51">
                  <c:v>9.5899999999999928</c:v>
                </c:pt>
                <c:pt idx="52">
                  <c:v>9.6799999999999926</c:v>
                </c:pt>
                <c:pt idx="53">
                  <c:v>9.7699999999999925</c:v>
                </c:pt>
                <c:pt idx="54">
                  <c:v>9.8599999999999923</c:v>
                </c:pt>
                <c:pt idx="55">
                  <c:v>9.9499999999999922</c:v>
                </c:pt>
                <c:pt idx="56">
                  <c:v>10.039999999999992</c:v>
                </c:pt>
                <c:pt idx="57">
                  <c:v>10.129999999999992</c:v>
                </c:pt>
                <c:pt idx="58">
                  <c:v>10.219999999999992</c:v>
                </c:pt>
                <c:pt idx="59">
                  <c:v>10.309999999999992</c:v>
                </c:pt>
                <c:pt idx="60">
                  <c:v>10.399999999999991</c:v>
                </c:pt>
                <c:pt idx="61">
                  <c:v>10.489999999999991</c:v>
                </c:pt>
                <c:pt idx="62">
                  <c:v>10.579999999999991</c:v>
                </c:pt>
                <c:pt idx="63">
                  <c:v>10.669999999999991</c:v>
                </c:pt>
                <c:pt idx="64">
                  <c:v>10.759999999999991</c:v>
                </c:pt>
                <c:pt idx="65">
                  <c:v>10.849999999999991</c:v>
                </c:pt>
                <c:pt idx="66">
                  <c:v>10.939999999999991</c:v>
                </c:pt>
                <c:pt idx="67">
                  <c:v>11.02999999999999</c:v>
                </c:pt>
                <c:pt idx="68">
                  <c:v>11.11999999999999</c:v>
                </c:pt>
                <c:pt idx="69">
                  <c:v>11.20999999999999</c:v>
                </c:pt>
                <c:pt idx="70">
                  <c:v>11.29999999999999</c:v>
                </c:pt>
                <c:pt idx="71">
                  <c:v>11.38999999999999</c:v>
                </c:pt>
                <c:pt idx="72">
                  <c:v>11.47999999999999</c:v>
                </c:pt>
                <c:pt idx="73">
                  <c:v>11.56999999999999</c:v>
                </c:pt>
                <c:pt idx="74">
                  <c:v>11.659999999999989</c:v>
                </c:pt>
                <c:pt idx="75">
                  <c:v>11.749999999999989</c:v>
                </c:pt>
                <c:pt idx="76">
                  <c:v>11.839999999999989</c:v>
                </c:pt>
                <c:pt idx="77">
                  <c:v>11.929999999999989</c:v>
                </c:pt>
                <c:pt idx="78">
                  <c:v>12.019999999999989</c:v>
                </c:pt>
                <c:pt idx="79">
                  <c:v>12.109999999999989</c:v>
                </c:pt>
                <c:pt idx="80">
                  <c:v>12.199999999999989</c:v>
                </c:pt>
                <c:pt idx="81">
                  <c:v>12.289999999999988</c:v>
                </c:pt>
                <c:pt idx="82">
                  <c:v>12.379999999999988</c:v>
                </c:pt>
                <c:pt idx="83">
                  <c:v>12.469999999999988</c:v>
                </c:pt>
                <c:pt idx="84">
                  <c:v>12.559999999999988</c:v>
                </c:pt>
                <c:pt idx="85">
                  <c:v>12.649999999999988</c:v>
                </c:pt>
                <c:pt idx="86">
                  <c:v>12.739999999999988</c:v>
                </c:pt>
                <c:pt idx="87">
                  <c:v>12.829999999999988</c:v>
                </c:pt>
                <c:pt idx="88">
                  <c:v>12.919999999999987</c:v>
                </c:pt>
                <c:pt idx="89">
                  <c:v>13.009999999999987</c:v>
                </c:pt>
                <c:pt idx="90">
                  <c:v>13.099999999999987</c:v>
                </c:pt>
                <c:pt idx="91">
                  <c:v>13.189999999999987</c:v>
                </c:pt>
                <c:pt idx="92">
                  <c:v>13.279999999999987</c:v>
                </c:pt>
                <c:pt idx="93">
                  <c:v>13.369999999999987</c:v>
                </c:pt>
                <c:pt idx="94">
                  <c:v>13.459999999999987</c:v>
                </c:pt>
                <c:pt idx="95">
                  <c:v>13.549999999999986</c:v>
                </c:pt>
                <c:pt idx="96">
                  <c:v>13.639999999999986</c:v>
                </c:pt>
                <c:pt idx="97">
                  <c:v>13.729999999999986</c:v>
                </c:pt>
                <c:pt idx="98">
                  <c:v>13.819999999999986</c:v>
                </c:pt>
                <c:pt idx="99">
                  <c:v>13.909999999999986</c:v>
                </c:pt>
                <c:pt idx="100">
                  <c:v>13.999999999999986</c:v>
                </c:pt>
                <c:pt idx="101">
                  <c:v>14.089999999999986</c:v>
                </c:pt>
                <c:pt idx="102">
                  <c:v>14.179999999999986</c:v>
                </c:pt>
                <c:pt idx="103">
                  <c:v>14.269999999999985</c:v>
                </c:pt>
                <c:pt idx="104">
                  <c:v>14.359999999999985</c:v>
                </c:pt>
                <c:pt idx="105">
                  <c:v>14.449999999999985</c:v>
                </c:pt>
                <c:pt idx="106">
                  <c:v>14.539999999999985</c:v>
                </c:pt>
                <c:pt idx="107">
                  <c:v>14.629999999999985</c:v>
                </c:pt>
                <c:pt idx="108">
                  <c:v>14.719999999999985</c:v>
                </c:pt>
                <c:pt idx="109">
                  <c:v>14.809999999999985</c:v>
                </c:pt>
                <c:pt idx="110">
                  <c:v>14.899999999999984</c:v>
                </c:pt>
                <c:pt idx="111">
                  <c:v>14.989999999999984</c:v>
                </c:pt>
                <c:pt idx="112">
                  <c:v>15.079999999999984</c:v>
                </c:pt>
                <c:pt idx="113">
                  <c:v>15.169999999999984</c:v>
                </c:pt>
                <c:pt idx="114">
                  <c:v>15.259999999999984</c:v>
                </c:pt>
                <c:pt idx="115">
                  <c:v>15.349999999999984</c:v>
                </c:pt>
                <c:pt idx="116">
                  <c:v>15.439999999999984</c:v>
                </c:pt>
                <c:pt idx="117">
                  <c:v>15.529999999999983</c:v>
                </c:pt>
                <c:pt idx="118">
                  <c:v>15.619999999999983</c:v>
                </c:pt>
                <c:pt idx="119">
                  <c:v>15.709999999999983</c:v>
                </c:pt>
                <c:pt idx="120">
                  <c:v>15.799999999999983</c:v>
                </c:pt>
                <c:pt idx="121">
                  <c:v>15.889999999999983</c:v>
                </c:pt>
                <c:pt idx="122">
                  <c:v>15.979999999999983</c:v>
                </c:pt>
                <c:pt idx="123">
                  <c:v>16.069999999999983</c:v>
                </c:pt>
                <c:pt idx="124">
                  <c:v>16.159999999999982</c:v>
                </c:pt>
                <c:pt idx="125">
                  <c:v>16.249999999999982</c:v>
                </c:pt>
                <c:pt idx="126">
                  <c:v>16.339999999999982</c:v>
                </c:pt>
                <c:pt idx="127">
                  <c:v>16.429999999999982</c:v>
                </c:pt>
                <c:pt idx="128">
                  <c:v>16.519999999999982</c:v>
                </c:pt>
                <c:pt idx="129">
                  <c:v>16.609999999999982</c:v>
                </c:pt>
                <c:pt idx="130">
                  <c:v>16.699999999999982</c:v>
                </c:pt>
                <c:pt idx="131">
                  <c:v>16.789999999999981</c:v>
                </c:pt>
                <c:pt idx="132">
                  <c:v>16.879999999999981</c:v>
                </c:pt>
                <c:pt idx="133">
                  <c:v>16.969999999999981</c:v>
                </c:pt>
                <c:pt idx="134">
                  <c:v>17.059999999999981</c:v>
                </c:pt>
                <c:pt idx="135">
                  <c:v>17.149999999999981</c:v>
                </c:pt>
                <c:pt idx="136">
                  <c:v>17.239999999999981</c:v>
                </c:pt>
                <c:pt idx="137">
                  <c:v>17.329999999999981</c:v>
                </c:pt>
                <c:pt idx="138">
                  <c:v>17.41999999999998</c:v>
                </c:pt>
                <c:pt idx="139">
                  <c:v>17.50999999999998</c:v>
                </c:pt>
                <c:pt idx="140">
                  <c:v>17.59999999999998</c:v>
                </c:pt>
                <c:pt idx="141">
                  <c:v>17.68999999999998</c:v>
                </c:pt>
                <c:pt idx="142">
                  <c:v>17.77999999999998</c:v>
                </c:pt>
                <c:pt idx="143">
                  <c:v>17.86999999999998</c:v>
                </c:pt>
                <c:pt idx="144">
                  <c:v>17.95999999999998</c:v>
                </c:pt>
                <c:pt idx="145">
                  <c:v>18.049999999999979</c:v>
                </c:pt>
                <c:pt idx="146">
                  <c:v>18.139999999999979</c:v>
                </c:pt>
                <c:pt idx="147">
                  <c:v>18.229999999999979</c:v>
                </c:pt>
                <c:pt idx="148">
                  <c:v>18.319999999999979</c:v>
                </c:pt>
                <c:pt idx="149">
                  <c:v>18.409999999999979</c:v>
                </c:pt>
                <c:pt idx="150">
                  <c:v>18.499999999999979</c:v>
                </c:pt>
                <c:pt idx="151">
                  <c:v>18.589999999999979</c:v>
                </c:pt>
                <c:pt idx="152">
                  <c:v>18.679999999999978</c:v>
                </c:pt>
                <c:pt idx="153">
                  <c:v>18.769999999999978</c:v>
                </c:pt>
                <c:pt idx="154">
                  <c:v>18.859999999999978</c:v>
                </c:pt>
                <c:pt idx="155">
                  <c:v>18.949999999999978</c:v>
                </c:pt>
                <c:pt idx="156">
                  <c:v>19.039999999999978</c:v>
                </c:pt>
                <c:pt idx="157">
                  <c:v>19.129999999999978</c:v>
                </c:pt>
                <c:pt idx="158">
                  <c:v>19.219999999999978</c:v>
                </c:pt>
                <c:pt idx="159">
                  <c:v>19.309999999999977</c:v>
                </c:pt>
                <c:pt idx="160">
                  <c:v>19.399999999999977</c:v>
                </c:pt>
                <c:pt idx="161">
                  <c:v>19.489999999999977</c:v>
                </c:pt>
                <c:pt idx="162">
                  <c:v>19.579999999999977</c:v>
                </c:pt>
                <c:pt idx="163">
                  <c:v>19.669999999999977</c:v>
                </c:pt>
                <c:pt idx="164">
                  <c:v>19.759999999999977</c:v>
                </c:pt>
                <c:pt idx="165">
                  <c:v>19.849999999999977</c:v>
                </c:pt>
                <c:pt idx="166">
                  <c:v>19.939999999999976</c:v>
                </c:pt>
                <c:pt idx="167">
                  <c:v>20.029999999999976</c:v>
                </c:pt>
                <c:pt idx="168">
                  <c:v>20.119999999999976</c:v>
                </c:pt>
                <c:pt idx="169">
                  <c:v>20.209999999999976</c:v>
                </c:pt>
                <c:pt idx="170">
                  <c:v>20.299999999999976</c:v>
                </c:pt>
                <c:pt idx="171">
                  <c:v>20.389999999999976</c:v>
                </c:pt>
                <c:pt idx="172">
                  <c:v>20.479999999999976</c:v>
                </c:pt>
                <c:pt idx="173">
                  <c:v>20.569999999999975</c:v>
                </c:pt>
                <c:pt idx="174">
                  <c:v>20.659999999999975</c:v>
                </c:pt>
                <c:pt idx="175">
                  <c:v>20.749999999999975</c:v>
                </c:pt>
                <c:pt idx="176">
                  <c:v>20.839999999999975</c:v>
                </c:pt>
                <c:pt idx="177">
                  <c:v>20.929999999999975</c:v>
                </c:pt>
                <c:pt idx="178">
                  <c:v>21.019999999999975</c:v>
                </c:pt>
                <c:pt idx="179">
                  <c:v>21.109999999999975</c:v>
                </c:pt>
                <c:pt idx="180">
                  <c:v>21.199999999999974</c:v>
                </c:pt>
                <c:pt idx="181">
                  <c:v>21.289999999999974</c:v>
                </c:pt>
                <c:pt idx="182">
                  <c:v>21.379999999999974</c:v>
                </c:pt>
                <c:pt idx="183">
                  <c:v>21.469999999999974</c:v>
                </c:pt>
                <c:pt idx="184">
                  <c:v>21.559999999999974</c:v>
                </c:pt>
                <c:pt idx="185">
                  <c:v>21.649999999999974</c:v>
                </c:pt>
                <c:pt idx="186">
                  <c:v>21.739999999999974</c:v>
                </c:pt>
                <c:pt idx="187">
                  <c:v>21.829999999999973</c:v>
                </c:pt>
                <c:pt idx="188">
                  <c:v>21.919999999999973</c:v>
                </c:pt>
                <c:pt idx="189">
                  <c:v>22.009999999999973</c:v>
                </c:pt>
                <c:pt idx="190">
                  <c:v>22.099999999999973</c:v>
                </c:pt>
                <c:pt idx="191">
                  <c:v>22.189999999999973</c:v>
                </c:pt>
                <c:pt idx="192">
                  <c:v>22.279999999999973</c:v>
                </c:pt>
                <c:pt idx="193">
                  <c:v>22.369999999999973</c:v>
                </c:pt>
                <c:pt idx="194">
                  <c:v>22.459999999999972</c:v>
                </c:pt>
                <c:pt idx="195">
                  <c:v>22.549999999999972</c:v>
                </c:pt>
                <c:pt idx="196">
                  <c:v>22.639999999999972</c:v>
                </c:pt>
                <c:pt idx="197">
                  <c:v>22.729999999999972</c:v>
                </c:pt>
                <c:pt idx="198">
                  <c:v>22.819999999999972</c:v>
                </c:pt>
                <c:pt idx="199">
                  <c:v>22.909999999999972</c:v>
                </c:pt>
                <c:pt idx="200">
                  <c:v>22.999999999999972</c:v>
                </c:pt>
                <c:pt idx="201">
                  <c:v>23.089999999999971</c:v>
                </c:pt>
                <c:pt idx="202">
                  <c:v>23.179999999999971</c:v>
                </c:pt>
                <c:pt idx="203">
                  <c:v>23.269999999999971</c:v>
                </c:pt>
                <c:pt idx="204">
                  <c:v>23.359999999999971</c:v>
                </c:pt>
                <c:pt idx="205">
                  <c:v>23.449999999999971</c:v>
                </c:pt>
                <c:pt idx="206">
                  <c:v>23.539999999999971</c:v>
                </c:pt>
                <c:pt idx="207">
                  <c:v>23.629999999999971</c:v>
                </c:pt>
                <c:pt idx="208">
                  <c:v>23.71999999999997</c:v>
                </c:pt>
                <c:pt idx="209">
                  <c:v>23.80999999999997</c:v>
                </c:pt>
                <c:pt idx="210">
                  <c:v>23.89999999999997</c:v>
                </c:pt>
                <c:pt idx="211">
                  <c:v>23.98999999999997</c:v>
                </c:pt>
                <c:pt idx="212">
                  <c:v>24.07999999999997</c:v>
                </c:pt>
                <c:pt idx="213">
                  <c:v>24.16999999999997</c:v>
                </c:pt>
                <c:pt idx="214">
                  <c:v>24.25999999999997</c:v>
                </c:pt>
                <c:pt idx="215">
                  <c:v>24.349999999999969</c:v>
                </c:pt>
                <c:pt idx="216">
                  <c:v>24.439999999999969</c:v>
                </c:pt>
                <c:pt idx="217">
                  <c:v>24.529999999999969</c:v>
                </c:pt>
                <c:pt idx="218">
                  <c:v>24.619999999999969</c:v>
                </c:pt>
                <c:pt idx="219">
                  <c:v>24.709999999999969</c:v>
                </c:pt>
                <c:pt idx="220">
                  <c:v>24.799999999999969</c:v>
                </c:pt>
                <c:pt idx="221">
                  <c:v>24.889999999999969</c:v>
                </c:pt>
                <c:pt idx="222">
                  <c:v>24.979999999999968</c:v>
                </c:pt>
                <c:pt idx="223">
                  <c:v>25.069999999999968</c:v>
                </c:pt>
                <c:pt idx="224">
                  <c:v>25.159999999999968</c:v>
                </c:pt>
                <c:pt idx="225">
                  <c:v>25.249999999999968</c:v>
                </c:pt>
                <c:pt idx="226">
                  <c:v>25.339999999999968</c:v>
                </c:pt>
                <c:pt idx="227">
                  <c:v>25.429999999999968</c:v>
                </c:pt>
                <c:pt idx="228">
                  <c:v>25.519999999999968</c:v>
                </c:pt>
                <c:pt idx="229">
                  <c:v>25.609999999999967</c:v>
                </c:pt>
                <c:pt idx="230">
                  <c:v>25.699999999999967</c:v>
                </c:pt>
                <c:pt idx="231">
                  <c:v>25.789999999999967</c:v>
                </c:pt>
                <c:pt idx="232">
                  <c:v>25.879999999999967</c:v>
                </c:pt>
                <c:pt idx="233">
                  <c:v>25.969999999999967</c:v>
                </c:pt>
                <c:pt idx="234">
                  <c:v>26.059999999999967</c:v>
                </c:pt>
                <c:pt idx="235">
                  <c:v>26.149999999999967</c:v>
                </c:pt>
                <c:pt idx="236">
                  <c:v>26.239999999999966</c:v>
                </c:pt>
                <c:pt idx="237">
                  <c:v>26.329999999999966</c:v>
                </c:pt>
                <c:pt idx="238">
                  <c:v>26.419999999999966</c:v>
                </c:pt>
                <c:pt idx="239">
                  <c:v>26.509999999999966</c:v>
                </c:pt>
                <c:pt idx="240">
                  <c:v>26.599999999999966</c:v>
                </c:pt>
                <c:pt idx="241">
                  <c:v>26.689999999999966</c:v>
                </c:pt>
                <c:pt idx="242">
                  <c:v>26.779999999999966</c:v>
                </c:pt>
                <c:pt idx="243">
                  <c:v>26.869999999999965</c:v>
                </c:pt>
                <c:pt idx="244">
                  <c:v>26.959999999999965</c:v>
                </c:pt>
                <c:pt idx="245">
                  <c:v>27.049999999999965</c:v>
                </c:pt>
                <c:pt idx="246">
                  <c:v>27.139999999999965</c:v>
                </c:pt>
                <c:pt idx="247">
                  <c:v>27.229999999999965</c:v>
                </c:pt>
                <c:pt idx="248">
                  <c:v>27.319999999999965</c:v>
                </c:pt>
                <c:pt idx="249">
                  <c:v>27.409999999999965</c:v>
                </c:pt>
                <c:pt idx="250">
                  <c:v>27.499999999999964</c:v>
                </c:pt>
                <c:pt idx="251">
                  <c:v>27.589999999999964</c:v>
                </c:pt>
                <c:pt idx="252">
                  <c:v>27.679999999999964</c:v>
                </c:pt>
                <c:pt idx="253">
                  <c:v>27.769999999999964</c:v>
                </c:pt>
                <c:pt idx="254">
                  <c:v>27.859999999999964</c:v>
                </c:pt>
                <c:pt idx="255">
                  <c:v>27.949999999999964</c:v>
                </c:pt>
                <c:pt idx="256">
                  <c:v>28.039999999999964</c:v>
                </c:pt>
                <c:pt idx="257">
                  <c:v>28.129999999999963</c:v>
                </c:pt>
                <c:pt idx="258">
                  <c:v>28.219999999999963</c:v>
                </c:pt>
                <c:pt idx="259">
                  <c:v>28.309999999999963</c:v>
                </c:pt>
                <c:pt idx="260">
                  <c:v>28.399999999999963</c:v>
                </c:pt>
                <c:pt idx="261">
                  <c:v>28.489999999999963</c:v>
                </c:pt>
                <c:pt idx="262">
                  <c:v>28.579999999999963</c:v>
                </c:pt>
                <c:pt idx="263">
                  <c:v>28.669999999999963</c:v>
                </c:pt>
                <c:pt idx="264">
                  <c:v>28.759999999999962</c:v>
                </c:pt>
                <c:pt idx="265">
                  <c:v>28.849999999999962</c:v>
                </c:pt>
                <c:pt idx="266">
                  <c:v>28.939999999999962</c:v>
                </c:pt>
                <c:pt idx="267">
                  <c:v>29.029999999999962</c:v>
                </c:pt>
                <c:pt idx="268">
                  <c:v>29.119999999999962</c:v>
                </c:pt>
                <c:pt idx="269">
                  <c:v>29.209999999999962</c:v>
                </c:pt>
                <c:pt idx="270">
                  <c:v>29.299999999999962</c:v>
                </c:pt>
                <c:pt idx="271">
                  <c:v>29.389999999999961</c:v>
                </c:pt>
                <c:pt idx="272">
                  <c:v>29.479999999999961</c:v>
                </c:pt>
                <c:pt idx="273">
                  <c:v>29.569999999999961</c:v>
                </c:pt>
                <c:pt idx="274">
                  <c:v>29.659999999999961</c:v>
                </c:pt>
                <c:pt idx="275">
                  <c:v>29.749999999999961</c:v>
                </c:pt>
                <c:pt idx="276">
                  <c:v>29.839999999999961</c:v>
                </c:pt>
                <c:pt idx="277">
                  <c:v>29.929999999999961</c:v>
                </c:pt>
                <c:pt idx="278">
                  <c:v>30.01999999999996</c:v>
                </c:pt>
                <c:pt idx="279">
                  <c:v>30.10999999999996</c:v>
                </c:pt>
                <c:pt idx="280">
                  <c:v>30.19999999999996</c:v>
                </c:pt>
                <c:pt idx="281">
                  <c:v>30.28999999999996</c:v>
                </c:pt>
                <c:pt idx="282">
                  <c:v>30.37999999999996</c:v>
                </c:pt>
                <c:pt idx="283">
                  <c:v>30.46999999999996</c:v>
                </c:pt>
                <c:pt idx="284">
                  <c:v>30.55999999999996</c:v>
                </c:pt>
                <c:pt idx="285">
                  <c:v>30.649999999999959</c:v>
                </c:pt>
                <c:pt idx="286">
                  <c:v>30.739999999999959</c:v>
                </c:pt>
                <c:pt idx="287">
                  <c:v>30.829999999999959</c:v>
                </c:pt>
              </c:numCache>
            </c:numRef>
          </c:val>
          <c:smooth val="0"/>
        </c:ser>
        <c:ser>
          <c:idx val="1"/>
          <c:order val="1"/>
          <c:tx>
            <c:strRef>
              <c:f>ChtLd!$C$1</c:f>
              <c:strCache>
                <c:ptCount val="1"/>
                <c:pt idx="0">
                  <c:v>Line 2</c:v>
                </c:pt>
              </c:strCache>
            </c:strRef>
          </c:tx>
          <c:marker>
            <c:symbol val="none"/>
          </c:marker>
          <c:cat>
            <c:numRef>
              <c:f>ChtLd!$A$2:$A$289</c:f>
              <c:numCache>
                <c:formatCode>h:mm;@</c:formatCode>
                <c:ptCount val="288"/>
                <c:pt idx="0">
                  <c:v>0</c:v>
                </c:pt>
                <c:pt idx="1">
                  <c:v>3.472222222222222E-3</c:v>
                </c:pt>
                <c:pt idx="2">
                  <c:v>6.9444444444444397E-3</c:v>
                </c:pt>
                <c:pt idx="3">
                  <c:v>1.0416666666666701E-2</c:v>
                </c:pt>
                <c:pt idx="4">
                  <c:v>1.38888888888889E-2</c:v>
                </c:pt>
                <c:pt idx="5">
                  <c:v>1.7361111111111101E-2</c:v>
                </c:pt>
                <c:pt idx="6">
                  <c:v>2.0833333333333301E-2</c:v>
                </c:pt>
                <c:pt idx="7">
                  <c:v>2.4305555555555601E-2</c:v>
                </c:pt>
                <c:pt idx="8">
                  <c:v>2.7777777777777801E-2</c:v>
                </c:pt>
                <c:pt idx="9">
                  <c:v>3.125E-2</c:v>
                </c:pt>
                <c:pt idx="10">
                  <c:v>3.4722222222222203E-2</c:v>
                </c:pt>
                <c:pt idx="11">
                  <c:v>3.8194444444444399E-2</c:v>
                </c:pt>
                <c:pt idx="12">
                  <c:v>4.1666666666666699E-2</c:v>
                </c:pt>
                <c:pt idx="13">
                  <c:v>4.5138888888888902E-2</c:v>
                </c:pt>
                <c:pt idx="14">
                  <c:v>4.8611111111111098E-2</c:v>
                </c:pt>
                <c:pt idx="15">
                  <c:v>5.2083333333333301E-2</c:v>
                </c:pt>
                <c:pt idx="16">
                  <c:v>5.5555555555555601E-2</c:v>
                </c:pt>
                <c:pt idx="17">
                  <c:v>5.9027777777777797E-2</c:v>
                </c:pt>
                <c:pt idx="18">
                  <c:v>6.25E-2</c:v>
                </c:pt>
                <c:pt idx="19">
                  <c:v>6.5972222222222196E-2</c:v>
                </c:pt>
                <c:pt idx="20">
                  <c:v>6.9444444444444406E-2</c:v>
                </c:pt>
                <c:pt idx="21">
                  <c:v>7.2916666666666699E-2</c:v>
                </c:pt>
                <c:pt idx="22">
                  <c:v>7.6388888888888895E-2</c:v>
                </c:pt>
                <c:pt idx="23">
                  <c:v>7.9861111111111105E-2</c:v>
                </c:pt>
                <c:pt idx="24">
                  <c:v>8.3333333333333301E-2</c:v>
                </c:pt>
                <c:pt idx="25">
                  <c:v>8.6805555555555594E-2</c:v>
                </c:pt>
                <c:pt idx="26">
                  <c:v>9.0277777777777804E-2</c:v>
                </c:pt>
                <c:pt idx="27">
                  <c:v>9.375E-2</c:v>
                </c:pt>
                <c:pt idx="28">
                  <c:v>9.7222222222222196E-2</c:v>
                </c:pt>
                <c:pt idx="29">
                  <c:v>0.100694444444444</c:v>
                </c:pt>
                <c:pt idx="30">
                  <c:v>0.104166666666667</c:v>
                </c:pt>
                <c:pt idx="31">
                  <c:v>0.10763888888888901</c:v>
                </c:pt>
                <c:pt idx="32">
                  <c:v>0.11111111111111099</c:v>
                </c:pt>
                <c:pt idx="33">
                  <c:v>0.114583333333333</c:v>
                </c:pt>
                <c:pt idx="34">
                  <c:v>0.118055555555556</c:v>
                </c:pt>
                <c:pt idx="35">
                  <c:v>0.121527777777778</c:v>
                </c:pt>
                <c:pt idx="36">
                  <c:v>0.125</c:v>
                </c:pt>
                <c:pt idx="37">
                  <c:v>0.12847222222222199</c:v>
                </c:pt>
                <c:pt idx="38">
                  <c:v>0.131944444444444</c:v>
                </c:pt>
                <c:pt idx="39">
                  <c:v>0.13541666666666699</c:v>
                </c:pt>
                <c:pt idx="40">
                  <c:v>0.13888888888888901</c:v>
                </c:pt>
                <c:pt idx="41">
                  <c:v>0.14236111111111099</c:v>
                </c:pt>
                <c:pt idx="42">
                  <c:v>0.14583333333333301</c:v>
                </c:pt>
                <c:pt idx="43">
                  <c:v>0.149305555555556</c:v>
                </c:pt>
                <c:pt idx="44">
                  <c:v>0.15277777777777801</c:v>
                </c:pt>
                <c:pt idx="45">
                  <c:v>0.15625</c:v>
                </c:pt>
                <c:pt idx="46">
                  <c:v>0.15972222222222199</c:v>
                </c:pt>
                <c:pt idx="47">
                  <c:v>0.163194444444444</c:v>
                </c:pt>
                <c:pt idx="48">
                  <c:v>0.16666666666666699</c:v>
                </c:pt>
                <c:pt idx="49">
                  <c:v>0.17013888888888901</c:v>
                </c:pt>
                <c:pt idx="50">
                  <c:v>0.17361111111111099</c:v>
                </c:pt>
                <c:pt idx="51">
                  <c:v>0.17708333333333301</c:v>
                </c:pt>
                <c:pt idx="52">
                  <c:v>0.180555555555556</c:v>
                </c:pt>
                <c:pt idx="53">
                  <c:v>0.18402777777777801</c:v>
                </c:pt>
                <c:pt idx="54">
                  <c:v>0.1875</c:v>
                </c:pt>
                <c:pt idx="55">
                  <c:v>0.19097222222222199</c:v>
                </c:pt>
                <c:pt idx="56">
                  <c:v>0.194444444444444</c:v>
                </c:pt>
                <c:pt idx="57">
                  <c:v>0.19791666666666699</c:v>
                </c:pt>
                <c:pt idx="58">
                  <c:v>0.20138888888888901</c:v>
                </c:pt>
                <c:pt idx="59">
                  <c:v>0.20486111111111099</c:v>
                </c:pt>
                <c:pt idx="60">
                  <c:v>0.20833333333333301</c:v>
                </c:pt>
                <c:pt idx="61">
                  <c:v>0.211805555555556</c:v>
                </c:pt>
                <c:pt idx="62">
                  <c:v>0.21527777777777801</c:v>
                </c:pt>
                <c:pt idx="63">
                  <c:v>0.21875</c:v>
                </c:pt>
                <c:pt idx="64">
                  <c:v>0.22222222222222199</c:v>
                </c:pt>
                <c:pt idx="65">
                  <c:v>0.225694444444444</c:v>
                </c:pt>
                <c:pt idx="66">
                  <c:v>0.22916666666666699</c:v>
                </c:pt>
                <c:pt idx="67">
                  <c:v>0.23263888888888901</c:v>
                </c:pt>
                <c:pt idx="68">
                  <c:v>0.23611111111111099</c:v>
                </c:pt>
                <c:pt idx="69">
                  <c:v>0.23958333333333301</c:v>
                </c:pt>
                <c:pt idx="70">
                  <c:v>0.243055555555556</c:v>
                </c:pt>
                <c:pt idx="71">
                  <c:v>0.24652777777777801</c:v>
                </c:pt>
                <c:pt idx="72">
                  <c:v>0.25</c:v>
                </c:pt>
                <c:pt idx="73">
                  <c:v>0.25347222222222199</c:v>
                </c:pt>
                <c:pt idx="74">
                  <c:v>0.25694444444444398</c:v>
                </c:pt>
                <c:pt idx="75">
                  <c:v>0.26041666666666702</c:v>
                </c:pt>
                <c:pt idx="76">
                  <c:v>0.26388888888888901</c:v>
                </c:pt>
                <c:pt idx="77">
                  <c:v>0.26736111111111099</c:v>
                </c:pt>
                <c:pt idx="78">
                  <c:v>0.27083333333333298</c:v>
                </c:pt>
                <c:pt idx="79">
                  <c:v>0.27430555555555602</c:v>
                </c:pt>
                <c:pt idx="80">
                  <c:v>0.27777777777777801</c:v>
                </c:pt>
                <c:pt idx="81">
                  <c:v>0.28125</c:v>
                </c:pt>
                <c:pt idx="82">
                  <c:v>0.28472222222222199</c:v>
                </c:pt>
                <c:pt idx="83">
                  <c:v>0.28819444444444398</c:v>
                </c:pt>
                <c:pt idx="84">
                  <c:v>0.29166666666666702</c:v>
                </c:pt>
                <c:pt idx="85">
                  <c:v>0.29513888888888901</c:v>
                </c:pt>
                <c:pt idx="86">
                  <c:v>0.29861111111111099</c:v>
                </c:pt>
                <c:pt idx="87">
                  <c:v>0.30208333333333298</c:v>
                </c:pt>
                <c:pt idx="88">
                  <c:v>0.30555555555555602</c:v>
                </c:pt>
                <c:pt idx="89">
                  <c:v>0.30902777777777801</c:v>
                </c:pt>
                <c:pt idx="90">
                  <c:v>0.3125</c:v>
                </c:pt>
                <c:pt idx="91">
                  <c:v>0.31597222222222199</c:v>
                </c:pt>
                <c:pt idx="92">
                  <c:v>0.31944444444444398</c:v>
                </c:pt>
                <c:pt idx="93">
                  <c:v>0.32291666666666702</c:v>
                </c:pt>
                <c:pt idx="94">
                  <c:v>0.32638888888888901</c:v>
                </c:pt>
                <c:pt idx="95">
                  <c:v>0.32986111111111099</c:v>
                </c:pt>
                <c:pt idx="96">
                  <c:v>0.33333333333333298</c:v>
                </c:pt>
                <c:pt idx="97">
                  <c:v>0.33680555555555602</c:v>
                </c:pt>
                <c:pt idx="98">
                  <c:v>0.34027777777777801</c:v>
                </c:pt>
                <c:pt idx="99">
                  <c:v>0.34375</c:v>
                </c:pt>
                <c:pt idx="100">
                  <c:v>0.34722222222222199</c:v>
                </c:pt>
                <c:pt idx="101">
                  <c:v>0.35069444444444398</c:v>
                </c:pt>
                <c:pt idx="102">
                  <c:v>0.35416666666666702</c:v>
                </c:pt>
                <c:pt idx="103">
                  <c:v>0.35763888888888901</c:v>
                </c:pt>
                <c:pt idx="104">
                  <c:v>0.36111111111111099</c:v>
                </c:pt>
                <c:pt idx="105">
                  <c:v>0.36458333333333298</c:v>
                </c:pt>
                <c:pt idx="106">
                  <c:v>0.36805555555555602</c:v>
                </c:pt>
                <c:pt idx="107">
                  <c:v>0.37152777777777801</c:v>
                </c:pt>
                <c:pt idx="108">
                  <c:v>0.375</c:v>
                </c:pt>
                <c:pt idx="109">
                  <c:v>0.37847222222222199</c:v>
                </c:pt>
                <c:pt idx="110">
                  <c:v>0.38194444444444398</c:v>
                </c:pt>
                <c:pt idx="111">
                  <c:v>0.38541666666666702</c:v>
                </c:pt>
                <c:pt idx="112">
                  <c:v>0.38888888888888901</c:v>
                </c:pt>
                <c:pt idx="113">
                  <c:v>0.39236111111111099</c:v>
                </c:pt>
                <c:pt idx="114">
                  <c:v>0.39583333333333298</c:v>
                </c:pt>
                <c:pt idx="115">
                  <c:v>0.39930555555555602</c:v>
                </c:pt>
                <c:pt idx="116">
                  <c:v>0.40277777777777801</c:v>
                </c:pt>
                <c:pt idx="117">
                  <c:v>0.40625</c:v>
                </c:pt>
                <c:pt idx="118">
                  <c:v>0.40972222222222199</c:v>
                </c:pt>
                <c:pt idx="119">
                  <c:v>0.41319444444444398</c:v>
                </c:pt>
                <c:pt idx="120">
                  <c:v>0.41666666666666702</c:v>
                </c:pt>
                <c:pt idx="121">
                  <c:v>0.42013888888888901</c:v>
                </c:pt>
                <c:pt idx="122">
                  <c:v>0.42361111111111099</c:v>
                </c:pt>
                <c:pt idx="123">
                  <c:v>0.42708333333333298</c:v>
                </c:pt>
                <c:pt idx="124">
                  <c:v>0.43055555555555602</c:v>
                </c:pt>
                <c:pt idx="125">
                  <c:v>0.43402777777777801</c:v>
                </c:pt>
                <c:pt idx="126">
                  <c:v>0.4375</c:v>
                </c:pt>
                <c:pt idx="127">
                  <c:v>0.44097222222222199</c:v>
                </c:pt>
                <c:pt idx="128">
                  <c:v>0.44444444444444398</c:v>
                </c:pt>
                <c:pt idx="129">
                  <c:v>0.44791666666666702</c:v>
                </c:pt>
                <c:pt idx="130">
                  <c:v>0.45138888888888901</c:v>
                </c:pt>
                <c:pt idx="131">
                  <c:v>0.45486111111111099</c:v>
                </c:pt>
                <c:pt idx="132">
                  <c:v>0.45833333333333298</c:v>
                </c:pt>
                <c:pt idx="133">
                  <c:v>0.46180555555555602</c:v>
                </c:pt>
                <c:pt idx="134">
                  <c:v>0.46527777777777801</c:v>
                </c:pt>
                <c:pt idx="135">
                  <c:v>0.46875</c:v>
                </c:pt>
                <c:pt idx="136">
                  <c:v>0.47222222222222199</c:v>
                </c:pt>
                <c:pt idx="137">
                  <c:v>0.47569444444444398</c:v>
                </c:pt>
                <c:pt idx="138">
                  <c:v>0.47916666666666702</c:v>
                </c:pt>
                <c:pt idx="139">
                  <c:v>0.48263888888888901</c:v>
                </c:pt>
                <c:pt idx="140">
                  <c:v>0.48611111111111099</c:v>
                </c:pt>
                <c:pt idx="141">
                  <c:v>0.48958333333333298</c:v>
                </c:pt>
                <c:pt idx="142">
                  <c:v>0.49305555555555602</c:v>
                </c:pt>
                <c:pt idx="143">
                  <c:v>0.49652777777777801</c:v>
                </c:pt>
                <c:pt idx="144">
                  <c:v>0.5</c:v>
                </c:pt>
                <c:pt idx="145">
                  <c:v>0.50347222222222199</c:v>
                </c:pt>
                <c:pt idx="146">
                  <c:v>0.50694444444444398</c:v>
                </c:pt>
                <c:pt idx="147">
                  <c:v>0.51041666666666696</c:v>
                </c:pt>
                <c:pt idx="148">
                  <c:v>0.51388888888888895</c:v>
                </c:pt>
                <c:pt idx="149">
                  <c:v>0.51736111111111105</c:v>
                </c:pt>
                <c:pt idx="150">
                  <c:v>0.52083333333333304</c:v>
                </c:pt>
                <c:pt idx="151">
                  <c:v>0.52430555555555602</c:v>
                </c:pt>
                <c:pt idx="152">
                  <c:v>0.52777777777777801</c:v>
                </c:pt>
                <c:pt idx="153">
                  <c:v>0.53125</c:v>
                </c:pt>
                <c:pt idx="154">
                  <c:v>0.53472222222222199</c:v>
                </c:pt>
                <c:pt idx="155">
                  <c:v>0.53819444444444398</c:v>
                </c:pt>
                <c:pt idx="156">
                  <c:v>0.54166666666666696</c:v>
                </c:pt>
                <c:pt idx="157">
                  <c:v>0.54513888888888895</c:v>
                </c:pt>
                <c:pt idx="158">
                  <c:v>0.54861111111111105</c:v>
                </c:pt>
                <c:pt idx="159">
                  <c:v>0.55208333333333304</c:v>
                </c:pt>
                <c:pt idx="160">
                  <c:v>0.55555555555555602</c:v>
                </c:pt>
                <c:pt idx="161">
                  <c:v>0.55902777777777801</c:v>
                </c:pt>
                <c:pt idx="162">
                  <c:v>0.5625</c:v>
                </c:pt>
                <c:pt idx="163">
                  <c:v>0.56597222222222199</c:v>
                </c:pt>
                <c:pt idx="164">
                  <c:v>0.56944444444444398</c:v>
                </c:pt>
                <c:pt idx="165">
                  <c:v>0.57291666666666696</c:v>
                </c:pt>
                <c:pt idx="166">
                  <c:v>0.57638888888888895</c:v>
                </c:pt>
                <c:pt idx="167">
                  <c:v>0.57986111111111105</c:v>
                </c:pt>
                <c:pt idx="168">
                  <c:v>0.58333333333333304</c:v>
                </c:pt>
                <c:pt idx="169">
                  <c:v>0.58680555555555503</c:v>
                </c:pt>
                <c:pt idx="170">
                  <c:v>0.59027777777777801</c:v>
                </c:pt>
                <c:pt idx="171">
                  <c:v>0.59375</c:v>
                </c:pt>
                <c:pt idx="172">
                  <c:v>0.59722222222222199</c:v>
                </c:pt>
                <c:pt idx="173">
                  <c:v>0.60069444444444398</c:v>
                </c:pt>
                <c:pt idx="174">
                  <c:v>0.60416666666666696</c:v>
                </c:pt>
                <c:pt idx="175">
                  <c:v>0.60763888888888895</c:v>
                </c:pt>
                <c:pt idx="176">
                  <c:v>0.61111111111111105</c:v>
                </c:pt>
                <c:pt idx="177">
                  <c:v>0.61458333333333304</c:v>
                </c:pt>
                <c:pt idx="178">
                  <c:v>0.61805555555555503</c:v>
                </c:pt>
                <c:pt idx="179">
                  <c:v>0.62152777777777801</c:v>
                </c:pt>
                <c:pt idx="180">
                  <c:v>0.625</c:v>
                </c:pt>
                <c:pt idx="181">
                  <c:v>0.62847222222222199</c:v>
                </c:pt>
                <c:pt idx="182">
                  <c:v>0.63194444444444398</c:v>
                </c:pt>
                <c:pt idx="183">
                  <c:v>0.63541666666666696</c:v>
                </c:pt>
                <c:pt idx="184">
                  <c:v>0.63888888888888895</c:v>
                </c:pt>
                <c:pt idx="185">
                  <c:v>0.64236111111111105</c:v>
                </c:pt>
                <c:pt idx="186">
                  <c:v>0.64583333333333304</c:v>
                </c:pt>
                <c:pt idx="187">
                  <c:v>0.64930555555555503</c:v>
                </c:pt>
                <c:pt idx="188">
                  <c:v>0.65277777777777801</c:v>
                </c:pt>
                <c:pt idx="189">
                  <c:v>0.65625</c:v>
                </c:pt>
                <c:pt idx="190">
                  <c:v>0.65972222222222199</c:v>
                </c:pt>
                <c:pt idx="191">
                  <c:v>0.66319444444444398</c:v>
                </c:pt>
                <c:pt idx="192">
                  <c:v>0.66666666666666696</c:v>
                </c:pt>
                <c:pt idx="193">
                  <c:v>0.67013888888888895</c:v>
                </c:pt>
                <c:pt idx="194">
                  <c:v>0.67361111111111105</c:v>
                </c:pt>
                <c:pt idx="195">
                  <c:v>0.67708333333333304</c:v>
                </c:pt>
                <c:pt idx="196">
                  <c:v>0.68055555555555503</c:v>
                </c:pt>
                <c:pt idx="197">
                  <c:v>0.68402777777777801</c:v>
                </c:pt>
                <c:pt idx="198">
                  <c:v>0.6875</c:v>
                </c:pt>
                <c:pt idx="199">
                  <c:v>0.69097222222222199</c:v>
                </c:pt>
                <c:pt idx="200">
                  <c:v>0.69444444444444398</c:v>
                </c:pt>
                <c:pt idx="201">
                  <c:v>0.69791666666666696</c:v>
                </c:pt>
                <c:pt idx="202">
                  <c:v>0.70138888888888895</c:v>
                </c:pt>
                <c:pt idx="203">
                  <c:v>0.70486111111111105</c:v>
                </c:pt>
                <c:pt idx="204">
                  <c:v>0.70833333333333304</c:v>
                </c:pt>
                <c:pt idx="205">
                  <c:v>0.71180555555555503</c:v>
                </c:pt>
                <c:pt idx="206">
                  <c:v>0.71527777777777801</c:v>
                </c:pt>
                <c:pt idx="207">
                  <c:v>0.71875</c:v>
                </c:pt>
                <c:pt idx="208">
                  <c:v>0.72222222222222199</c:v>
                </c:pt>
                <c:pt idx="209">
                  <c:v>0.72569444444444398</c:v>
                </c:pt>
                <c:pt idx="210">
                  <c:v>0.72916666666666696</c:v>
                </c:pt>
                <c:pt idx="211">
                  <c:v>0.73263888888888895</c:v>
                </c:pt>
                <c:pt idx="212">
                  <c:v>0.73611111111111105</c:v>
                </c:pt>
                <c:pt idx="213">
                  <c:v>0.73958333333333304</c:v>
                </c:pt>
                <c:pt idx="214">
                  <c:v>0.74305555555555503</c:v>
                </c:pt>
                <c:pt idx="215">
                  <c:v>0.74652777777777801</c:v>
                </c:pt>
                <c:pt idx="216">
                  <c:v>0.75</c:v>
                </c:pt>
                <c:pt idx="217">
                  <c:v>0.75347222222222199</c:v>
                </c:pt>
                <c:pt idx="218">
                  <c:v>0.75694444444444398</c:v>
                </c:pt>
                <c:pt idx="219">
                  <c:v>0.76041666666666696</c:v>
                </c:pt>
                <c:pt idx="220">
                  <c:v>0.76388888888888895</c:v>
                </c:pt>
                <c:pt idx="221">
                  <c:v>0.76736111111111105</c:v>
                </c:pt>
                <c:pt idx="222">
                  <c:v>0.77083333333333304</c:v>
                </c:pt>
                <c:pt idx="223">
                  <c:v>0.77430555555555503</c:v>
                </c:pt>
                <c:pt idx="224">
                  <c:v>0.77777777777777801</c:v>
                </c:pt>
                <c:pt idx="225">
                  <c:v>0.78125</c:v>
                </c:pt>
                <c:pt idx="226">
                  <c:v>0.78472222222222199</c:v>
                </c:pt>
                <c:pt idx="227">
                  <c:v>0.78819444444444398</c:v>
                </c:pt>
                <c:pt idx="228">
                  <c:v>0.79166666666666696</c:v>
                </c:pt>
                <c:pt idx="229">
                  <c:v>0.79513888888888895</c:v>
                </c:pt>
                <c:pt idx="230">
                  <c:v>0.79861111111111105</c:v>
                </c:pt>
                <c:pt idx="231">
                  <c:v>0.80208333333333304</c:v>
                </c:pt>
                <c:pt idx="232">
                  <c:v>0.80555555555555503</c:v>
                </c:pt>
                <c:pt idx="233">
                  <c:v>0.80902777777777801</c:v>
                </c:pt>
                <c:pt idx="234">
                  <c:v>0.8125</c:v>
                </c:pt>
                <c:pt idx="235">
                  <c:v>0.81597222222222199</c:v>
                </c:pt>
                <c:pt idx="236">
                  <c:v>0.81944444444444398</c:v>
                </c:pt>
                <c:pt idx="237">
                  <c:v>0.82291666666666696</c:v>
                </c:pt>
                <c:pt idx="238">
                  <c:v>0.82638888888888895</c:v>
                </c:pt>
                <c:pt idx="239">
                  <c:v>0.82986111111111105</c:v>
                </c:pt>
                <c:pt idx="240">
                  <c:v>0.83333333333333304</c:v>
                </c:pt>
                <c:pt idx="241">
                  <c:v>0.83680555555555503</c:v>
                </c:pt>
                <c:pt idx="242">
                  <c:v>0.84027777777777801</c:v>
                </c:pt>
                <c:pt idx="243">
                  <c:v>0.84375</c:v>
                </c:pt>
                <c:pt idx="244">
                  <c:v>0.84722222222222199</c:v>
                </c:pt>
                <c:pt idx="245">
                  <c:v>0.85069444444444398</c:v>
                </c:pt>
                <c:pt idx="246">
                  <c:v>0.85416666666666696</c:v>
                </c:pt>
                <c:pt idx="247">
                  <c:v>0.85763888888888895</c:v>
                </c:pt>
                <c:pt idx="248">
                  <c:v>0.86111111111111105</c:v>
                </c:pt>
                <c:pt idx="249">
                  <c:v>0.86458333333333304</c:v>
                </c:pt>
                <c:pt idx="250">
                  <c:v>0.86805555555555503</c:v>
                </c:pt>
                <c:pt idx="251">
                  <c:v>0.87152777777777801</c:v>
                </c:pt>
                <c:pt idx="252">
                  <c:v>0.875</c:v>
                </c:pt>
                <c:pt idx="253">
                  <c:v>0.87847222222222199</c:v>
                </c:pt>
                <c:pt idx="254">
                  <c:v>0.88194444444444398</c:v>
                </c:pt>
                <c:pt idx="255">
                  <c:v>0.88541666666666696</c:v>
                </c:pt>
                <c:pt idx="256">
                  <c:v>0.88888888888888895</c:v>
                </c:pt>
                <c:pt idx="257">
                  <c:v>0.89236111111111105</c:v>
                </c:pt>
                <c:pt idx="258">
                  <c:v>0.89583333333333304</c:v>
                </c:pt>
                <c:pt idx="259">
                  <c:v>0.89930555555555503</c:v>
                </c:pt>
                <c:pt idx="260">
                  <c:v>0.90277777777777801</c:v>
                </c:pt>
                <c:pt idx="261">
                  <c:v>0.90625</c:v>
                </c:pt>
                <c:pt idx="262">
                  <c:v>0.90972222222222199</c:v>
                </c:pt>
                <c:pt idx="263">
                  <c:v>0.91319444444444398</c:v>
                </c:pt>
                <c:pt idx="264">
                  <c:v>0.91666666666666696</c:v>
                </c:pt>
                <c:pt idx="265">
                  <c:v>0.92013888888888895</c:v>
                </c:pt>
                <c:pt idx="266">
                  <c:v>0.92361111111111105</c:v>
                </c:pt>
                <c:pt idx="267">
                  <c:v>0.92708333333333304</c:v>
                </c:pt>
                <c:pt idx="268">
                  <c:v>0.93055555555555503</c:v>
                </c:pt>
                <c:pt idx="269">
                  <c:v>0.93402777777777801</c:v>
                </c:pt>
                <c:pt idx="270">
                  <c:v>0.9375</c:v>
                </c:pt>
                <c:pt idx="271">
                  <c:v>0.94097222222222199</c:v>
                </c:pt>
                <c:pt idx="272">
                  <c:v>0.94444444444444398</c:v>
                </c:pt>
                <c:pt idx="273">
                  <c:v>0.94791666666666696</c:v>
                </c:pt>
                <c:pt idx="274">
                  <c:v>0.95138888888888895</c:v>
                </c:pt>
                <c:pt idx="275">
                  <c:v>0.95486111111111105</c:v>
                </c:pt>
                <c:pt idx="276">
                  <c:v>0.95833333333333304</c:v>
                </c:pt>
                <c:pt idx="277">
                  <c:v>0.96180555555555503</c:v>
                </c:pt>
                <c:pt idx="278">
                  <c:v>0.96527777777777801</c:v>
                </c:pt>
                <c:pt idx="279">
                  <c:v>0.96875</c:v>
                </c:pt>
                <c:pt idx="280">
                  <c:v>0.97222222222222199</c:v>
                </c:pt>
                <c:pt idx="281">
                  <c:v>0.97569444444444398</c:v>
                </c:pt>
                <c:pt idx="282">
                  <c:v>0.97916666666666696</c:v>
                </c:pt>
                <c:pt idx="283">
                  <c:v>0.98263888888888895</c:v>
                </c:pt>
                <c:pt idx="284">
                  <c:v>0.98611111111111105</c:v>
                </c:pt>
                <c:pt idx="285">
                  <c:v>0.98958333333333304</c:v>
                </c:pt>
                <c:pt idx="286">
                  <c:v>0.99305555555555503</c:v>
                </c:pt>
                <c:pt idx="287">
                  <c:v>0.99652777777777801</c:v>
                </c:pt>
              </c:numCache>
            </c:numRef>
          </c:cat>
          <c:val>
            <c:numRef>
              <c:f>ChtLd!$C$2:$C$289</c:f>
              <c:numCache>
                <c:formatCode>0.00</c:formatCode>
                <c:ptCount val="288"/>
                <c:pt idx="0" formatCode="0.0">
                  <c:v>10</c:v>
                </c:pt>
                <c:pt idx="1">
                  <c:v>10.08</c:v>
                </c:pt>
                <c:pt idx="2">
                  <c:v>10.16</c:v>
                </c:pt>
                <c:pt idx="3">
                  <c:v>10.24</c:v>
                </c:pt>
                <c:pt idx="4">
                  <c:v>10.32</c:v>
                </c:pt>
                <c:pt idx="5">
                  <c:v>10.4</c:v>
                </c:pt>
                <c:pt idx="6">
                  <c:v>10.48</c:v>
                </c:pt>
                <c:pt idx="7">
                  <c:v>10.56</c:v>
                </c:pt>
                <c:pt idx="8">
                  <c:v>10.64</c:v>
                </c:pt>
                <c:pt idx="9">
                  <c:v>10.72</c:v>
                </c:pt>
                <c:pt idx="10">
                  <c:v>10.8</c:v>
                </c:pt>
                <c:pt idx="11">
                  <c:v>10.88</c:v>
                </c:pt>
                <c:pt idx="12">
                  <c:v>10.96</c:v>
                </c:pt>
                <c:pt idx="13">
                  <c:v>11.040000000000001</c:v>
                </c:pt>
                <c:pt idx="14">
                  <c:v>11.120000000000001</c:v>
                </c:pt>
                <c:pt idx="15">
                  <c:v>11.200000000000001</c:v>
                </c:pt>
                <c:pt idx="16">
                  <c:v>11.280000000000001</c:v>
                </c:pt>
                <c:pt idx="17">
                  <c:v>11.360000000000001</c:v>
                </c:pt>
                <c:pt idx="18">
                  <c:v>11.440000000000001</c:v>
                </c:pt>
                <c:pt idx="19">
                  <c:v>11.520000000000001</c:v>
                </c:pt>
                <c:pt idx="20">
                  <c:v>11.600000000000001</c:v>
                </c:pt>
                <c:pt idx="21">
                  <c:v>11.680000000000001</c:v>
                </c:pt>
                <c:pt idx="22">
                  <c:v>11.760000000000002</c:v>
                </c:pt>
                <c:pt idx="23">
                  <c:v>11.840000000000002</c:v>
                </c:pt>
                <c:pt idx="24">
                  <c:v>11.920000000000002</c:v>
                </c:pt>
                <c:pt idx="25">
                  <c:v>12.000000000000002</c:v>
                </c:pt>
                <c:pt idx="26">
                  <c:v>12.080000000000002</c:v>
                </c:pt>
                <c:pt idx="27">
                  <c:v>12.160000000000002</c:v>
                </c:pt>
                <c:pt idx="28">
                  <c:v>12.240000000000002</c:v>
                </c:pt>
                <c:pt idx="29">
                  <c:v>12.320000000000002</c:v>
                </c:pt>
                <c:pt idx="30">
                  <c:v>12.400000000000002</c:v>
                </c:pt>
                <c:pt idx="31">
                  <c:v>12.480000000000002</c:v>
                </c:pt>
                <c:pt idx="32">
                  <c:v>12.560000000000002</c:v>
                </c:pt>
                <c:pt idx="33">
                  <c:v>12.640000000000002</c:v>
                </c:pt>
                <c:pt idx="34">
                  <c:v>12.720000000000002</c:v>
                </c:pt>
                <c:pt idx="35">
                  <c:v>12.800000000000002</c:v>
                </c:pt>
                <c:pt idx="36">
                  <c:v>12.880000000000003</c:v>
                </c:pt>
                <c:pt idx="37">
                  <c:v>12.960000000000003</c:v>
                </c:pt>
                <c:pt idx="38">
                  <c:v>13.040000000000003</c:v>
                </c:pt>
                <c:pt idx="39">
                  <c:v>13.120000000000003</c:v>
                </c:pt>
                <c:pt idx="40">
                  <c:v>13.200000000000003</c:v>
                </c:pt>
                <c:pt idx="41">
                  <c:v>13.280000000000003</c:v>
                </c:pt>
                <c:pt idx="42">
                  <c:v>13.360000000000003</c:v>
                </c:pt>
                <c:pt idx="43">
                  <c:v>13.440000000000003</c:v>
                </c:pt>
                <c:pt idx="44">
                  <c:v>13.520000000000003</c:v>
                </c:pt>
                <c:pt idx="45">
                  <c:v>13.600000000000003</c:v>
                </c:pt>
                <c:pt idx="46">
                  <c:v>13.680000000000003</c:v>
                </c:pt>
                <c:pt idx="47">
                  <c:v>13.760000000000003</c:v>
                </c:pt>
                <c:pt idx="48">
                  <c:v>13.840000000000003</c:v>
                </c:pt>
                <c:pt idx="49">
                  <c:v>13.920000000000003</c:v>
                </c:pt>
                <c:pt idx="50">
                  <c:v>14.000000000000004</c:v>
                </c:pt>
                <c:pt idx="51">
                  <c:v>14.080000000000004</c:v>
                </c:pt>
                <c:pt idx="52">
                  <c:v>14.160000000000004</c:v>
                </c:pt>
                <c:pt idx="53">
                  <c:v>14.240000000000004</c:v>
                </c:pt>
                <c:pt idx="54">
                  <c:v>14.320000000000004</c:v>
                </c:pt>
                <c:pt idx="55">
                  <c:v>14.400000000000004</c:v>
                </c:pt>
                <c:pt idx="56">
                  <c:v>14.480000000000004</c:v>
                </c:pt>
                <c:pt idx="57">
                  <c:v>14.560000000000004</c:v>
                </c:pt>
                <c:pt idx="58">
                  <c:v>14.640000000000004</c:v>
                </c:pt>
                <c:pt idx="59">
                  <c:v>14.720000000000004</c:v>
                </c:pt>
                <c:pt idx="60">
                  <c:v>14.800000000000004</c:v>
                </c:pt>
                <c:pt idx="61">
                  <c:v>14.880000000000004</c:v>
                </c:pt>
                <c:pt idx="62">
                  <c:v>14.960000000000004</c:v>
                </c:pt>
                <c:pt idx="63">
                  <c:v>15.040000000000004</c:v>
                </c:pt>
                <c:pt idx="64">
                  <c:v>15.120000000000005</c:v>
                </c:pt>
                <c:pt idx="65">
                  <c:v>15.200000000000005</c:v>
                </c:pt>
                <c:pt idx="66">
                  <c:v>15.280000000000005</c:v>
                </c:pt>
                <c:pt idx="67">
                  <c:v>15.360000000000005</c:v>
                </c:pt>
                <c:pt idx="68">
                  <c:v>15.440000000000005</c:v>
                </c:pt>
                <c:pt idx="69">
                  <c:v>15.520000000000005</c:v>
                </c:pt>
                <c:pt idx="70">
                  <c:v>15.600000000000005</c:v>
                </c:pt>
                <c:pt idx="71">
                  <c:v>15.680000000000005</c:v>
                </c:pt>
                <c:pt idx="72">
                  <c:v>15.760000000000005</c:v>
                </c:pt>
                <c:pt idx="73">
                  <c:v>15.840000000000005</c:v>
                </c:pt>
                <c:pt idx="74">
                  <c:v>15.920000000000005</c:v>
                </c:pt>
                <c:pt idx="75">
                  <c:v>16.000000000000004</c:v>
                </c:pt>
                <c:pt idx="76">
                  <c:v>16.080000000000002</c:v>
                </c:pt>
                <c:pt idx="77">
                  <c:v>16.16</c:v>
                </c:pt>
                <c:pt idx="78">
                  <c:v>16.239999999999998</c:v>
                </c:pt>
                <c:pt idx="79">
                  <c:v>16.319999999999997</c:v>
                </c:pt>
                <c:pt idx="80">
                  <c:v>16.399999999999995</c:v>
                </c:pt>
                <c:pt idx="81">
                  <c:v>16.479999999999993</c:v>
                </c:pt>
                <c:pt idx="82">
                  <c:v>16.559999999999992</c:v>
                </c:pt>
                <c:pt idx="83">
                  <c:v>16.63999999999999</c:v>
                </c:pt>
                <c:pt idx="84">
                  <c:v>16.719999999999988</c:v>
                </c:pt>
                <c:pt idx="85">
                  <c:v>16.799999999999986</c:v>
                </c:pt>
                <c:pt idx="86">
                  <c:v>16.879999999999985</c:v>
                </c:pt>
                <c:pt idx="87">
                  <c:v>16.959999999999983</c:v>
                </c:pt>
                <c:pt idx="88">
                  <c:v>17.039999999999981</c:v>
                </c:pt>
                <c:pt idx="89">
                  <c:v>17.11999999999998</c:v>
                </c:pt>
                <c:pt idx="90">
                  <c:v>17.199999999999978</c:v>
                </c:pt>
                <c:pt idx="91">
                  <c:v>17.279999999999976</c:v>
                </c:pt>
                <c:pt idx="92">
                  <c:v>17.359999999999975</c:v>
                </c:pt>
                <c:pt idx="93">
                  <c:v>17.439999999999973</c:v>
                </c:pt>
                <c:pt idx="94">
                  <c:v>17.519999999999971</c:v>
                </c:pt>
                <c:pt idx="95">
                  <c:v>17.599999999999969</c:v>
                </c:pt>
                <c:pt idx="96">
                  <c:v>17.679999999999968</c:v>
                </c:pt>
                <c:pt idx="97">
                  <c:v>17.759999999999966</c:v>
                </c:pt>
                <c:pt idx="98">
                  <c:v>17.839999999999964</c:v>
                </c:pt>
                <c:pt idx="99">
                  <c:v>17.919999999999963</c:v>
                </c:pt>
                <c:pt idx="100">
                  <c:v>17.999999999999961</c:v>
                </c:pt>
                <c:pt idx="101">
                  <c:v>18.079999999999959</c:v>
                </c:pt>
                <c:pt idx="102">
                  <c:v>18.159999999999958</c:v>
                </c:pt>
                <c:pt idx="103">
                  <c:v>18.239999999999956</c:v>
                </c:pt>
                <c:pt idx="104">
                  <c:v>18.319999999999954</c:v>
                </c:pt>
                <c:pt idx="105">
                  <c:v>18.399999999999952</c:v>
                </c:pt>
                <c:pt idx="106">
                  <c:v>18.479999999999951</c:v>
                </c:pt>
                <c:pt idx="107">
                  <c:v>18.559999999999949</c:v>
                </c:pt>
                <c:pt idx="108">
                  <c:v>18.639999999999947</c:v>
                </c:pt>
                <c:pt idx="109">
                  <c:v>18.719999999999946</c:v>
                </c:pt>
                <c:pt idx="110">
                  <c:v>18.799999999999944</c:v>
                </c:pt>
                <c:pt idx="111">
                  <c:v>18.879999999999942</c:v>
                </c:pt>
                <c:pt idx="112">
                  <c:v>18.95999999999994</c:v>
                </c:pt>
                <c:pt idx="113">
                  <c:v>19.039999999999939</c:v>
                </c:pt>
                <c:pt idx="114">
                  <c:v>19.119999999999937</c:v>
                </c:pt>
                <c:pt idx="115">
                  <c:v>19.199999999999935</c:v>
                </c:pt>
                <c:pt idx="116">
                  <c:v>19.279999999999934</c:v>
                </c:pt>
                <c:pt idx="117">
                  <c:v>19.359999999999932</c:v>
                </c:pt>
                <c:pt idx="118">
                  <c:v>19.43999999999993</c:v>
                </c:pt>
                <c:pt idx="119">
                  <c:v>19.519999999999929</c:v>
                </c:pt>
                <c:pt idx="120">
                  <c:v>19.599999999999927</c:v>
                </c:pt>
                <c:pt idx="121">
                  <c:v>19.679999999999925</c:v>
                </c:pt>
                <c:pt idx="122">
                  <c:v>19.759999999999923</c:v>
                </c:pt>
                <c:pt idx="123">
                  <c:v>19.839999999999922</c:v>
                </c:pt>
                <c:pt idx="124">
                  <c:v>19.91999999999992</c:v>
                </c:pt>
                <c:pt idx="125">
                  <c:v>19.999999999999918</c:v>
                </c:pt>
                <c:pt idx="126">
                  <c:v>20.079999999999917</c:v>
                </c:pt>
                <c:pt idx="127">
                  <c:v>20.159999999999915</c:v>
                </c:pt>
                <c:pt idx="128">
                  <c:v>20.239999999999913</c:v>
                </c:pt>
                <c:pt idx="129">
                  <c:v>20.319999999999911</c:v>
                </c:pt>
                <c:pt idx="130">
                  <c:v>20.39999999999991</c:v>
                </c:pt>
                <c:pt idx="131">
                  <c:v>20.479999999999908</c:v>
                </c:pt>
                <c:pt idx="132">
                  <c:v>20.559999999999906</c:v>
                </c:pt>
                <c:pt idx="133">
                  <c:v>20.639999999999905</c:v>
                </c:pt>
                <c:pt idx="134">
                  <c:v>20.719999999999903</c:v>
                </c:pt>
                <c:pt idx="135">
                  <c:v>20.799999999999901</c:v>
                </c:pt>
                <c:pt idx="136">
                  <c:v>20.8799999999999</c:v>
                </c:pt>
                <c:pt idx="137">
                  <c:v>20.959999999999898</c:v>
                </c:pt>
                <c:pt idx="138">
                  <c:v>21.039999999999896</c:v>
                </c:pt>
                <c:pt idx="139">
                  <c:v>21.119999999999894</c:v>
                </c:pt>
                <c:pt idx="140">
                  <c:v>21.199999999999893</c:v>
                </c:pt>
                <c:pt idx="141">
                  <c:v>21.279999999999891</c:v>
                </c:pt>
                <c:pt idx="142">
                  <c:v>21.359999999999889</c:v>
                </c:pt>
                <c:pt idx="143">
                  <c:v>21.439999999999888</c:v>
                </c:pt>
                <c:pt idx="144">
                  <c:v>21.519999999999886</c:v>
                </c:pt>
                <c:pt idx="145">
                  <c:v>21.599999999999884</c:v>
                </c:pt>
                <c:pt idx="146">
                  <c:v>21.679999999999882</c:v>
                </c:pt>
                <c:pt idx="147">
                  <c:v>21.759999999999881</c:v>
                </c:pt>
                <c:pt idx="148">
                  <c:v>21.839999999999879</c:v>
                </c:pt>
                <c:pt idx="149">
                  <c:v>21.919999999999877</c:v>
                </c:pt>
                <c:pt idx="150">
                  <c:v>21.999999999999876</c:v>
                </c:pt>
                <c:pt idx="151">
                  <c:v>22.079999999999874</c:v>
                </c:pt>
                <c:pt idx="152">
                  <c:v>22.159999999999872</c:v>
                </c:pt>
                <c:pt idx="153">
                  <c:v>22.239999999999871</c:v>
                </c:pt>
                <c:pt idx="154">
                  <c:v>22.319999999999869</c:v>
                </c:pt>
                <c:pt idx="155">
                  <c:v>22.399999999999867</c:v>
                </c:pt>
                <c:pt idx="156">
                  <c:v>22.479999999999865</c:v>
                </c:pt>
                <c:pt idx="157">
                  <c:v>22.559999999999864</c:v>
                </c:pt>
                <c:pt idx="158">
                  <c:v>22.639999999999862</c:v>
                </c:pt>
                <c:pt idx="159">
                  <c:v>22.71999999999986</c:v>
                </c:pt>
                <c:pt idx="160">
                  <c:v>22.799999999999859</c:v>
                </c:pt>
                <c:pt idx="161">
                  <c:v>22.879999999999857</c:v>
                </c:pt>
                <c:pt idx="162">
                  <c:v>22.959999999999855</c:v>
                </c:pt>
                <c:pt idx="163">
                  <c:v>23.039999999999853</c:v>
                </c:pt>
                <c:pt idx="164">
                  <c:v>23.119999999999852</c:v>
                </c:pt>
                <c:pt idx="165">
                  <c:v>23.19999999999985</c:v>
                </c:pt>
                <c:pt idx="166">
                  <c:v>23.279999999999848</c:v>
                </c:pt>
                <c:pt idx="167">
                  <c:v>23.359999999999847</c:v>
                </c:pt>
                <c:pt idx="168">
                  <c:v>23.439999999999845</c:v>
                </c:pt>
                <c:pt idx="169">
                  <c:v>23.519999999999843</c:v>
                </c:pt>
                <c:pt idx="170">
                  <c:v>23.599999999999842</c:v>
                </c:pt>
                <c:pt idx="171">
                  <c:v>23.67999999999984</c:v>
                </c:pt>
                <c:pt idx="172">
                  <c:v>23.759999999999838</c:v>
                </c:pt>
                <c:pt idx="173">
                  <c:v>23.839999999999836</c:v>
                </c:pt>
                <c:pt idx="174">
                  <c:v>23.919999999999835</c:v>
                </c:pt>
                <c:pt idx="175">
                  <c:v>23.999999999999833</c:v>
                </c:pt>
                <c:pt idx="176">
                  <c:v>24.079999999999831</c:v>
                </c:pt>
                <c:pt idx="177">
                  <c:v>24.15999999999983</c:v>
                </c:pt>
                <c:pt idx="178">
                  <c:v>24.239999999999828</c:v>
                </c:pt>
                <c:pt idx="179">
                  <c:v>24.319999999999826</c:v>
                </c:pt>
                <c:pt idx="180">
                  <c:v>24.399999999999824</c:v>
                </c:pt>
                <c:pt idx="181">
                  <c:v>24.479999999999823</c:v>
                </c:pt>
                <c:pt idx="182">
                  <c:v>24.559999999999821</c:v>
                </c:pt>
                <c:pt idx="183">
                  <c:v>24.639999999999819</c:v>
                </c:pt>
                <c:pt idx="184">
                  <c:v>24.719999999999818</c:v>
                </c:pt>
                <c:pt idx="185">
                  <c:v>24.799999999999816</c:v>
                </c:pt>
                <c:pt idx="186">
                  <c:v>24.879999999999814</c:v>
                </c:pt>
                <c:pt idx="187">
                  <c:v>24.959999999999813</c:v>
                </c:pt>
                <c:pt idx="188">
                  <c:v>25.039999999999811</c:v>
                </c:pt>
                <c:pt idx="189">
                  <c:v>25.119999999999809</c:v>
                </c:pt>
                <c:pt idx="190">
                  <c:v>25.199999999999807</c:v>
                </c:pt>
                <c:pt idx="191">
                  <c:v>25.279999999999806</c:v>
                </c:pt>
                <c:pt idx="192">
                  <c:v>25.359999999999804</c:v>
                </c:pt>
                <c:pt idx="193">
                  <c:v>25.439999999999802</c:v>
                </c:pt>
                <c:pt idx="194">
                  <c:v>25.519999999999801</c:v>
                </c:pt>
                <c:pt idx="195">
                  <c:v>25.599999999999799</c:v>
                </c:pt>
                <c:pt idx="196">
                  <c:v>25.679999999999797</c:v>
                </c:pt>
                <c:pt idx="197">
                  <c:v>25.759999999999796</c:v>
                </c:pt>
                <c:pt idx="198">
                  <c:v>25.839999999999794</c:v>
                </c:pt>
                <c:pt idx="199">
                  <c:v>25.919999999999792</c:v>
                </c:pt>
                <c:pt idx="200">
                  <c:v>25.99999999999979</c:v>
                </c:pt>
                <c:pt idx="201">
                  <c:v>26.079999999999789</c:v>
                </c:pt>
                <c:pt idx="202">
                  <c:v>26.159999999999787</c:v>
                </c:pt>
                <c:pt idx="203">
                  <c:v>26.239999999999785</c:v>
                </c:pt>
                <c:pt idx="204">
                  <c:v>26.319999999999784</c:v>
                </c:pt>
                <c:pt idx="205">
                  <c:v>26.399999999999782</c:v>
                </c:pt>
                <c:pt idx="206">
                  <c:v>26.47999999999978</c:v>
                </c:pt>
                <c:pt idx="207">
                  <c:v>26.559999999999778</c:v>
                </c:pt>
                <c:pt idx="208">
                  <c:v>26.639999999999777</c:v>
                </c:pt>
                <c:pt idx="209">
                  <c:v>26.719999999999775</c:v>
                </c:pt>
                <c:pt idx="210">
                  <c:v>26.799999999999773</c:v>
                </c:pt>
                <c:pt idx="211">
                  <c:v>26.879999999999772</c:v>
                </c:pt>
                <c:pt idx="212">
                  <c:v>26.95999999999977</c:v>
                </c:pt>
                <c:pt idx="213">
                  <c:v>27.039999999999768</c:v>
                </c:pt>
                <c:pt idx="214">
                  <c:v>27.119999999999767</c:v>
                </c:pt>
                <c:pt idx="215">
                  <c:v>27.199999999999765</c:v>
                </c:pt>
                <c:pt idx="216">
                  <c:v>27.279999999999763</c:v>
                </c:pt>
                <c:pt idx="217">
                  <c:v>27.359999999999761</c:v>
                </c:pt>
                <c:pt idx="218">
                  <c:v>27.43999999999976</c:v>
                </c:pt>
                <c:pt idx="219">
                  <c:v>27.519999999999758</c:v>
                </c:pt>
                <c:pt idx="220">
                  <c:v>27.599999999999756</c:v>
                </c:pt>
                <c:pt idx="221">
                  <c:v>27.679999999999755</c:v>
                </c:pt>
                <c:pt idx="222">
                  <c:v>27.759999999999753</c:v>
                </c:pt>
                <c:pt idx="223">
                  <c:v>27.839999999999751</c:v>
                </c:pt>
                <c:pt idx="224">
                  <c:v>27.919999999999749</c:v>
                </c:pt>
                <c:pt idx="225">
                  <c:v>27.999999999999748</c:v>
                </c:pt>
                <c:pt idx="226">
                  <c:v>28.079999999999746</c:v>
                </c:pt>
                <c:pt idx="227">
                  <c:v>28.159999999999744</c:v>
                </c:pt>
                <c:pt idx="228">
                  <c:v>28.239999999999743</c:v>
                </c:pt>
                <c:pt idx="229">
                  <c:v>28.319999999999741</c:v>
                </c:pt>
                <c:pt idx="230">
                  <c:v>28.399999999999739</c:v>
                </c:pt>
                <c:pt idx="231">
                  <c:v>28.479999999999738</c:v>
                </c:pt>
                <c:pt idx="232">
                  <c:v>28.559999999999736</c:v>
                </c:pt>
                <c:pt idx="233">
                  <c:v>28.639999999999734</c:v>
                </c:pt>
                <c:pt idx="234">
                  <c:v>28.719999999999732</c:v>
                </c:pt>
                <c:pt idx="235">
                  <c:v>28.799999999999731</c:v>
                </c:pt>
                <c:pt idx="236">
                  <c:v>28.879999999999729</c:v>
                </c:pt>
                <c:pt idx="237">
                  <c:v>28.959999999999727</c:v>
                </c:pt>
                <c:pt idx="238">
                  <c:v>29.039999999999726</c:v>
                </c:pt>
                <c:pt idx="239">
                  <c:v>29.119999999999724</c:v>
                </c:pt>
                <c:pt idx="240">
                  <c:v>29.199999999999722</c:v>
                </c:pt>
                <c:pt idx="241">
                  <c:v>29.27999999999972</c:v>
                </c:pt>
                <c:pt idx="242">
                  <c:v>29.359999999999719</c:v>
                </c:pt>
                <c:pt idx="243">
                  <c:v>29.439999999999717</c:v>
                </c:pt>
                <c:pt idx="244">
                  <c:v>29.519999999999715</c:v>
                </c:pt>
                <c:pt idx="245">
                  <c:v>29.599999999999714</c:v>
                </c:pt>
                <c:pt idx="246">
                  <c:v>29.679999999999712</c:v>
                </c:pt>
                <c:pt idx="247">
                  <c:v>29.75999999999971</c:v>
                </c:pt>
                <c:pt idx="248">
                  <c:v>29.839999999999709</c:v>
                </c:pt>
                <c:pt idx="249">
                  <c:v>29.919999999999707</c:v>
                </c:pt>
                <c:pt idx="250">
                  <c:v>29.999999999999705</c:v>
                </c:pt>
                <c:pt idx="251">
                  <c:v>30.079999999999703</c:v>
                </c:pt>
                <c:pt idx="252">
                  <c:v>30.159999999999702</c:v>
                </c:pt>
                <c:pt idx="253">
                  <c:v>30.2399999999997</c:v>
                </c:pt>
                <c:pt idx="254">
                  <c:v>30.319999999999698</c:v>
                </c:pt>
                <c:pt idx="255">
                  <c:v>30.399999999999697</c:v>
                </c:pt>
                <c:pt idx="256">
                  <c:v>30.479999999999695</c:v>
                </c:pt>
                <c:pt idx="257">
                  <c:v>30.559999999999693</c:v>
                </c:pt>
                <c:pt idx="258">
                  <c:v>30.639999999999691</c:v>
                </c:pt>
                <c:pt idx="259">
                  <c:v>30.71999999999969</c:v>
                </c:pt>
                <c:pt idx="260">
                  <c:v>30.799999999999688</c:v>
                </c:pt>
                <c:pt idx="261">
                  <c:v>30.879999999999686</c:v>
                </c:pt>
                <c:pt idx="262">
                  <c:v>30.959999999999685</c:v>
                </c:pt>
                <c:pt idx="263">
                  <c:v>31.039999999999683</c:v>
                </c:pt>
                <c:pt idx="264">
                  <c:v>31.119999999999681</c:v>
                </c:pt>
                <c:pt idx="265">
                  <c:v>31.19999999999968</c:v>
                </c:pt>
                <c:pt idx="266">
                  <c:v>31.279999999999678</c:v>
                </c:pt>
                <c:pt idx="267">
                  <c:v>31.359999999999676</c:v>
                </c:pt>
                <c:pt idx="268">
                  <c:v>31.439999999999674</c:v>
                </c:pt>
                <c:pt idx="269">
                  <c:v>31.519999999999673</c:v>
                </c:pt>
                <c:pt idx="270">
                  <c:v>31.599999999999671</c:v>
                </c:pt>
                <c:pt idx="271">
                  <c:v>31.679999999999669</c:v>
                </c:pt>
                <c:pt idx="272">
                  <c:v>31.759999999999668</c:v>
                </c:pt>
                <c:pt idx="273">
                  <c:v>31.839999999999666</c:v>
                </c:pt>
                <c:pt idx="274">
                  <c:v>31.919999999999664</c:v>
                </c:pt>
                <c:pt idx="275">
                  <c:v>31.999999999999662</c:v>
                </c:pt>
                <c:pt idx="276">
                  <c:v>32.079999999999664</c:v>
                </c:pt>
                <c:pt idx="277">
                  <c:v>32.159999999999663</c:v>
                </c:pt>
                <c:pt idx="278">
                  <c:v>32.239999999999661</c:v>
                </c:pt>
                <c:pt idx="279">
                  <c:v>32.319999999999659</c:v>
                </c:pt>
                <c:pt idx="280">
                  <c:v>32.399999999999658</c:v>
                </c:pt>
                <c:pt idx="281">
                  <c:v>32.479999999999656</c:v>
                </c:pt>
                <c:pt idx="282">
                  <c:v>32.559999999999654</c:v>
                </c:pt>
                <c:pt idx="283">
                  <c:v>32.639999999999652</c:v>
                </c:pt>
                <c:pt idx="284">
                  <c:v>32.719999999999651</c:v>
                </c:pt>
                <c:pt idx="285">
                  <c:v>32.799999999999649</c:v>
                </c:pt>
                <c:pt idx="286">
                  <c:v>32.879999999999647</c:v>
                </c:pt>
                <c:pt idx="287">
                  <c:v>32.959999999999646</c:v>
                </c:pt>
              </c:numCache>
            </c:numRef>
          </c:val>
          <c:smooth val="0"/>
        </c:ser>
        <c:ser>
          <c:idx val="2"/>
          <c:order val="2"/>
          <c:tx>
            <c:strRef>
              <c:f>ChtLd!$D$1</c:f>
              <c:strCache>
                <c:ptCount val="1"/>
                <c:pt idx="0">
                  <c:v>Line 3</c:v>
                </c:pt>
              </c:strCache>
            </c:strRef>
          </c:tx>
          <c:marker>
            <c:symbol val="none"/>
          </c:marker>
          <c:cat>
            <c:numRef>
              <c:f>ChtLd!$A$2:$A$289</c:f>
              <c:numCache>
                <c:formatCode>h:mm;@</c:formatCode>
                <c:ptCount val="288"/>
                <c:pt idx="0">
                  <c:v>0</c:v>
                </c:pt>
                <c:pt idx="1">
                  <c:v>3.472222222222222E-3</c:v>
                </c:pt>
                <c:pt idx="2">
                  <c:v>6.9444444444444397E-3</c:v>
                </c:pt>
                <c:pt idx="3">
                  <c:v>1.0416666666666701E-2</c:v>
                </c:pt>
                <c:pt idx="4">
                  <c:v>1.38888888888889E-2</c:v>
                </c:pt>
                <c:pt idx="5">
                  <c:v>1.7361111111111101E-2</c:v>
                </c:pt>
                <c:pt idx="6">
                  <c:v>2.0833333333333301E-2</c:v>
                </c:pt>
                <c:pt idx="7">
                  <c:v>2.4305555555555601E-2</c:v>
                </c:pt>
                <c:pt idx="8">
                  <c:v>2.7777777777777801E-2</c:v>
                </c:pt>
                <c:pt idx="9">
                  <c:v>3.125E-2</c:v>
                </c:pt>
                <c:pt idx="10">
                  <c:v>3.4722222222222203E-2</c:v>
                </c:pt>
                <c:pt idx="11">
                  <c:v>3.8194444444444399E-2</c:v>
                </c:pt>
                <c:pt idx="12">
                  <c:v>4.1666666666666699E-2</c:v>
                </c:pt>
                <c:pt idx="13">
                  <c:v>4.5138888888888902E-2</c:v>
                </c:pt>
                <c:pt idx="14">
                  <c:v>4.8611111111111098E-2</c:v>
                </c:pt>
                <c:pt idx="15">
                  <c:v>5.2083333333333301E-2</c:v>
                </c:pt>
                <c:pt idx="16">
                  <c:v>5.5555555555555601E-2</c:v>
                </c:pt>
                <c:pt idx="17">
                  <c:v>5.9027777777777797E-2</c:v>
                </c:pt>
                <c:pt idx="18">
                  <c:v>6.25E-2</c:v>
                </c:pt>
                <c:pt idx="19">
                  <c:v>6.5972222222222196E-2</c:v>
                </c:pt>
                <c:pt idx="20">
                  <c:v>6.9444444444444406E-2</c:v>
                </c:pt>
                <c:pt idx="21">
                  <c:v>7.2916666666666699E-2</c:v>
                </c:pt>
                <c:pt idx="22">
                  <c:v>7.6388888888888895E-2</c:v>
                </c:pt>
                <c:pt idx="23">
                  <c:v>7.9861111111111105E-2</c:v>
                </c:pt>
                <c:pt idx="24">
                  <c:v>8.3333333333333301E-2</c:v>
                </c:pt>
                <c:pt idx="25">
                  <c:v>8.6805555555555594E-2</c:v>
                </c:pt>
                <c:pt idx="26">
                  <c:v>9.0277777777777804E-2</c:v>
                </c:pt>
                <c:pt idx="27">
                  <c:v>9.375E-2</c:v>
                </c:pt>
                <c:pt idx="28">
                  <c:v>9.7222222222222196E-2</c:v>
                </c:pt>
                <c:pt idx="29">
                  <c:v>0.100694444444444</c:v>
                </c:pt>
                <c:pt idx="30">
                  <c:v>0.104166666666667</c:v>
                </c:pt>
                <c:pt idx="31">
                  <c:v>0.10763888888888901</c:v>
                </c:pt>
                <c:pt idx="32">
                  <c:v>0.11111111111111099</c:v>
                </c:pt>
                <c:pt idx="33">
                  <c:v>0.114583333333333</c:v>
                </c:pt>
                <c:pt idx="34">
                  <c:v>0.118055555555556</c:v>
                </c:pt>
                <c:pt idx="35">
                  <c:v>0.121527777777778</c:v>
                </c:pt>
                <c:pt idx="36">
                  <c:v>0.125</c:v>
                </c:pt>
                <c:pt idx="37">
                  <c:v>0.12847222222222199</c:v>
                </c:pt>
                <c:pt idx="38">
                  <c:v>0.131944444444444</c:v>
                </c:pt>
                <c:pt idx="39">
                  <c:v>0.13541666666666699</c:v>
                </c:pt>
                <c:pt idx="40">
                  <c:v>0.13888888888888901</c:v>
                </c:pt>
                <c:pt idx="41">
                  <c:v>0.14236111111111099</c:v>
                </c:pt>
                <c:pt idx="42">
                  <c:v>0.14583333333333301</c:v>
                </c:pt>
                <c:pt idx="43">
                  <c:v>0.149305555555556</c:v>
                </c:pt>
                <c:pt idx="44">
                  <c:v>0.15277777777777801</c:v>
                </c:pt>
                <c:pt idx="45">
                  <c:v>0.15625</c:v>
                </c:pt>
                <c:pt idx="46">
                  <c:v>0.15972222222222199</c:v>
                </c:pt>
                <c:pt idx="47">
                  <c:v>0.163194444444444</c:v>
                </c:pt>
                <c:pt idx="48">
                  <c:v>0.16666666666666699</c:v>
                </c:pt>
                <c:pt idx="49">
                  <c:v>0.17013888888888901</c:v>
                </c:pt>
                <c:pt idx="50">
                  <c:v>0.17361111111111099</c:v>
                </c:pt>
                <c:pt idx="51">
                  <c:v>0.17708333333333301</c:v>
                </c:pt>
                <c:pt idx="52">
                  <c:v>0.180555555555556</c:v>
                </c:pt>
                <c:pt idx="53">
                  <c:v>0.18402777777777801</c:v>
                </c:pt>
                <c:pt idx="54">
                  <c:v>0.1875</c:v>
                </c:pt>
                <c:pt idx="55">
                  <c:v>0.19097222222222199</c:v>
                </c:pt>
                <c:pt idx="56">
                  <c:v>0.194444444444444</c:v>
                </c:pt>
                <c:pt idx="57">
                  <c:v>0.19791666666666699</c:v>
                </c:pt>
                <c:pt idx="58">
                  <c:v>0.20138888888888901</c:v>
                </c:pt>
                <c:pt idx="59">
                  <c:v>0.20486111111111099</c:v>
                </c:pt>
                <c:pt idx="60">
                  <c:v>0.20833333333333301</c:v>
                </c:pt>
                <c:pt idx="61">
                  <c:v>0.211805555555556</c:v>
                </c:pt>
                <c:pt idx="62">
                  <c:v>0.21527777777777801</c:v>
                </c:pt>
                <c:pt idx="63">
                  <c:v>0.21875</c:v>
                </c:pt>
                <c:pt idx="64">
                  <c:v>0.22222222222222199</c:v>
                </c:pt>
                <c:pt idx="65">
                  <c:v>0.225694444444444</c:v>
                </c:pt>
                <c:pt idx="66">
                  <c:v>0.22916666666666699</c:v>
                </c:pt>
                <c:pt idx="67">
                  <c:v>0.23263888888888901</c:v>
                </c:pt>
                <c:pt idx="68">
                  <c:v>0.23611111111111099</c:v>
                </c:pt>
                <c:pt idx="69">
                  <c:v>0.23958333333333301</c:v>
                </c:pt>
                <c:pt idx="70">
                  <c:v>0.243055555555556</c:v>
                </c:pt>
                <c:pt idx="71">
                  <c:v>0.24652777777777801</c:v>
                </c:pt>
                <c:pt idx="72">
                  <c:v>0.25</c:v>
                </c:pt>
                <c:pt idx="73">
                  <c:v>0.25347222222222199</c:v>
                </c:pt>
                <c:pt idx="74">
                  <c:v>0.25694444444444398</c:v>
                </c:pt>
                <c:pt idx="75">
                  <c:v>0.26041666666666702</c:v>
                </c:pt>
                <c:pt idx="76">
                  <c:v>0.26388888888888901</c:v>
                </c:pt>
                <c:pt idx="77">
                  <c:v>0.26736111111111099</c:v>
                </c:pt>
                <c:pt idx="78">
                  <c:v>0.27083333333333298</c:v>
                </c:pt>
                <c:pt idx="79">
                  <c:v>0.27430555555555602</c:v>
                </c:pt>
                <c:pt idx="80">
                  <c:v>0.27777777777777801</c:v>
                </c:pt>
                <c:pt idx="81">
                  <c:v>0.28125</c:v>
                </c:pt>
                <c:pt idx="82">
                  <c:v>0.28472222222222199</c:v>
                </c:pt>
                <c:pt idx="83">
                  <c:v>0.28819444444444398</c:v>
                </c:pt>
                <c:pt idx="84">
                  <c:v>0.29166666666666702</c:v>
                </c:pt>
                <c:pt idx="85">
                  <c:v>0.29513888888888901</c:v>
                </c:pt>
                <c:pt idx="86">
                  <c:v>0.29861111111111099</c:v>
                </c:pt>
                <c:pt idx="87">
                  <c:v>0.30208333333333298</c:v>
                </c:pt>
                <c:pt idx="88">
                  <c:v>0.30555555555555602</c:v>
                </c:pt>
                <c:pt idx="89">
                  <c:v>0.30902777777777801</c:v>
                </c:pt>
                <c:pt idx="90">
                  <c:v>0.3125</c:v>
                </c:pt>
                <c:pt idx="91">
                  <c:v>0.31597222222222199</c:v>
                </c:pt>
                <c:pt idx="92">
                  <c:v>0.31944444444444398</c:v>
                </c:pt>
                <c:pt idx="93">
                  <c:v>0.32291666666666702</c:v>
                </c:pt>
                <c:pt idx="94">
                  <c:v>0.32638888888888901</c:v>
                </c:pt>
                <c:pt idx="95">
                  <c:v>0.32986111111111099</c:v>
                </c:pt>
                <c:pt idx="96">
                  <c:v>0.33333333333333298</c:v>
                </c:pt>
                <c:pt idx="97">
                  <c:v>0.33680555555555602</c:v>
                </c:pt>
                <c:pt idx="98">
                  <c:v>0.34027777777777801</c:v>
                </c:pt>
                <c:pt idx="99">
                  <c:v>0.34375</c:v>
                </c:pt>
                <c:pt idx="100">
                  <c:v>0.34722222222222199</c:v>
                </c:pt>
                <c:pt idx="101">
                  <c:v>0.35069444444444398</c:v>
                </c:pt>
                <c:pt idx="102">
                  <c:v>0.35416666666666702</c:v>
                </c:pt>
                <c:pt idx="103">
                  <c:v>0.35763888888888901</c:v>
                </c:pt>
                <c:pt idx="104">
                  <c:v>0.36111111111111099</c:v>
                </c:pt>
                <c:pt idx="105">
                  <c:v>0.36458333333333298</c:v>
                </c:pt>
                <c:pt idx="106">
                  <c:v>0.36805555555555602</c:v>
                </c:pt>
                <c:pt idx="107">
                  <c:v>0.37152777777777801</c:v>
                </c:pt>
                <c:pt idx="108">
                  <c:v>0.375</c:v>
                </c:pt>
                <c:pt idx="109">
                  <c:v>0.37847222222222199</c:v>
                </c:pt>
                <c:pt idx="110">
                  <c:v>0.38194444444444398</c:v>
                </c:pt>
                <c:pt idx="111">
                  <c:v>0.38541666666666702</c:v>
                </c:pt>
                <c:pt idx="112">
                  <c:v>0.38888888888888901</c:v>
                </c:pt>
                <c:pt idx="113">
                  <c:v>0.39236111111111099</c:v>
                </c:pt>
                <c:pt idx="114">
                  <c:v>0.39583333333333298</c:v>
                </c:pt>
                <c:pt idx="115">
                  <c:v>0.39930555555555602</c:v>
                </c:pt>
                <c:pt idx="116">
                  <c:v>0.40277777777777801</c:v>
                </c:pt>
                <c:pt idx="117">
                  <c:v>0.40625</c:v>
                </c:pt>
                <c:pt idx="118">
                  <c:v>0.40972222222222199</c:v>
                </c:pt>
                <c:pt idx="119">
                  <c:v>0.41319444444444398</c:v>
                </c:pt>
                <c:pt idx="120">
                  <c:v>0.41666666666666702</c:v>
                </c:pt>
                <c:pt idx="121">
                  <c:v>0.42013888888888901</c:v>
                </c:pt>
                <c:pt idx="122">
                  <c:v>0.42361111111111099</c:v>
                </c:pt>
                <c:pt idx="123">
                  <c:v>0.42708333333333298</c:v>
                </c:pt>
                <c:pt idx="124">
                  <c:v>0.43055555555555602</c:v>
                </c:pt>
                <c:pt idx="125">
                  <c:v>0.43402777777777801</c:v>
                </c:pt>
                <c:pt idx="126">
                  <c:v>0.4375</c:v>
                </c:pt>
                <c:pt idx="127">
                  <c:v>0.44097222222222199</c:v>
                </c:pt>
                <c:pt idx="128">
                  <c:v>0.44444444444444398</c:v>
                </c:pt>
                <c:pt idx="129">
                  <c:v>0.44791666666666702</c:v>
                </c:pt>
                <c:pt idx="130">
                  <c:v>0.45138888888888901</c:v>
                </c:pt>
                <c:pt idx="131">
                  <c:v>0.45486111111111099</c:v>
                </c:pt>
                <c:pt idx="132">
                  <c:v>0.45833333333333298</c:v>
                </c:pt>
                <c:pt idx="133">
                  <c:v>0.46180555555555602</c:v>
                </c:pt>
                <c:pt idx="134">
                  <c:v>0.46527777777777801</c:v>
                </c:pt>
                <c:pt idx="135">
                  <c:v>0.46875</c:v>
                </c:pt>
                <c:pt idx="136">
                  <c:v>0.47222222222222199</c:v>
                </c:pt>
                <c:pt idx="137">
                  <c:v>0.47569444444444398</c:v>
                </c:pt>
                <c:pt idx="138">
                  <c:v>0.47916666666666702</c:v>
                </c:pt>
                <c:pt idx="139">
                  <c:v>0.48263888888888901</c:v>
                </c:pt>
                <c:pt idx="140">
                  <c:v>0.48611111111111099</c:v>
                </c:pt>
                <c:pt idx="141">
                  <c:v>0.48958333333333298</c:v>
                </c:pt>
                <c:pt idx="142">
                  <c:v>0.49305555555555602</c:v>
                </c:pt>
                <c:pt idx="143">
                  <c:v>0.49652777777777801</c:v>
                </c:pt>
                <c:pt idx="144">
                  <c:v>0.5</c:v>
                </c:pt>
                <c:pt idx="145">
                  <c:v>0.50347222222222199</c:v>
                </c:pt>
                <c:pt idx="146">
                  <c:v>0.50694444444444398</c:v>
                </c:pt>
                <c:pt idx="147">
                  <c:v>0.51041666666666696</c:v>
                </c:pt>
                <c:pt idx="148">
                  <c:v>0.51388888888888895</c:v>
                </c:pt>
                <c:pt idx="149">
                  <c:v>0.51736111111111105</c:v>
                </c:pt>
                <c:pt idx="150">
                  <c:v>0.52083333333333304</c:v>
                </c:pt>
                <c:pt idx="151">
                  <c:v>0.52430555555555602</c:v>
                </c:pt>
                <c:pt idx="152">
                  <c:v>0.52777777777777801</c:v>
                </c:pt>
                <c:pt idx="153">
                  <c:v>0.53125</c:v>
                </c:pt>
                <c:pt idx="154">
                  <c:v>0.53472222222222199</c:v>
                </c:pt>
                <c:pt idx="155">
                  <c:v>0.53819444444444398</c:v>
                </c:pt>
                <c:pt idx="156">
                  <c:v>0.54166666666666696</c:v>
                </c:pt>
                <c:pt idx="157">
                  <c:v>0.54513888888888895</c:v>
                </c:pt>
                <c:pt idx="158">
                  <c:v>0.54861111111111105</c:v>
                </c:pt>
                <c:pt idx="159">
                  <c:v>0.55208333333333304</c:v>
                </c:pt>
                <c:pt idx="160">
                  <c:v>0.55555555555555602</c:v>
                </c:pt>
                <c:pt idx="161">
                  <c:v>0.55902777777777801</c:v>
                </c:pt>
                <c:pt idx="162">
                  <c:v>0.5625</c:v>
                </c:pt>
                <c:pt idx="163">
                  <c:v>0.56597222222222199</c:v>
                </c:pt>
                <c:pt idx="164">
                  <c:v>0.56944444444444398</c:v>
                </c:pt>
                <c:pt idx="165">
                  <c:v>0.57291666666666696</c:v>
                </c:pt>
                <c:pt idx="166">
                  <c:v>0.57638888888888895</c:v>
                </c:pt>
                <c:pt idx="167">
                  <c:v>0.57986111111111105</c:v>
                </c:pt>
                <c:pt idx="168">
                  <c:v>0.58333333333333304</c:v>
                </c:pt>
                <c:pt idx="169">
                  <c:v>0.58680555555555503</c:v>
                </c:pt>
                <c:pt idx="170">
                  <c:v>0.59027777777777801</c:v>
                </c:pt>
                <c:pt idx="171">
                  <c:v>0.59375</c:v>
                </c:pt>
                <c:pt idx="172">
                  <c:v>0.59722222222222199</c:v>
                </c:pt>
                <c:pt idx="173">
                  <c:v>0.60069444444444398</c:v>
                </c:pt>
                <c:pt idx="174">
                  <c:v>0.60416666666666696</c:v>
                </c:pt>
                <c:pt idx="175">
                  <c:v>0.60763888888888895</c:v>
                </c:pt>
                <c:pt idx="176">
                  <c:v>0.61111111111111105</c:v>
                </c:pt>
                <c:pt idx="177">
                  <c:v>0.61458333333333304</c:v>
                </c:pt>
                <c:pt idx="178">
                  <c:v>0.61805555555555503</c:v>
                </c:pt>
                <c:pt idx="179">
                  <c:v>0.62152777777777801</c:v>
                </c:pt>
                <c:pt idx="180">
                  <c:v>0.625</c:v>
                </c:pt>
                <c:pt idx="181">
                  <c:v>0.62847222222222199</c:v>
                </c:pt>
                <c:pt idx="182">
                  <c:v>0.63194444444444398</c:v>
                </c:pt>
                <c:pt idx="183">
                  <c:v>0.63541666666666696</c:v>
                </c:pt>
                <c:pt idx="184">
                  <c:v>0.63888888888888895</c:v>
                </c:pt>
                <c:pt idx="185">
                  <c:v>0.64236111111111105</c:v>
                </c:pt>
                <c:pt idx="186">
                  <c:v>0.64583333333333304</c:v>
                </c:pt>
                <c:pt idx="187">
                  <c:v>0.64930555555555503</c:v>
                </c:pt>
                <c:pt idx="188">
                  <c:v>0.65277777777777801</c:v>
                </c:pt>
                <c:pt idx="189">
                  <c:v>0.65625</c:v>
                </c:pt>
                <c:pt idx="190">
                  <c:v>0.65972222222222199</c:v>
                </c:pt>
                <c:pt idx="191">
                  <c:v>0.66319444444444398</c:v>
                </c:pt>
                <c:pt idx="192">
                  <c:v>0.66666666666666696</c:v>
                </c:pt>
                <c:pt idx="193">
                  <c:v>0.67013888888888895</c:v>
                </c:pt>
                <c:pt idx="194">
                  <c:v>0.67361111111111105</c:v>
                </c:pt>
                <c:pt idx="195">
                  <c:v>0.67708333333333304</c:v>
                </c:pt>
                <c:pt idx="196">
                  <c:v>0.68055555555555503</c:v>
                </c:pt>
                <c:pt idx="197">
                  <c:v>0.68402777777777801</c:v>
                </c:pt>
                <c:pt idx="198">
                  <c:v>0.6875</c:v>
                </c:pt>
                <c:pt idx="199">
                  <c:v>0.69097222222222199</c:v>
                </c:pt>
                <c:pt idx="200">
                  <c:v>0.69444444444444398</c:v>
                </c:pt>
                <c:pt idx="201">
                  <c:v>0.69791666666666696</c:v>
                </c:pt>
                <c:pt idx="202">
                  <c:v>0.70138888888888895</c:v>
                </c:pt>
                <c:pt idx="203">
                  <c:v>0.70486111111111105</c:v>
                </c:pt>
                <c:pt idx="204">
                  <c:v>0.70833333333333304</c:v>
                </c:pt>
                <c:pt idx="205">
                  <c:v>0.71180555555555503</c:v>
                </c:pt>
                <c:pt idx="206">
                  <c:v>0.71527777777777801</c:v>
                </c:pt>
                <c:pt idx="207">
                  <c:v>0.71875</c:v>
                </c:pt>
                <c:pt idx="208">
                  <c:v>0.72222222222222199</c:v>
                </c:pt>
                <c:pt idx="209">
                  <c:v>0.72569444444444398</c:v>
                </c:pt>
                <c:pt idx="210">
                  <c:v>0.72916666666666696</c:v>
                </c:pt>
                <c:pt idx="211">
                  <c:v>0.73263888888888895</c:v>
                </c:pt>
                <c:pt idx="212">
                  <c:v>0.73611111111111105</c:v>
                </c:pt>
                <c:pt idx="213">
                  <c:v>0.73958333333333304</c:v>
                </c:pt>
                <c:pt idx="214">
                  <c:v>0.74305555555555503</c:v>
                </c:pt>
                <c:pt idx="215">
                  <c:v>0.74652777777777801</c:v>
                </c:pt>
                <c:pt idx="216">
                  <c:v>0.75</c:v>
                </c:pt>
                <c:pt idx="217">
                  <c:v>0.75347222222222199</c:v>
                </c:pt>
                <c:pt idx="218">
                  <c:v>0.75694444444444398</c:v>
                </c:pt>
                <c:pt idx="219">
                  <c:v>0.76041666666666696</c:v>
                </c:pt>
                <c:pt idx="220">
                  <c:v>0.76388888888888895</c:v>
                </c:pt>
                <c:pt idx="221">
                  <c:v>0.76736111111111105</c:v>
                </c:pt>
                <c:pt idx="222">
                  <c:v>0.77083333333333304</c:v>
                </c:pt>
                <c:pt idx="223">
                  <c:v>0.77430555555555503</c:v>
                </c:pt>
                <c:pt idx="224">
                  <c:v>0.77777777777777801</c:v>
                </c:pt>
                <c:pt idx="225">
                  <c:v>0.78125</c:v>
                </c:pt>
                <c:pt idx="226">
                  <c:v>0.78472222222222199</c:v>
                </c:pt>
                <c:pt idx="227">
                  <c:v>0.78819444444444398</c:v>
                </c:pt>
                <c:pt idx="228">
                  <c:v>0.79166666666666696</c:v>
                </c:pt>
                <c:pt idx="229">
                  <c:v>0.79513888888888895</c:v>
                </c:pt>
                <c:pt idx="230">
                  <c:v>0.79861111111111105</c:v>
                </c:pt>
                <c:pt idx="231">
                  <c:v>0.80208333333333304</c:v>
                </c:pt>
                <c:pt idx="232">
                  <c:v>0.80555555555555503</c:v>
                </c:pt>
                <c:pt idx="233">
                  <c:v>0.80902777777777801</c:v>
                </c:pt>
                <c:pt idx="234">
                  <c:v>0.8125</c:v>
                </c:pt>
                <c:pt idx="235">
                  <c:v>0.81597222222222199</c:v>
                </c:pt>
                <c:pt idx="236">
                  <c:v>0.81944444444444398</c:v>
                </c:pt>
                <c:pt idx="237">
                  <c:v>0.82291666666666696</c:v>
                </c:pt>
                <c:pt idx="238">
                  <c:v>0.82638888888888895</c:v>
                </c:pt>
                <c:pt idx="239">
                  <c:v>0.82986111111111105</c:v>
                </c:pt>
                <c:pt idx="240">
                  <c:v>0.83333333333333304</c:v>
                </c:pt>
                <c:pt idx="241">
                  <c:v>0.83680555555555503</c:v>
                </c:pt>
                <c:pt idx="242">
                  <c:v>0.84027777777777801</c:v>
                </c:pt>
                <c:pt idx="243">
                  <c:v>0.84375</c:v>
                </c:pt>
                <c:pt idx="244">
                  <c:v>0.84722222222222199</c:v>
                </c:pt>
                <c:pt idx="245">
                  <c:v>0.85069444444444398</c:v>
                </c:pt>
                <c:pt idx="246">
                  <c:v>0.85416666666666696</c:v>
                </c:pt>
                <c:pt idx="247">
                  <c:v>0.85763888888888895</c:v>
                </c:pt>
                <c:pt idx="248">
                  <c:v>0.86111111111111105</c:v>
                </c:pt>
                <c:pt idx="249">
                  <c:v>0.86458333333333304</c:v>
                </c:pt>
                <c:pt idx="250">
                  <c:v>0.86805555555555503</c:v>
                </c:pt>
                <c:pt idx="251">
                  <c:v>0.87152777777777801</c:v>
                </c:pt>
                <c:pt idx="252">
                  <c:v>0.875</c:v>
                </c:pt>
                <c:pt idx="253">
                  <c:v>0.87847222222222199</c:v>
                </c:pt>
                <c:pt idx="254">
                  <c:v>0.88194444444444398</c:v>
                </c:pt>
                <c:pt idx="255">
                  <c:v>0.88541666666666696</c:v>
                </c:pt>
                <c:pt idx="256">
                  <c:v>0.88888888888888895</c:v>
                </c:pt>
                <c:pt idx="257">
                  <c:v>0.89236111111111105</c:v>
                </c:pt>
                <c:pt idx="258">
                  <c:v>0.89583333333333304</c:v>
                </c:pt>
                <c:pt idx="259">
                  <c:v>0.89930555555555503</c:v>
                </c:pt>
                <c:pt idx="260">
                  <c:v>0.90277777777777801</c:v>
                </c:pt>
                <c:pt idx="261">
                  <c:v>0.90625</c:v>
                </c:pt>
                <c:pt idx="262">
                  <c:v>0.90972222222222199</c:v>
                </c:pt>
                <c:pt idx="263">
                  <c:v>0.91319444444444398</c:v>
                </c:pt>
                <c:pt idx="264">
                  <c:v>0.91666666666666696</c:v>
                </c:pt>
                <c:pt idx="265">
                  <c:v>0.92013888888888895</c:v>
                </c:pt>
                <c:pt idx="266">
                  <c:v>0.92361111111111105</c:v>
                </c:pt>
                <c:pt idx="267">
                  <c:v>0.92708333333333304</c:v>
                </c:pt>
                <c:pt idx="268">
                  <c:v>0.93055555555555503</c:v>
                </c:pt>
                <c:pt idx="269">
                  <c:v>0.93402777777777801</c:v>
                </c:pt>
                <c:pt idx="270">
                  <c:v>0.9375</c:v>
                </c:pt>
                <c:pt idx="271">
                  <c:v>0.94097222222222199</c:v>
                </c:pt>
                <c:pt idx="272">
                  <c:v>0.94444444444444398</c:v>
                </c:pt>
                <c:pt idx="273">
                  <c:v>0.94791666666666696</c:v>
                </c:pt>
                <c:pt idx="274">
                  <c:v>0.95138888888888895</c:v>
                </c:pt>
                <c:pt idx="275">
                  <c:v>0.95486111111111105</c:v>
                </c:pt>
                <c:pt idx="276">
                  <c:v>0.95833333333333304</c:v>
                </c:pt>
                <c:pt idx="277">
                  <c:v>0.96180555555555503</c:v>
                </c:pt>
                <c:pt idx="278">
                  <c:v>0.96527777777777801</c:v>
                </c:pt>
                <c:pt idx="279">
                  <c:v>0.96875</c:v>
                </c:pt>
                <c:pt idx="280">
                  <c:v>0.97222222222222199</c:v>
                </c:pt>
                <c:pt idx="281">
                  <c:v>0.97569444444444398</c:v>
                </c:pt>
                <c:pt idx="282">
                  <c:v>0.97916666666666696</c:v>
                </c:pt>
                <c:pt idx="283">
                  <c:v>0.98263888888888895</c:v>
                </c:pt>
                <c:pt idx="284">
                  <c:v>0.98611111111111105</c:v>
                </c:pt>
                <c:pt idx="285">
                  <c:v>0.98958333333333304</c:v>
                </c:pt>
                <c:pt idx="286">
                  <c:v>0.99305555555555503</c:v>
                </c:pt>
                <c:pt idx="287">
                  <c:v>0.99652777777777801</c:v>
                </c:pt>
              </c:numCache>
            </c:numRef>
          </c:cat>
          <c:val>
            <c:numRef>
              <c:f>ChtLd!$D$2:$D$289</c:f>
              <c:numCache>
                <c:formatCode>0.00</c:formatCode>
                <c:ptCount val="288"/>
                <c:pt idx="0" formatCode="0.0">
                  <c:v>15</c:v>
                </c:pt>
                <c:pt idx="1">
                  <c:v>15.07</c:v>
                </c:pt>
                <c:pt idx="2">
                  <c:v>15.14</c:v>
                </c:pt>
                <c:pt idx="3">
                  <c:v>15.21</c:v>
                </c:pt>
                <c:pt idx="4">
                  <c:v>15.280000000000001</c:v>
                </c:pt>
                <c:pt idx="5">
                  <c:v>15.350000000000001</c:v>
                </c:pt>
                <c:pt idx="6">
                  <c:v>15.420000000000002</c:v>
                </c:pt>
                <c:pt idx="7">
                  <c:v>15.490000000000002</c:v>
                </c:pt>
                <c:pt idx="8">
                  <c:v>15.560000000000002</c:v>
                </c:pt>
                <c:pt idx="9">
                  <c:v>15.630000000000003</c:v>
                </c:pt>
                <c:pt idx="10">
                  <c:v>15.700000000000003</c:v>
                </c:pt>
                <c:pt idx="11">
                  <c:v>15.770000000000003</c:v>
                </c:pt>
                <c:pt idx="12">
                  <c:v>15.840000000000003</c:v>
                </c:pt>
                <c:pt idx="13">
                  <c:v>15.910000000000004</c:v>
                </c:pt>
                <c:pt idx="14">
                  <c:v>15.980000000000004</c:v>
                </c:pt>
                <c:pt idx="15">
                  <c:v>16.050000000000004</c:v>
                </c:pt>
                <c:pt idx="16">
                  <c:v>16.120000000000005</c:v>
                </c:pt>
                <c:pt idx="17">
                  <c:v>16.190000000000005</c:v>
                </c:pt>
                <c:pt idx="18">
                  <c:v>16.260000000000005</c:v>
                </c:pt>
                <c:pt idx="19">
                  <c:v>16.330000000000005</c:v>
                </c:pt>
                <c:pt idx="20">
                  <c:v>16.400000000000006</c:v>
                </c:pt>
                <c:pt idx="21">
                  <c:v>16.470000000000006</c:v>
                </c:pt>
                <c:pt idx="22">
                  <c:v>16.540000000000006</c:v>
                </c:pt>
                <c:pt idx="23">
                  <c:v>16.610000000000007</c:v>
                </c:pt>
                <c:pt idx="24">
                  <c:v>16.680000000000007</c:v>
                </c:pt>
                <c:pt idx="25">
                  <c:v>16.750000000000007</c:v>
                </c:pt>
                <c:pt idx="26">
                  <c:v>16.820000000000007</c:v>
                </c:pt>
                <c:pt idx="27">
                  <c:v>16.890000000000008</c:v>
                </c:pt>
                <c:pt idx="28">
                  <c:v>16.960000000000008</c:v>
                </c:pt>
                <c:pt idx="29">
                  <c:v>17.030000000000008</c:v>
                </c:pt>
                <c:pt idx="30">
                  <c:v>17.100000000000009</c:v>
                </c:pt>
                <c:pt idx="31">
                  <c:v>17.170000000000009</c:v>
                </c:pt>
                <c:pt idx="32">
                  <c:v>17.240000000000009</c:v>
                </c:pt>
                <c:pt idx="33">
                  <c:v>17.310000000000009</c:v>
                </c:pt>
                <c:pt idx="34">
                  <c:v>17.38000000000001</c:v>
                </c:pt>
                <c:pt idx="35">
                  <c:v>17.45000000000001</c:v>
                </c:pt>
                <c:pt idx="36">
                  <c:v>17.52000000000001</c:v>
                </c:pt>
                <c:pt idx="37">
                  <c:v>17.590000000000011</c:v>
                </c:pt>
                <c:pt idx="38">
                  <c:v>17.660000000000011</c:v>
                </c:pt>
                <c:pt idx="39">
                  <c:v>17.730000000000011</c:v>
                </c:pt>
                <c:pt idx="40">
                  <c:v>17.800000000000011</c:v>
                </c:pt>
                <c:pt idx="41">
                  <c:v>17.870000000000012</c:v>
                </c:pt>
                <c:pt idx="42">
                  <c:v>17.940000000000012</c:v>
                </c:pt>
                <c:pt idx="43">
                  <c:v>18.010000000000012</c:v>
                </c:pt>
                <c:pt idx="44">
                  <c:v>18.080000000000013</c:v>
                </c:pt>
                <c:pt idx="45">
                  <c:v>18.150000000000013</c:v>
                </c:pt>
                <c:pt idx="46">
                  <c:v>18.220000000000013</c:v>
                </c:pt>
                <c:pt idx="47">
                  <c:v>18.290000000000013</c:v>
                </c:pt>
                <c:pt idx="48">
                  <c:v>18.360000000000014</c:v>
                </c:pt>
                <c:pt idx="49">
                  <c:v>18.430000000000014</c:v>
                </c:pt>
                <c:pt idx="50">
                  <c:v>18.500000000000014</c:v>
                </c:pt>
                <c:pt idx="51">
                  <c:v>18.570000000000014</c:v>
                </c:pt>
                <c:pt idx="52">
                  <c:v>18.640000000000015</c:v>
                </c:pt>
                <c:pt idx="53">
                  <c:v>18.710000000000015</c:v>
                </c:pt>
                <c:pt idx="54">
                  <c:v>18.780000000000015</c:v>
                </c:pt>
                <c:pt idx="55">
                  <c:v>18.850000000000016</c:v>
                </c:pt>
                <c:pt idx="56">
                  <c:v>18.920000000000016</c:v>
                </c:pt>
                <c:pt idx="57">
                  <c:v>18.990000000000016</c:v>
                </c:pt>
                <c:pt idx="58">
                  <c:v>19.060000000000016</c:v>
                </c:pt>
                <c:pt idx="59">
                  <c:v>19.130000000000017</c:v>
                </c:pt>
                <c:pt idx="60">
                  <c:v>19.200000000000017</c:v>
                </c:pt>
                <c:pt idx="61">
                  <c:v>19.270000000000017</c:v>
                </c:pt>
                <c:pt idx="62">
                  <c:v>19.340000000000018</c:v>
                </c:pt>
                <c:pt idx="63">
                  <c:v>19.410000000000018</c:v>
                </c:pt>
                <c:pt idx="64">
                  <c:v>19.480000000000018</c:v>
                </c:pt>
                <c:pt idx="65">
                  <c:v>19.550000000000018</c:v>
                </c:pt>
                <c:pt idx="66">
                  <c:v>19.620000000000019</c:v>
                </c:pt>
                <c:pt idx="67">
                  <c:v>19.690000000000019</c:v>
                </c:pt>
                <c:pt idx="68">
                  <c:v>19.760000000000019</c:v>
                </c:pt>
                <c:pt idx="69">
                  <c:v>19.83000000000002</c:v>
                </c:pt>
                <c:pt idx="70">
                  <c:v>19.90000000000002</c:v>
                </c:pt>
                <c:pt idx="71">
                  <c:v>19.97000000000002</c:v>
                </c:pt>
                <c:pt idx="72">
                  <c:v>20.04000000000002</c:v>
                </c:pt>
                <c:pt idx="73">
                  <c:v>20.110000000000021</c:v>
                </c:pt>
                <c:pt idx="74">
                  <c:v>20.180000000000021</c:v>
                </c:pt>
                <c:pt idx="75">
                  <c:v>20.250000000000021</c:v>
                </c:pt>
                <c:pt idx="76">
                  <c:v>20.320000000000022</c:v>
                </c:pt>
                <c:pt idx="77">
                  <c:v>20.390000000000022</c:v>
                </c:pt>
                <c:pt idx="78">
                  <c:v>20.460000000000022</c:v>
                </c:pt>
                <c:pt idx="79">
                  <c:v>20.530000000000022</c:v>
                </c:pt>
                <c:pt idx="80">
                  <c:v>20.600000000000023</c:v>
                </c:pt>
                <c:pt idx="81">
                  <c:v>20.670000000000023</c:v>
                </c:pt>
                <c:pt idx="82">
                  <c:v>20.740000000000023</c:v>
                </c:pt>
                <c:pt idx="83">
                  <c:v>20.810000000000024</c:v>
                </c:pt>
                <c:pt idx="84">
                  <c:v>20.880000000000024</c:v>
                </c:pt>
                <c:pt idx="85">
                  <c:v>20.950000000000024</c:v>
                </c:pt>
                <c:pt idx="86">
                  <c:v>21.020000000000024</c:v>
                </c:pt>
                <c:pt idx="87">
                  <c:v>21.090000000000025</c:v>
                </c:pt>
                <c:pt idx="88">
                  <c:v>21.160000000000025</c:v>
                </c:pt>
                <c:pt idx="89">
                  <c:v>21.230000000000025</c:v>
                </c:pt>
                <c:pt idx="90">
                  <c:v>21.300000000000026</c:v>
                </c:pt>
                <c:pt idx="91">
                  <c:v>21.370000000000026</c:v>
                </c:pt>
                <c:pt idx="92">
                  <c:v>21.440000000000026</c:v>
                </c:pt>
                <c:pt idx="93">
                  <c:v>21.510000000000026</c:v>
                </c:pt>
                <c:pt idx="94">
                  <c:v>21.580000000000027</c:v>
                </c:pt>
                <c:pt idx="95">
                  <c:v>21.650000000000027</c:v>
                </c:pt>
                <c:pt idx="96">
                  <c:v>21.720000000000027</c:v>
                </c:pt>
                <c:pt idx="97">
                  <c:v>21.790000000000028</c:v>
                </c:pt>
                <c:pt idx="98">
                  <c:v>21.860000000000028</c:v>
                </c:pt>
                <c:pt idx="99">
                  <c:v>21.930000000000028</c:v>
                </c:pt>
                <c:pt idx="100">
                  <c:v>22.000000000000028</c:v>
                </c:pt>
                <c:pt idx="101">
                  <c:v>22.070000000000029</c:v>
                </c:pt>
                <c:pt idx="102">
                  <c:v>22.140000000000029</c:v>
                </c:pt>
                <c:pt idx="103">
                  <c:v>22.210000000000029</c:v>
                </c:pt>
                <c:pt idx="104">
                  <c:v>22.28000000000003</c:v>
                </c:pt>
                <c:pt idx="105">
                  <c:v>22.35000000000003</c:v>
                </c:pt>
                <c:pt idx="106">
                  <c:v>22.42000000000003</c:v>
                </c:pt>
                <c:pt idx="107">
                  <c:v>22.49000000000003</c:v>
                </c:pt>
                <c:pt idx="108">
                  <c:v>22.560000000000031</c:v>
                </c:pt>
                <c:pt idx="109">
                  <c:v>22.630000000000031</c:v>
                </c:pt>
                <c:pt idx="110">
                  <c:v>22.700000000000031</c:v>
                </c:pt>
                <c:pt idx="111">
                  <c:v>22.770000000000032</c:v>
                </c:pt>
                <c:pt idx="112">
                  <c:v>22.840000000000032</c:v>
                </c:pt>
                <c:pt idx="113">
                  <c:v>22.910000000000032</c:v>
                </c:pt>
                <c:pt idx="114">
                  <c:v>22.980000000000032</c:v>
                </c:pt>
                <c:pt idx="115">
                  <c:v>23.050000000000033</c:v>
                </c:pt>
                <c:pt idx="116">
                  <c:v>23.120000000000033</c:v>
                </c:pt>
                <c:pt idx="117">
                  <c:v>23.190000000000033</c:v>
                </c:pt>
                <c:pt idx="118">
                  <c:v>23.260000000000034</c:v>
                </c:pt>
                <c:pt idx="119">
                  <c:v>23.330000000000034</c:v>
                </c:pt>
                <c:pt idx="120">
                  <c:v>23.400000000000034</c:v>
                </c:pt>
                <c:pt idx="121">
                  <c:v>23.470000000000034</c:v>
                </c:pt>
                <c:pt idx="122">
                  <c:v>23.540000000000035</c:v>
                </c:pt>
                <c:pt idx="123">
                  <c:v>23.610000000000035</c:v>
                </c:pt>
                <c:pt idx="124">
                  <c:v>23.680000000000035</c:v>
                </c:pt>
                <c:pt idx="125">
                  <c:v>23.750000000000036</c:v>
                </c:pt>
                <c:pt idx="126">
                  <c:v>23.820000000000036</c:v>
                </c:pt>
                <c:pt idx="127">
                  <c:v>23.890000000000036</c:v>
                </c:pt>
                <c:pt idx="128">
                  <c:v>23.960000000000036</c:v>
                </c:pt>
                <c:pt idx="129">
                  <c:v>24.030000000000037</c:v>
                </c:pt>
                <c:pt idx="130">
                  <c:v>24.100000000000037</c:v>
                </c:pt>
                <c:pt idx="131">
                  <c:v>24.170000000000037</c:v>
                </c:pt>
                <c:pt idx="132">
                  <c:v>24.240000000000038</c:v>
                </c:pt>
                <c:pt idx="133">
                  <c:v>24.310000000000038</c:v>
                </c:pt>
                <c:pt idx="134">
                  <c:v>24.380000000000038</c:v>
                </c:pt>
                <c:pt idx="135">
                  <c:v>24.450000000000038</c:v>
                </c:pt>
                <c:pt idx="136">
                  <c:v>24.520000000000039</c:v>
                </c:pt>
                <c:pt idx="137">
                  <c:v>24.590000000000039</c:v>
                </c:pt>
                <c:pt idx="138">
                  <c:v>24.660000000000039</c:v>
                </c:pt>
                <c:pt idx="139">
                  <c:v>24.73000000000004</c:v>
                </c:pt>
                <c:pt idx="140">
                  <c:v>24.80000000000004</c:v>
                </c:pt>
                <c:pt idx="141">
                  <c:v>24.87000000000004</c:v>
                </c:pt>
                <c:pt idx="142">
                  <c:v>24.94000000000004</c:v>
                </c:pt>
                <c:pt idx="143">
                  <c:v>25.010000000000041</c:v>
                </c:pt>
                <c:pt idx="144">
                  <c:v>25.080000000000041</c:v>
                </c:pt>
                <c:pt idx="145">
                  <c:v>25.150000000000041</c:v>
                </c:pt>
                <c:pt idx="146">
                  <c:v>25.220000000000041</c:v>
                </c:pt>
                <c:pt idx="147">
                  <c:v>25.290000000000042</c:v>
                </c:pt>
                <c:pt idx="148">
                  <c:v>25.360000000000042</c:v>
                </c:pt>
                <c:pt idx="149">
                  <c:v>25.430000000000042</c:v>
                </c:pt>
                <c:pt idx="150">
                  <c:v>25.500000000000043</c:v>
                </c:pt>
                <c:pt idx="151">
                  <c:v>25.570000000000043</c:v>
                </c:pt>
                <c:pt idx="152">
                  <c:v>25.640000000000043</c:v>
                </c:pt>
                <c:pt idx="153">
                  <c:v>25.710000000000043</c:v>
                </c:pt>
                <c:pt idx="154">
                  <c:v>25.780000000000044</c:v>
                </c:pt>
                <c:pt idx="155">
                  <c:v>25.850000000000044</c:v>
                </c:pt>
                <c:pt idx="156">
                  <c:v>25.920000000000044</c:v>
                </c:pt>
                <c:pt idx="157">
                  <c:v>25.990000000000045</c:v>
                </c:pt>
                <c:pt idx="158">
                  <c:v>26.060000000000045</c:v>
                </c:pt>
                <c:pt idx="159">
                  <c:v>26.130000000000045</c:v>
                </c:pt>
                <c:pt idx="160">
                  <c:v>26.200000000000045</c:v>
                </c:pt>
                <c:pt idx="161">
                  <c:v>26.270000000000046</c:v>
                </c:pt>
                <c:pt idx="162">
                  <c:v>26.340000000000046</c:v>
                </c:pt>
                <c:pt idx="163">
                  <c:v>26.410000000000046</c:v>
                </c:pt>
                <c:pt idx="164">
                  <c:v>26.480000000000047</c:v>
                </c:pt>
                <c:pt idx="165">
                  <c:v>26.550000000000047</c:v>
                </c:pt>
                <c:pt idx="166">
                  <c:v>26.620000000000047</c:v>
                </c:pt>
                <c:pt idx="167">
                  <c:v>26.690000000000047</c:v>
                </c:pt>
                <c:pt idx="168">
                  <c:v>26.760000000000048</c:v>
                </c:pt>
                <c:pt idx="169">
                  <c:v>26.830000000000048</c:v>
                </c:pt>
                <c:pt idx="170">
                  <c:v>26.900000000000048</c:v>
                </c:pt>
                <c:pt idx="171">
                  <c:v>26.970000000000049</c:v>
                </c:pt>
                <c:pt idx="172">
                  <c:v>27.040000000000049</c:v>
                </c:pt>
                <c:pt idx="173">
                  <c:v>27.110000000000049</c:v>
                </c:pt>
                <c:pt idx="174">
                  <c:v>27.180000000000049</c:v>
                </c:pt>
                <c:pt idx="175">
                  <c:v>27.25000000000005</c:v>
                </c:pt>
                <c:pt idx="176">
                  <c:v>27.32000000000005</c:v>
                </c:pt>
                <c:pt idx="177">
                  <c:v>27.39000000000005</c:v>
                </c:pt>
                <c:pt idx="178">
                  <c:v>27.460000000000051</c:v>
                </c:pt>
                <c:pt idx="179">
                  <c:v>27.530000000000051</c:v>
                </c:pt>
                <c:pt idx="180">
                  <c:v>27.600000000000051</c:v>
                </c:pt>
                <c:pt idx="181">
                  <c:v>27.670000000000051</c:v>
                </c:pt>
                <c:pt idx="182">
                  <c:v>27.740000000000052</c:v>
                </c:pt>
                <c:pt idx="183">
                  <c:v>27.810000000000052</c:v>
                </c:pt>
                <c:pt idx="184">
                  <c:v>27.880000000000052</c:v>
                </c:pt>
                <c:pt idx="185">
                  <c:v>27.950000000000053</c:v>
                </c:pt>
                <c:pt idx="186">
                  <c:v>28.020000000000053</c:v>
                </c:pt>
                <c:pt idx="187">
                  <c:v>28.090000000000053</c:v>
                </c:pt>
                <c:pt idx="188">
                  <c:v>28.160000000000053</c:v>
                </c:pt>
                <c:pt idx="189">
                  <c:v>28.230000000000054</c:v>
                </c:pt>
                <c:pt idx="190">
                  <c:v>28.300000000000054</c:v>
                </c:pt>
                <c:pt idx="191">
                  <c:v>28.370000000000054</c:v>
                </c:pt>
                <c:pt idx="192">
                  <c:v>28.440000000000055</c:v>
                </c:pt>
                <c:pt idx="193">
                  <c:v>28.510000000000055</c:v>
                </c:pt>
                <c:pt idx="194">
                  <c:v>28.580000000000055</c:v>
                </c:pt>
                <c:pt idx="195">
                  <c:v>28.650000000000055</c:v>
                </c:pt>
                <c:pt idx="196">
                  <c:v>28.720000000000056</c:v>
                </c:pt>
                <c:pt idx="197">
                  <c:v>28.790000000000056</c:v>
                </c:pt>
                <c:pt idx="198">
                  <c:v>28.860000000000056</c:v>
                </c:pt>
                <c:pt idx="199">
                  <c:v>28.930000000000057</c:v>
                </c:pt>
                <c:pt idx="200">
                  <c:v>29.000000000000057</c:v>
                </c:pt>
                <c:pt idx="201">
                  <c:v>29.070000000000057</c:v>
                </c:pt>
                <c:pt idx="202">
                  <c:v>29.140000000000057</c:v>
                </c:pt>
                <c:pt idx="203">
                  <c:v>29.210000000000058</c:v>
                </c:pt>
                <c:pt idx="204">
                  <c:v>29.280000000000058</c:v>
                </c:pt>
                <c:pt idx="205">
                  <c:v>29.350000000000058</c:v>
                </c:pt>
                <c:pt idx="206">
                  <c:v>29.420000000000059</c:v>
                </c:pt>
                <c:pt idx="207">
                  <c:v>29.490000000000059</c:v>
                </c:pt>
                <c:pt idx="208">
                  <c:v>29.560000000000059</c:v>
                </c:pt>
                <c:pt idx="209">
                  <c:v>29.630000000000059</c:v>
                </c:pt>
                <c:pt idx="210">
                  <c:v>29.70000000000006</c:v>
                </c:pt>
                <c:pt idx="211">
                  <c:v>29.77000000000006</c:v>
                </c:pt>
                <c:pt idx="212">
                  <c:v>29.84000000000006</c:v>
                </c:pt>
                <c:pt idx="213">
                  <c:v>29.910000000000061</c:v>
                </c:pt>
                <c:pt idx="214">
                  <c:v>29.980000000000061</c:v>
                </c:pt>
                <c:pt idx="215">
                  <c:v>30.050000000000061</c:v>
                </c:pt>
                <c:pt idx="216">
                  <c:v>30.120000000000061</c:v>
                </c:pt>
                <c:pt idx="217">
                  <c:v>30.190000000000062</c:v>
                </c:pt>
                <c:pt idx="218">
                  <c:v>30.260000000000062</c:v>
                </c:pt>
                <c:pt idx="219">
                  <c:v>30.330000000000062</c:v>
                </c:pt>
                <c:pt idx="220">
                  <c:v>30.400000000000063</c:v>
                </c:pt>
                <c:pt idx="221">
                  <c:v>30.470000000000063</c:v>
                </c:pt>
                <c:pt idx="222">
                  <c:v>30.540000000000063</c:v>
                </c:pt>
                <c:pt idx="223">
                  <c:v>30.610000000000063</c:v>
                </c:pt>
                <c:pt idx="224">
                  <c:v>30.680000000000064</c:v>
                </c:pt>
                <c:pt idx="225">
                  <c:v>30.750000000000064</c:v>
                </c:pt>
                <c:pt idx="226">
                  <c:v>30.820000000000064</c:v>
                </c:pt>
                <c:pt idx="227">
                  <c:v>30.890000000000065</c:v>
                </c:pt>
                <c:pt idx="228">
                  <c:v>30.960000000000065</c:v>
                </c:pt>
                <c:pt idx="229">
                  <c:v>31.030000000000065</c:v>
                </c:pt>
                <c:pt idx="230">
                  <c:v>31.100000000000065</c:v>
                </c:pt>
                <c:pt idx="231">
                  <c:v>31.170000000000066</c:v>
                </c:pt>
                <c:pt idx="232">
                  <c:v>31.240000000000066</c:v>
                </c:pt>
                <c:pt idx="233">
                  <c:v>31.310000000000066</c:v>
                </c:pt>
                <c:pt idx="234">
                  <c:v>31.380000000000067</c:v>
                </c:pt>
                <c:pt idx="235">
                  <c:v>31.450000000000067</c:v>
                </c:pt>
                <c:pt idx="236">
                  <c:v>31.520000000000067</c:v>
                </c:pt>
                <c:pt idx="237">
                  <c:v>31.590000000000067</c:v>
                </c:pt>
                <c:pt idx="238">
                  <c:v>31.660000000000068</c:v>
                </c:pt>
                <c:pt idx="239">
                  <c:v>31.730000000000068</c:v>
                </c:pt>
                <c:pt idx="240">
                  <c:v>31.800000000000068</c:v>
                </c:pt>
                <c:pt idx="241">
                  <c:v>31.870000000000068</c:v>
                </c:pt>
                <c:pt idx="242">
                  <c:v>31.940000000000069</c:v>
                </c:pt>
                <c:pt idx="243">
                  <c:v>32.010000000000069</c:v>
                </c:pt>
                <c:pt idx="244">
                  <c:v>32.080000000000069</c:v>
                </c:pt>
                <c:pt idx="245">
                  <c:v>32.15000000000007</c:v>
                </c:pt>
                <c:pt idx="246">
                  <c:v>32.22000000000007</c:v>
                </c:pt>
                <c:pt idx="247">
                  <c:v>32.29000000000007</c:v>
                </c:pt>
                <c:pt idx="248">
                  <c:v>32.36000000000007</c:v>
                </c:pt>
                <c:pt idx="249">
                  <c:v>32.430000000000071</c:v>
                </c:pt>
                <c:pt idx="250">
                  <c:v>32.500000000000071</c:v>
                </c:pt>
                <c:pt idx="251">
                  <c:v>32.570000000000071</c:v>
                </c:pt>
                <c:pt idx="252">
                  <c:v>32.640000000000072</c:v>
                </c:pt>
                <c:pt idx="253">
                  <c:v>32.710000000000072</c:v>
                </c:pt>
                <c:pt idx="254">
                  <c:v>32.780000000000072</c:v>
                </c:pt>
                <c:pt idx="255">
                  <c:v>32.850000000000072</c:v>
                </c:pt>
                <c:pt idx="256">
                  <c:v>32.920000000000073</c:v>
                </c:pt>
                <c:pt idx="257">
                  <c:v>32.990000000000073</c:v>
                </c:pt>
                <c:pt idx="258">
                  <c:v>33.060000000000073</c:v>
                </c:pt>
                <c:pt idx="259">
                  <c:v>33.130000000000074</c:v>
                </c:pt>
                <c:pt idx="260">
                  <c:v>33.200000000000074</c:v>
                </c:pt>
                <c:pt idx="261">
                  <c:v>33.270000000000074</c:v>
                </c:pt>
                <c:pt idx="262">
                  <c:v>33.340000000000074</c:v>
                </c:pt>
                <c:pt idx="263">
                  <c:v>33.410000000000075</c:v>
                </c:pt>
                <c:pt idx="264">
                  <c:v>33.480000000000075</c:v>
                </c:pt>
                <c:pt idx="265">
                  <c:v>33.550000000000075</c:v>
                </c:pt>
                <c:pt idx="266">
                  <c:v>33.620000000000076</c:v>
                </c:pt>
                <c:pt idx="267">
                  <c:v>33.690000000000076</c:v>
                </c:pt>
                <c:pt idx="268">
                  <c:v>33.760000000000076</c:v>
                </c:pt>
                <c:pt idx="269">
                  <c:v>33.830000000000076</c:v>
                </c:pt>
                <c:pt idx="270">
                  <c:v>33.900000000000077</c:v>
                </c:pt>
                <c:pt idx="271">
                  <c:v>33.970000000000077</c:v>
                </c:pt>
                <c:pt idx="272">
                  <c:v>34.040000000000077</c:v>
                </c:pt>
                <c:pt idx="273">
                  <c:v>34.110000000000078</c:v>
                </c:pt>
                <c:pt idx="274">
                  <c:v>34.180000000000078</c:v>
                </c:pt>
                <c:pt idx="275">
                  <c:v>34.250000000000078</c:v>
                </c:pt>
                <c:pt idx="276">
                  <c:v>34.320000000000078</c:v>
                </c:pt>
                <c:pt idx="277">
                  <c:v>34.390000000000079</c:v>
                </c:pt>
                <c:pt idx="278">
                  <c:v>34.460000000000079</c:v>
                </c:pt>
                <c:pt idx="279">
                  <c:v>34.530000000000079</c:v>
                </c:pt>
                <c:pt idx="280">
                  <c:v>34.60000000000008</c:v>
                </c:pt>
                <c:pt idx="281">
                  <c:v>34.67000000000008</c:v>
                </c:pt>
                <c:pt idx="282">
                  <c:v>34.74000000000008</c:v>
                </c:pt>
                <c:pt idx="283">
                  <c:v>34.81000000000008</c:v>
                </c:pt>
                <c:pt idx="284">
                  <c:v>34.880000000000081</c:v>
                </c:pt>
                <c:pt idx="285">
                  <c:v>34.950000000000081</c:v>
                </c:pt>
                <c:pt idx="286">
                  <c:v>35.020000000000081</c:v>
                </c:pt>
                <c:pt idx="287">
                  <c:v>35.090000000000082</c:v>
                </c:pt>
              </c:numCache>
            </c:numRef>
          </c:val>
          <c:smooth val="0"/>
        </c:ser>
        <c:ser>
          <c:idx val="3"/>
          <c:order val="3"/>
          <c:tx>
            <c:strRef>
              <c:f>ChtLd!$E$1</c:f>
              <c:strCache>
                <c:ptCount val="1"/>
                <c:pt idx="0">
                  <c:v>Line 4</c:v>
                </c:pt>
              </c:strCache>
            </c:strRef>
          </c:tx>
          <c:marker>
            <c:symbol val="none"/>
          </c:marker>
          <c:cat>
            <c:numRef>
              <c:f>ChtLd!$A$2:$A$289</c:f>
              <c:numCache>
                <c:formatCode>h:mm;@</c:formatCode>
                <c:ptCount val="288"/>
                <c:pt idx="0">
                  <c:v>0</c:v>
                </c:pt>
                <c:pt idx="1">
                  <c:v>3.472222222222222E-3</c:v>
                </c:pt>
                <c:pt idx="2">
                  <c:v>6.9444444444444397E-3</c:v>
                </c:pt>
                <c:pt idx="3">
                  <c:v>1.0416666666666701E-2</c:v>
                </c:pt>
                <c:pt idx="4">
                  <c:v>1.38888888888889E-2</c:v>
                </c:pt>
                <c:pt idx="5">
                  <c:v>1.7361111111111101E-2</c:v>
                </c:pt>
                <c:pt idx="6">
                  <c:v>2.0833333333333301E-2</c:v>
                </c:pt>
                <c:pt idx="7">
                  <c:v>2.4305555555555601E-2</c:v>
                </c:pt>
                <c:pt idx="8">
                  <c:v>2.7777777777777801E-2</c:v>
                </c:pt>
                <c:pt idx="9">
                  <c:v>3.125E-2</c:v>
                </c:pt>
                <c:pt idx="10">
                  <c:v>3.4722222222222203E-2</c:v>
                </c:pt>
                <c:pt idx="11">
                  <c:v>3.8194444444444399E-2</c:v>
                </c:pt>
                <c:pt idx="12">
                  <c:v>4.1666666666666699E-2</c:v>
                </c:pt>
                <c:pt idx="13">
                  <c:v>4.5138888888888902E-2</c:v>
                </c:pt>
                <c:pt idx="14">
                  <c:v>4.8611111111111098E-2</c:v>
                </c:pt>
                <c:pt idx="15">
                  <c:v>5.2083333333333301E-2</c:v>
                </c:pt>
                <c:pt idx="16">
                  <c:v>5.5555555555555601E-2</c:v>
                </c:pt>
                <c:pt idx="17">
                  <c:v>5.9027777777777797E-2</c:v>
                </c:pt>
                <c:pt idx="18">
                  <c:v>6.25E-2</c:v>
                </c:pt>
                <c:pt idx="19">
                  <c:v>6.5972222222222196E-2</c:v>
                </c:pt>
                <c:pt idx="20">
                  <c:v>6.9444444444444406E-2</c:v>
                </c:pt>
                <c:pt idx="21">
                  <c:v>7.2916666666666699E-2</c:v>
                </c:pt>
                <c:pt idx="22">
                  <c:v>7.6388888888888895E-2</c:v>
                </c:pt>
                <c:pt idx="23">
                  <c:v>7.9861111111111105E-2</c:v>
                </c:pt>
                <c:pt idx="24">
                  <c:v>8.3333333333333301E-2</c:v>
                </c:pt>
                <c:pt idx="25">
                  <c:v>8.6805555555555594E-2</c:v>
                </c:pt>
                <c:pt idx="26">
                  <c:v>9.0277777777777804E-2</c:v>
                </c:pt>
                <c:pt idx="27">
                  <c:v>9.375E-2</c:v>
                </c:pt>
                <c:pt idx="28">
                  <c:v>9.7222222222222196E-2</c:v>
                </c:pt>
                <c:pt idx="29">
                  <c:v>0.100694444444444</c:v>
                </c:pt>
                <c:pt idx="30">
                  <c:v>0.104166666666667</c:v>
                </c:pt>
                <c:pt idx="31">
                  <c:v>0.10763888888888901</c:v>
                </c:pt>
                <c:pt idx="32">
                  <c:v>0.11111111111111099</c:v>
                </c:pt>
                <c:pt idx="33">
                  <c:v>0.114583333333333</c:v>
                </c:pt>
                <c:pt idx="34">
                  <c:v>0.118055555555556</c:v>
                </c:pt>
                <c:pt idx="35">
                  <c:v>0.121527777777778</c:v>
                </c:pt>
                <c:pt idx="36">
                  <c:v>0.125</c:v>
                </c:pt>
                <c:pt idx="37">
                  <c:v>0.12847222222222199</c:v>
                </c:pt>
                <c:pt idx="38">
                  <c:v>0.131944444444444</c:v>
                </c:pt>
                <c:pt idx="39">
                  <c:v>0.13541666666666699</c:v>
                </c:pt>
                <c:pt idx="40">
                  <c:v>0.13888888888888901</c:v>
                </c:pt>
                <c:pt idx="41">
                  <c:v>0.14236111111111099</c:v>
                </c:pt>
                <c:pt idx="42">
                  <c:v>0.14583333333333301</c:v>
                </c:pt>
                <c:pt idx="43">
                  <c:v>0.149305555555556</c:v>
                </c:pt>
                <c:pt idx="44">
                  <c:v>0.15277777777777801</c:v>
                </c:pt>
                <c:pt idx="45">
                  <c:v>0.15625</c:v>
                </c:pt>
                <c:pt idx="46">
                  <c:v>0.15972222222222199</c:v>
                </c:pt>
                <c:pt idx="47">
                  <c:v>0.163194444444444</c:v>
                </c:pt>
                <c:pt idx="48">
                  <c:v>0.16666666666666699</c:v>
                </c:pt>
                <c:pt idx="49">
                  <c:v>0.17013888888888901</c:v>
                </c:pt>
                <c:pt idx="50">
                  <c:v>0.17361111111111099</c:v>
                </c:pt>
                <c:pt idx="51">
                  <c:v>0.17708333333333301</c:v>
                </c:pt>
                <c:pt idx="52">
                  <c:v>0.180555555555556</c:v>
                </c:pt>
                <c:pt idx="53">
                  <c:v>0.18402777777777801</c:v>
                </c:pt>
                <c:pt idx="54">
                  <c:v>0.1875</c:v>
                </c:pt>
                <c:pt idx="55">
                  <c:v>0.19097222222222199</c:v>
                </c:pt>
                <c:pt idx="56">
                  <c:v>0.194444444444444</c:v>
                </c:pt>
                <c:pt idx="57">
                  <c:v>0.19791666666666699</c:v>
                </c:pt>
                <c:pt idx="58">
                  <c:v>0.20138888888888901</c:v>
                </c:pt>
                <c:pt idx="59">
                  <c:v>0.20486111111111099</c:v>
                </c:pt>
                <c:pt idx="60">
                  <c:v>0.20833333333333301</c:v>
                </c:pt>
                <c:pt idx="61">
                  <c:v>0.211805555555556</c:v>
                </c:pt>
                <c:pt idx="62">
                  <c:v>0.21527777777777801</c:v>
                </c:pt>
                <c:pt idx="63">
                  <c:v>0.21875</c:v>
                </c:pt>
                <c:pt idx="64">
                  <c:v>0.22222222222222199</c:v>
                </c:pt>
                <c:pt idx="65">
                  <c:v>0.225694444444444</c:v>
                </c:pt>
                <c:pt idx="66">
                  <c:v>0.22916666666666699</c:v>
                </c:pt>
                <c:pt idx="67">
                  <c:v>0.23263888888888901</c:v>
                </c:pt>
                <c:pt idx="68">
                  <c:v>0.23611111111111099</c:v>
                </c:pt>
                <c:pt idx="69">
                  <c:v>0.23958333333333301</c:v>
                </c:pt>
                <c:pt idx="70">
                  <c:v>0.243055555555556</c:v>
                </c:pt>
                <c:pt idx="71">
                  <c:v>0.24652777777777801</c:v>
                </c:pt>
                <c:pt idx="72">
                  <c:v>0.25</c:v>
                </c:pt>
                <c:pt idx="73">
                  <c:v>0.25347222222222199</c:v>
                </c:pt>
                <c:pt idx="74">
                  <c:v>0.25694444444444398</c:v>
                </c:pt>
                <c:pt idx="75">
                  <c:v>0.26041666666666702</c:v>
                </c:pt>
                <c:pt idx="76">
                  <c:v>0.26388888888888901</c:v>
                </c:pt>
                <c:pt idx="77">
                  <c:v>0.26736111111111099</c:v>
                </c:pt>
                <c:pt idx="78">
                  <c:v>0.27083333333333298</c:v>
                </c:pt>
                <c:pt idx="79">
                  <c:v>0.27430555555555602</c:v>
                </c:pt>
                <c:pt idx="80">
                  <c:v>0.27777777777777801</c:v>
                </c:pt>
                <c:pt idx="81">
                  <c:v>0.28125</c:v>
                </c:pt>
                <c:pt idx="82">
                  <c:v>0.28472222222222199</c:v>
                </c:pt>
                <c:pt idx="83">
                  <c:v>0.28819444444444398</c:v>
                </c:pt>
                <c:pt idx="84">
                  <c:v>0.29166666666666702</c:v>
                </c:pt>
                <c:pt idx="85">
                  <c:v>0.29513888888888901</c:v>
                </c:pt>
                <c:pt idx="86">
                  <c:v>0.29861111111111099</c:v>
                </c:pt>
                <c:pt idx="87">
                  <c:v>0.30208333333333298</c:v>
                </c:pt>
                <c:pt idx="88">
                  <c:v>0.30555555555555602</c:v>
                </c:pt>
                <c:pt idx="89">
                  <c:v>0.30902777777777801</c:v>
                </c:pt>
                <c:pt idx="90">
                  <c:v>0.3125</c:v>
                </c:pt>
                <c:pt idx="91">
                  <c:v>0.31597222222222199</c:v>
                </c:pt>
                <c:pt idx="92">
                  <c:v>0.31944444444444398</c:v>
                </c:pt>
                <c:pt idx="93">
                  <c:v>0.32291666666666702</c:v>
                </c:pt>
                <c:pt idx="94">
                  <c:v>0.32638888888888901</c:v>
                </c:pt>
                <c:pt idx="95">
                  <c:v>0.32986111111111099</c:v>
                </c:pt>
                <c:pt idx="96">
                  <c:v>0.33333333333333298</c:v>
                </c:pt>
                <c:pt idx="97">
                  <c:v>0.33680555555555602</c:v>
                </c:pt>
                <c:pt idx="98">
                  <c:v>0.34027777777777801</c:v>
                </c:pt>
                <c:pt idx="99">
                  <c:v>0.34375</c:v>
                </c:pt>
                <c:pt idx="100">
                  <c:v>0.34722222222222199</c:v>
                </c:pt>
                <c:pt idx="101">
                  <c:v>0.35069444444444398</c:v>
                </c:pt>
                <c:pt idx="102">
                  <c:v>0.35416666666666702</c:v>
                </c:pt>
                <c:pt idx="103">
                  <c:v>0.35763888888888901</c:v>
                </c:pt>
                <c:pt idx="104">
                  <c:v>0.36111111111111099</c:v>
                </c:pt>
                <c:pt idx="105">
                  <c:v>0.36458333333333298</c:v>
                </c:pt>
                <c:pt idx="106">
                  <c:v>0.36805555555555602</c:v>
                </c:pt>
                <c:pt idx="107">
                  <c:v>0.37152777777777801</c:v>
                </c:pt>
                <c:pt idx="108">
                  <c:v>0.375</c:v>
                </c:pt>
                <c:pt idx="109">
                  <c:v>0.37847222222222199</c:v>
                </c:pt>
                <c:pt idx="110">
                  <c:v>0.38194444444444398</c:v>
                </c:pt>
                <c:pt idx="111">
                  <c:v>0.38541666666666702</c:v>
                </c:pt>
                <c:pt idx="112">
                  <c:v>0.38888888888888901</c:v>
                </c:pt>
                <c:pt idx="113">
                  <c:v>0.39236111111111099</c:v>
                </c:pt>
                <c:pt idx="114">
                  <c:v>0.39583333333333298</c:v>
                </c:pt>
                <c:pt idx="115">
                  <c:v>0.39930555555555602</c:v>
                </c:pt>
                <c:pt idx="116">
                  <c:v>0.40277777777777801</c:v>
                </c:pt>
                <c:pt idx="117">
                  <c:v>0.40625</c:v>
                </c:pt>
                <c:pt idx="118">
                  <c:v>0.40972222222222199</c:v>
                </c:pt>
                <c:pt idx="119">
                  <c:v>0.41319444444444398</c:v>
                </c:pt>
                <c:pt idx="120">
                  <c:v>0.41666666666666702</c:v>
                </c:pt>
                <c:pt idx="121">
                  <c:v>0.42013888888888901</c:v>
                </c:pt>
                <c:pt idx="122">
                  <c:v>0.42361111111111099</c:v>
                </c:pt>
                <c:pt idx="123">
                  <c:v>0.42708333333333298</c:v>
                </c:pt>
                <c:pt idx="124">
                  <c:v>0.43055555555555602</c:v>
                </c:pt>
                <c:pt idx="125">
                  <c:v>0.43402777777777801</c:v>
                </c:pt>
                <c:pt idx="126">
                  <c:v>0.4375</c:v>
                </c:pt>
                <c:pt idx="127">
                  <c:v>0.44097222222222199</c:v>
                </c:pt>
                <c:pt idx="128">
                  <c:v>0.44444444444444398</c:v>
                </c:pt>
                <c:pt idx="129">
                  <c:v>0.44791666666666702</c:v>
                </c:pt>
                <c:pt idx="130">
                  <c:v>0.45138888888888901</c:v>
                </c:pt>
                <c:pt idx="131">
                  <c:v>0.45486111111111099</c:v>
                </c:pt>
                <c:pt idx="132">
                  <c:v>0.45833333333333298</c:v>
                </c:pt>
                <c:pt idx="133">
                  <c:v>0.46180555555555602</c:v>
                </c:pt>
                <c:pt idx="134">
                  <c:v>0.46527777777777801</c:v>
                </c:pt>
                <c:pt idx="135">
                  <c:v>0.46875</c:v>
                </c:pt>
                <c:pt idx="136">
                  <c:v>0.47222222222222199</c:v>
                </c:pt>
                <c:pt idx="137">
                  <c:v>0.47569444444444398</c:v>
                </c:pt>
                <c:pt idx="138">
                  <c:v>0.47916666666666702</c:v>
                </c:pt>
                <c:pt idx="139">
                  <c:v>0.48263888888888901</c:v>
                </c:pt>
                <c:pt idx="140">
                  <c:v>0.48611111111111099</c:v>
                </c:pt>
                <c:pt idx="141">
                  <c:v>0.48958333333333298</c:v>
                </c:pt>
                <c:pt idx="142">
                  <c:v>0.49305555555555602</c:v>
                </c:pt>
                <c:pt idx="143">
                  <c:v>0.49652777777777801</c:v>
                </c:pt>
                <c:pt idx="144">
                  <c:v>0.5</c:v>
                </c:pt>
                <c:pt idx="145">
                  <c:v>0.50347222222222199</c:v>
                </c:pt>
                <c:pt idx="146">
                  <c:v>0.50694444444444398</c:v>
                </c:pt>
                <c:pt idx="147">
                  <c:v>0.51041666666666696</c:v>
                </c:pt>
                <c:pt idx="148">
                  <c:v>0.51388888888888895</c:v>
                </c:pt>
                <c:pt idx="149">
                  <c:v>0.51736111111111105</c:v>
                </c:pt>
                <c:pt idx="150">
                  <c:v>0.52083333333333304</c:v>
                </c:pt>
                <c:pt idx="151">
                  <c:v>0.52430555555555602</c:v>
                </c:pt>
                <c:pt idx="152">
                  <c:v>0.52777777777777801</c:v>
                </c:pt>
                <c:pt idx="153">
                  <c:v>0.53125</c:v>
                </c:pt>
                <c:pt idx="154">
                  <c:v>0.53472222222222199</c:v>
                </c:pt>
                <c:pt idx="155">
                  <c:v>0.53819444444444398</c:v>
                </c:pt>
                <c:pt idx="156">
                  <c:v>0.54166666666666696</c:v>
                </c:pt>
                <c:pt idx="157">
                  <c:v>0.54513888888888895</c:v>
                </c:pt>
                <c:pt idx="158">
                  <c:v>0.54861111111111105</c:v>
                </c:pt>
                <c:pt idx="159">
                  <c:v>0.55208333333333304</c:v>
                </c:pt>
                <c:pt idx="160">
                  <c:v>0.55555555555555602</c:v>
                </c:pt>
                <c:pt idx="161">
                  <c:v>0.55902777777777801</c:v>
                </c:pt>
                <c:pt idx="162">
                  <c:v>0.5625</c:v>
                </c:pt>
                <c:pt idx="163">
                  <c:v>0.56597222222222199</c:v>
                </c:pt>
                <c:pt idx="164">
                  <c:v>0.56944444444444398</c:v>
                </c:pt>
                <c:pt idx="165">
                  <c:v>0.57291666666666696</c:v>
                </c:pt>
                <c:pt idx="166">
                  <c:v>0.57638888888888895</c:v>
                </c:pt>
                <c:pt idx="167">
                  <c:v>0.57986111111111105</c:v>
                </c:pt>
                <c:pt idx="168">
                  <c:v>0.58333333333333304</c:v>
                </c:pt>
                <c:pt idx="169">
                  <c:v>0.58680555555555503</c:v>
                </c:pt>
                <c:pt idx="170">
                  <c:v>0.59027777777777801</c:v>
                </c:pt>
                <c:pt idx="171">
                  <c:v>0.59375</c:v>
                </c:pt>
                <c:pt idx="172">
                  <c:v>0.59722222222222199</c:v>
                </c:pt>
                <c:pt idx="173">
                  <c:v>0.60069444444444398</c:v>
                </c:pt>
                <c:pt idx="174">
                  <c:v>0.60416666666666696</c:v>
                </c:pt>
                <c:pt idx="175">
                  <c:v>0.60763888888888895</c:v>
                </c:pt>
                <c:pt idx="176">
                  <c:v>0.61111111111111105</c:v>
                </c:pt>
                <c:pt idx="177">
                  <c:v>0.61458333333333304</c:v>
                </c:pt>
                <c:pt idx="178">
                  <c:v>0.61805555555555503</c:v>
                </c:pt>
                <c:pt idx="179">
                  <c:v>0.62152777777777801</c:v>
                </c:pt>
                <c:pt idx="180">
                  <c:v>0.625</c:v>
                </c:pt>
                <c:pt idx="181">
                  <c:v>0.62847222222222199</c:v>
                </c:pt>
                <c:pt idx="182">
                  <c:v>0.63194444444444398</c:v>
                </c:pt>
                <c:pt idx="183">
                  <c:v>0.63541666666666696</c:v>
                </c:pt>
                <c:pt idx="184">
                  <c:v>0.63888888888888895</c:v>
                </c:pt>
                <c:pt idx="185">
                  <c:v>0.64236111111111105</c:v>
                </c:pt>
                <c:pt idx="186">
                  <c:v>0.64583333333333304</c:v>
                </c:pt>
                <c:pt idx="187">
                  <c:v>0.64930555555555503</c:v>
                </c:pt>
                <c:pt idx="188">
                  <c:v>0.65277777777777801</c:v>
                </c:pt>
                <c:pt idx="189">
                  <c:v>0.65625</c:v>
                </c:pt>
                <c:pt idx="190">
                  <c:v>0.65972222222222199</c:v>
                </c:pt>
                <c:pt idx="191">
                  <c:v>0.66319444444444398</c:v>
                </c:pt>
                <c:pt idx="192">
                  <c:v>0.66666666666666696</c:v>
                </c:pt>
                <c:pt idx="193">
                  <c:v>0.67013888888888895</c:v>
                </c:pt>
                <c:pt idx="194">
                  <c:v>0.67361111111111105</c:v>
                </c:pt>
                <c:pt idx="195">
                  <c:v>0.67708333333333304</c:v>
                </c:pt>
                <c:pt idx="196">
                  <c:v>0.68055555555555503</c:v>
                </c:pt>
                <c:pt idx="197">
                  <c:v>0.68402777777777801</c:v>
                </c:pt>
                <c:pt idx="198">
                  <c:v>0.6875</c:v>
                </c:pt>
                <c:pt idx="199">
                  <c:v>0.69097222222222199</c:v>
                </c:pt>
                <c:pt idx="200">
                  <c:v>0.69444444444444398</c:v>
                </c:pt>
                <c:pt idx="201">
                  <c:v>0.69791666666666696</c:v>
                </c:pt>
                <c:pt idx="202">
                  <c:v>0.70138888888888895</c:v>
                </c:pt>
                <c:pt idx="203">
                  <c:v>0.70486111111111105</c:v>
                </c:pt>
                <c:pt idx="204">
                  <c:v>0.70833333333333304</c:v>
                </c:pt>
                <c:pt idx="205">
                  <c:v>0.71180555555555503</c:v>
                </c:pt>
                <c:pt idx="206">
                  <c:v>0.71527777777777801</c:v>
                </c:pt>
                <c:pt idx="207">
                  <c:v>0.71875</c:v>
                </c:pt>
                <c:pt idx="208">
                  <c:v>0.72222222222222199</c:v>
                </c:pt>
                <c:pt idx="209">
                  <c:v>0.72569444444444398</c:v>
                </c:pt>
                <c:pt idx="210">
                  <c:v>0.72916666666666696</c:v>
                </c:pt>
                <c:pt idx="211">
                  <c:v>0.73263888888888895</c:v>
                </c:pt>
                <c:pt idx="212">
                  <c:v>0.73611111111111105</c:v>
                </c:pt>
                <c:pt idx="213">
                  <c:v>0.73958333333333304</c:v>
                </c:pt>
                <c:pt idx="214">
                  <c:v>0.74305555555555503</c:v>
                </c:pt>
                <c:pt idx="215">
                  <c:v>0.74652777777777801</c:v>
                </c:pt>
                <c:pt idx="216">
                  <c:v>0.75</c:v>
                </c:pt>
                <c:pt idx="217">
                  <c:v>0.75347222222222199</c:v>
                </c:pt>
                <c:pt idx="218">
                  <c:v>0.75694444444444398</c:v>
                </c:pt>
                <c:pt idx="219">
                  <c:v>0.76041666666666696</c:v>
                </c:pt>
                <c:pt idx="220">
                  <c:v>0.76388888888888895</c:v>
                </c:pt>
                <c:pt idx="221">
                  <c:v>0.76736111111111105</c:v>
                </c:pt>
                <c:pt idx="222">
                  <c:v>0.77083333333333304</c:v>
                </c:pt>
                <c:pt idx="223">
                  <c:v>0.77430555555555503</c:v>
                </c:pt>
                <c:pt idx="224">
                  <c:v>0.77777777777777801</c:v>
                </c:pt>
                <c:pt idx="225">
                  <c:v>0.78125</c:v>
                </c:pt>
                <c:pt idx="226">
                  <c:v>0.78472222222222199</c:v>
                </c:pt>
                <c:pt idx="227">
                  <c:v>0.78819444444444398</c:v>
                </c:pt>
                <c:pt idx="228">
                  <c:v>0.79166666666666696</c:v>
                </c:pt>
                <c:pt idx="229">
                  <c:v>0.79513888888888895</c:v>
                </c:pt>
                <c:pt idx="230">
                  <c:v>0.79861111111111105</c:v>
                </c:pt>
                <c:pt idx="231">
                  <c:v>0.80208333333333304</c:v>
                </c:pt>
                <c:pt idx="232">
                  <c:v>0.80555555555555503</c:v>
                </c:pt>
                <c:pt idx="233">
                  <c:v>0.80902777777777801</c:v>
                </c:pt>
                <c:pt idx="234">
                  <c:v>0.8125</c:v>
                </c:pt>
                <c:pt idx="235">
                  <c:v>0.81597222222222199</c:v>
                </c:pt>
                <c:pt idx="236">
                  <c:v>0.81944444444444398</c:v>
                </c:pt>
                <c:pt idx="237">
                  <c:v>0.82291666666666696</c:v>
                </c:pt>
                <c:pt idx="238">
                  <c:v>0.82638888888888895</c:v>
                </c:pt>
                <c:pt idx="239">
                  <c:v>0.82986111111111105</c:v>
                </c:pt>
                <c:pt idx="240">
                  <c:v>0.83333333333333304</c:v>
                </c:pt>
                <c:pt idx="241">
                  <c:v>0.83680555555555503</c:v>
                </c:pt>
                <c:pt idx="242">
                  <c:v>0.84027777777777801</c:v>
                </c:pt>
                <c:pt idx="243">
                  <c:v>0.84375</c:v>
                </c:pt>
                <c:pt idx="244">
                  <c:v>0.84722222222222199</c:v>
                </c:pt>
                <c:pt idx="245">
                  <c:v>0.85069444444444398</c:v>
                </c:pt>
                <c:pt idx="246">
                  <c:v>0.85416666666666696</c:v>
                </c:pt>
                <c:pt idx="247">
                  <c:v>0.85763888888888895</c:v>
                </c:pt>
                <c:pt idx="248">
                  <c:v>0.86111111111111105</c:v>
                </c:pt>
                <c:pt idx="249">
                  <c:v>0.86458333333333304</c:v>
                </c:pt>
                <c:pt idx="250">
                  <c:v>0.86805555555555503</c:v>
                </c:pt>
                <c:pt idx="251">
                  <c:v>0.87152777777777801</c:v>
                </c:pt>
                <c:pt idx="252">
                  <c:v>0.875</c:v>
                </c:pt>
                <c:pt idx="253">
                  <c:v>0.87847222222222199</c:v>
                </c:pt>
                <c:pt idx="254">
                  <c:v>0.88194444444444398</c:v>
                </c:pt>
                <c:pt idx="255">
                  <c:v>0.88541666666666696</c:v>
                </c:pt>
                <c:pt idx="256">
                  <c:v>0.88888888888888895</c:v>
                </c:pt>
                <c:pt idx="257">
                  <c:v>0.89236111111111105</c:v>
                </c:pt>
                <c:pt idx="258">
                  <c:v>0.89583333333333304</c:v>
                </c:pt>
                <c:pt idx="259">
                  <c:v>0.89930555555555503</c:v>
                </c:pt>
                <c:pt idx="260">
                  <c:v>0.90277777777777801</c:v>
                </c:pt>
                <c:pt idx="261">
                  <c:v>0.90625</c:v>
                </c:pt>
                <c:pt idx="262">
                  <c:v>0.90972222222222199</c:v>
                </c:pt>
                <c:pt idx="263">
                  <c:v>0.91319444444444398</c:v>
                </c:pt>
                <c:pt idx="264">
                  <c:v>0.91666666666666696</c:v>
                </c:pt>
                <c:pt idx="265">
                  <c:v>0.92013888888888895</c:v>
                </c:pt>
                <c:pt idx="266">
                  <c:v>0.92361111111111105</c:v>
                </c:pt>
                <c:pt idx="267">
                  <c:v>0.92708333333333304</c:v>
                </c:pt>
                <c:pt idx="268">
                  <c:v>0.93055555555555503</c:v>
                </c:pt>
                <c:pt idx="269">
                  <c:v>0.93402777777777801</c:v>
                </c:pt>
                <c:pt idx="270">
                  <c:v>0.9375</c:v>
                </c:pt>
                <c:pt idx="271">
                  <c:v>0.94097222222222199</c:v>
                </c:pt>
                <c:pt idx="272">
                  <c:v>0.94444444444444398</c:v>
                </c:pt>
                <c:pt idx="273">
                  <c:v>0.94791666666666696</c:v>
                </c:pt>
                <c:pt idx="274">
                  <c:v>0.95138888888888895</c:v>
                </c:pt>
                <c:pt idx="275">
                  <c:v>0.95486111111111105</c:v>
                </c:pt>
                <c:pt idx="276">
                  <c:v>0.95833333333333304</c:v>
                </c:pt>
                <c:pt idx="277">
                  <c:v>0.96180555555555503</c:v>
                </c:pt>
                <c:pt idx="278">
                  <c:v>0.96527777777777801</c:v>
                </c:pt>
                <c:pt idx="279">
                  <c:v>0.96875</c:v>
                </c:pt>
                <c:pt idx="280">
                  <c:v>0.97222222222222199</c:v>
                </c:pt>
                <c:pt idx="281">
                  <c:v>0.97569444444444398</c:v>
                </c:pt>
                <c:pt idx="282">
                  <c:v>0.97916666666666696</c:v>
                </c:pt>
                <c:pt idx="283">
                  <c:v>0.98263888888888895</c:v>
                </c:pt>
                <c:pt idx="284">
                  <c:v>0.98611111111111105</c:v>
                </c:pt>
                <c:pt idx="285">
                  <c:v>0.98958333333333304</c:v>
                </c:pt>
                <c:pt idx="286">
                  <c:v>0.99305555555555503</c:v>
                </c:pt>
                <c:pt idx="287">
                  <c:v>0.99652777777777801</c:v>
                </c:pt>
              </c:numCache>
            </c:numRef>
          </c:cat>
          <c:val>
            <c:numRef>
              <c:f>ChtLd!$E$2:$E$289</c:f>
              <c:numCache>
                <c:formatCode>0.00</c:formatCode>
                <c:ptCount val="288"/>
                <c:pt idx="0" formatCode="0.0">
                  <c:v>20</c:v>
                </c:pt>
                <c:pt idx="1">
                  <c:v>20.059999999999999</c:v>
                </c:pt>
                <c:pt idx="2">
                  <c:v>20.119999999999997</c:v>
                </c:pt>
                <c:pt idx="3">
                  <c:v>20.179999999999996</c:v>
                </c:pt>
                <c:pt idx="4">
                  <c:v>20.239999999999995</c:v>
                </c:pt>
                <c:pt idx="5">
                  <c:v>20.299999999999994</c:v>
                </c:pt>
                <c:pt idx="6">
                  <c:v>20.359999999999992</c:v>
                </c:pt>
                <c:pt idx="7">
                  <c:v>20.419999999999991</c:v>
                </c:pt>
                <c:pt idx="8">
                  <c:v>20.47999999999999</c:v>
                </c:pt>
                <c:pt idx="9">
                  <c:v>20.539999999999988</c:v>
                </c:pt>
                <c:pt idx="10">
                  <c:v>20.599999999999987</c:v>
                </c:pt>
                <c:pt idx="11">
                  <c:v>20.659999999999986</c:v>
                </c:pt>
                <c:pt idx="12">
                  <c:v>20.719999999999985</c:v>
                </c:pt>
                <c:pt idx="13">
                  <c:v>20.779999999999983</c:v>
                </c:pt>
                <c:pt idx="14">
                  <c:v>20.839999999999982</c:v>
                </c:pt>
                <c:pt idx="15">
                  <c:v>20.899999999999981</c:v>
                </c:pt>
                <c:pt idx="16">
                  <c:v>20.95999999999998</c:v>
                </c:pt>
                <c:pt idx="17">
                  <c:v>21.019999999999978</c:v>
                </c:pt>
                <c:pt idx="18">
                  <c:v>21.079999999999977</c:v>
                </c:pt>
                <c:pt idx="19">
                  <c:v>21.139999999999976</c:v>
                </c:pt>
                <c:pt idx="20">
                  <c:v>21.199999999999974</c:v>
                </c:pt>
                <c:pt idx="21">
                  <c:v>21.259999999999973</c:v>
                </c:pt>
                <c:pt idx="22">
                  <c:v>21.319999999999972</c:v>
                </c:pt>
                <c:pt idx="23">
                  <c:v>21.379999999999971</c:v>
                </c:pt>
                <c:pt idx="24">
                  <c:v>21.439999999999969</c:v>
                </c:pt>
                <c:pt idx="25">
                  <c:v>21.499999999999968</c:v>
                </c:pt>
                <c:pt idx="26">
                  <c:v>21.559999999999967</c:v>
                </c:pt>
                <c:pt idx="27">
                  <c:v>21.619999999999965</c:v>
                </c:pt>
                <c:pt idx="28">
                  <c:v>21.679999999999964</c:v>
                </c:pt>
                <c:pt idx="29">
                  <c:v>21.739999999999963</c:v>
                </c:pt>
                <c:pt idx="30">
                  <c:v>21.799999999999962</c:v>
                </c:pt>
                <c:pt idx="31">
                  <c:v>21.85999999999996</c:v>
                </c:pt>
                <c:pt idx="32">
                  <c:v>21.919999999999959</c:v>
                </c:pt>
                <c:pt idx="33">
                  <c:v>21.979999999999958</c:v>
                </c:pt>
                <c:pt idx="34">
                  <c:v>22.039999999999957</c:v>
                </c:pt>
                <c:pt idx="35">
                  <c:v>22.099999999999955</c:v>
                </c:pt>
                <c:pt idx="36">
                  <c:v>22.159999999999954</c:v>
                </c:pt>
                <c:pt idx="37">
                  <c:v>22.219999999999953</c:v>
                </c:pt>
                <c:pt idx="38">
                  <c:v>22.279999999999951</c:v>
                </c:pt>
                <c:pt idx="39">
                  <c:v>22.33999999999995</c:v>
                </c:pt>
                <c:pt idx="40">
                  <c:v>22.399999999999949</c:v>
                </c:pt>
                <c:pt idx="41">
                  <c:v>22.459999999999948</c:v>
                </c:pt>
                <c:pt idx="42">
                  <c:v>22.519999999999946</c:v>
                </c:pt>
                <c:pt idx="43">
                  <c:v>22.579999999999945</c:v>
                </c:pt>
                <c:pt idx="44">
                  <c:v>22.639999999999944</c:v>
                </c:pt>
                <c:pt idx="45">
                  <c:v>22.699999999999942</c:v>
                </c:pt>
                <c:pt idx="46">
                  <c:v>22.759999999999941</c:v>
                </c:pt>
                <c:pt idx="47">
                  <c:v>22.81999999999994</c:v>
                </c:pt>
                <c:pt idx="48">
                  <c:v>22.879999999999939</c:v>
                </c:pt>
                <c:pt idx="49">
                  <c:v>22.939999999999937</c:v>
                </c:pt>
                <c:pt idx="50">
                  <c:v>22.999999999999936</c:v>
                </c:pt>
                <c:pt idx="51">
                  <c:v>23.059999999999935</c:v>
                </c:pt>
                <c:pt idx="52">
                  <c:v>23.119999999999933</c:v>
                </c:pt>
                <c:pt idx="53">
                  <c:v>23.179999999999932</c:v>
                </c:pt>
                <c:pt idx="54">
                  <c:v>23.239999999999931</c:v>
                </c:pt>
                <c:pt idx="55">
                  <c:v>23.29999999999993</c:v>
                </c:pt>
                <c:pt idx="56">
                  <c:v>23.359999999999928</c:v>
                </c:pt>
                <c:pt idx="57">
                  <c:v>23.419999999999927</c:v>
                </c:pt>
                <c:pt idx="58">
                  <c:v>23.479999999999926</c:v>
                </c:pt>
                <c:pt idx="59">
                  <c:v>23.539999999999925</c:v>
                </c:pt>
                <c:pt idx="60">
                  <c:v>23.599999999999923</c:v>
                </c:pt>
                <c:pt idx="61">
                  <c:v>23.659999999999922</c:v>
                </c:pt>
                <c:pt idx="62">
                  <c:v>23.719999999999921</c:v>
                </c:pt>
                <c:pt idx="63">
                  <c:v>23.779999999999919</c:v>
                </c:pt>
                <c:pt idx="64">
                  <c:v>23.839999999999918</c:v>
                </c:pt>
                <c:pt idx="65">
                  <c:v>23.899999999999917</c:v>
                </c:pt>
                <c:pt idx="66">
                  <c:v>23.959999999999916</c:v>
                </c:pt>
                <c:pt idx="67">
                  <c:v>24.019999999999914</c:v>
                </c:pt>
                <c:pt idx="68">
                  <c:v>24.079999999999913</c:v>
                </c:pt>
                <c:pt idx="69">
                  <c:v>24.139999999999912</c:v>
                </c:pt>
                <c:pt idx="70">
                  <c:v>24.19999999999991</c:v>
                </c:pt>
                <c:pt idx="71">
                  <c:v>24.259999999999909</c:v>
                </c:pt>
                <c:pt idx="72">
                  <c:v>24.319999999999908</c:v>
                </c:pt>
                <c:pt idx="73">
                  <c:v>24.379999999999907</c:v>
                </c:pt>
                <c:pt idx="74">
                  <c:v>24.439999999999905</c:v>
                </c:pt>
                <c:pt idx="75">
                  <c:v>24.499999999999904</c:v>
                </c:pt>
                <c:pt idx="76">
                  <c:v>24.559999999999903</c:v>
                </c:pt>
                <c:pt idx="77">
                  <c:v>24.619999999999902</c:v>
                </c:pt>
                <c:pt idx="78">
                  <c:v>24.6799999999999</c:v>
                </c:pt>
                <c:pt idx="79">
                  <c:v>24.739999999999899</c:v>
                </c:pt>
                <c:pt idx="80">
                  <c:v>24.799999999999898</c:v>
                </c:pt>
                <c:pt idx="81">
                  <c:v>24.859999999999896</c:v>
                </c:pt>
                <c:pt idx="82">
                  <c:v>24.919999999999895</c:v>
                </c:pt>
                <c:pt idx="83">
                  <c:v>24.979999999999894</c:v>
                </c:pt>
                <c:pt idx="84">
                  <c:v>25.039999999999893</c:v>
                </c:pt>
                <c:pt idx="85">
                  <c:v>25.099999999999891</c:v>
                </c:pt>
                <c:pt idx="86">
                  <c:v>25.15999999999989</c:v>
                </c:pt>
                <c:pt idx="87">
                  <c:v>25.219999999999889</c:v>
                </c:pt>
                <c:pt idx="88">
                  <c:v>25.279999999999887</c:v>
                </c:pt>
                <c:pt idx="89">
                  <c:v>25.339999999999886</c:v>
                </c:pt>
                <c:pt idx="90">
                  <c:v>25.399999999999885</c:v>
                </c:pt>
                <c:pt idx="91">
                  <c:v>25.459999999999884</c:v>
                </c:pt>
                <c:pt idx="92">
                  <c:v>25.519999999999882</c:v>
                </c:pt>
                <c:pt idx="93">
                  <c:v>25.579999999999881</c:v>
                </c:pt>
                <c:pt idx="94">
                  <c:v>25.63999999999988</c:v>
                </c:pt>
                <c:pt idx="95">
                  <c:v>25.699999999999878</c:v>
                </c:pt>
                <c:pt idx="96">
                  <c:v>25.759999999999877</c:v>
                </c:pt>
                <c:pt idx="97">
                  <c:v>25.819999999999876</c:v>
                </c:pt>
                <c:pt idx="98">
                  <c:v>25.879999999999875</c:v>
                </c:pt>
                <c:pt idx="99">
                  <c:v>25.939999999999873</c:v>
                </c:pt>
                <c:pt idx="100">
                  <c:v>25.999999999999872</c:v>
                </c:pt>
                <c:pt idx="101">
                  <c:v>26.059999999999871</c:v>
                </c:pt>
                <c:pt idx="102">
                  <c:v>26.11999999999987</c:v>
                </c:pt>
                <c:pt idx="103">
                  <c:v>26.179999999999868</c:v>
                </c:pt>
                <c:pt idx="104">
                  <c:v>26.239999999999867</c:v>
                </c:pt>
                <c:pt idx="105">
                  <c:v>26.299999999999866</c:v>
                </c:pt>
                <c:pt idx="106">
                  <c:v>26.359999999999864</c:v>
                </c:pt>
                <c:pt idx="107">
                  <c:v>26.419999999999863</c:v>
                </c:pt>
                <c:pt idx="108">
                  <c:v>26.479999999999862</c:v>
                </c:pt>
                <c:pt idx="109">
                  <c:v>26.539999999999861</c:v>
                </c:pt>
                <c:pt idx="110">
                  <c:v>26.599999999999859</c:v>
                </c:pt>
                <c:pt idx="111">
                  <c:v>26.659999999999858</c:v>
                </c:pt>
                <c:pt idx="112">
                  <c:v>26.719999999999857</c:v>
                </c:pt>
                <c:pt idx="113">
                  <c:v>26.779999999999855</c:v>
                </c:pt>
                <c:pt idx="114">
                  <c:v>26.839999999999854</c:v>
                </c:pt>
                <c:pt idx="115">
                  <c:v>26.899999999999853</c:v>
                </c:pt>
                <c:pt idx="116">
                  <c:v>26.959999999999852</c:v>
                </c:pt>
                <c:pt idx="117">
                  <c:v>27.01999999999985</c:v>
                </c:pt>
                <c:pt idx="118">
                  <c:v>27.079999999999849</c:v>
                </c:pt>
                <c:pt idx="119">
                  <c:v>27.139999999999848</c:v>
                </c:pt>
                <c:pt idx="120">
                  <c:v>27.199999999999847</c:v>
                </c:pt>
                <c:pt idx="121">
                  <c:v>27.259999999999845</c:v>
                </c:pt>
                <c:pt idx="122">
                  <c:v>27.319999999999844</c:v>
                </c:pt>
                <c:pt idx="123">
                  <c:v>27.379999999999843</c:v>
                </c:pt>
                <c:pt idx="124">
                  <c:v>27.439999999999841</c:v>
                </c:pt>
                <c:pt idx="125">
                  <c:v>27.49999999999984</c:v>
                </c:pt>
                <c:pt idx="126">
                  <c:v>27.559999999999839</c:v>
                </c:pt>
                <c:pt idx="127">
                  <c:v>27.619999999999838</c:v>
                </c:pt>
                <c:pt idx="128">
                  <c:v>27.679999999999836</c:v>
                </c:pt>
                <c:pt idx="129">
                  <c:v>27.739999999999835</c:v>
                </c:pt>
                <c:pt idx="130">
                  <c:v>27.799999999999834</c:v>
                </c:pt>
                <c:pt idx="131">
                  <c:v>27.859999999999832</c:v>
                </c:pt>
                <c:pt idx="132">
                  <c:v>27.919999999999831</c:v>
                </c:pt>
                <c:pt idx="133">
                  <c:v>27.97999999999983</c:v>
                </c:pt>
                <c:pt idx="134">
                  <c:v>28.039999999999829</c:v>
                </c:pt>
                <c:pt idx="135">
                  <c:v>28.099999999999827</c:v>
                </c:pt>
                <c:pt idx="136">
                  <c:v>28.159999999999826</c:v>
                </c:pt>
                <c:pt idx="137">
                  <c:v>28.219999999999825</c:v>
                </c:pt>
                <c:pt idx="138">
                  <c:v>28.279999999999824</c:v>
                </c:pt>
                <c:pt idx="139">
                  <c:v>28.339999999999822</c:v>
                </c:pt>
                <c:pt idx="140">
                  <c:v>28.399999999999821</c:v>
                </c:pt>
                <c:pt idx="141">
                  <c:v>28.45999999999982</c:v>
                </c:pt>
                <c:pt idx="142">
                  <c:v>28.519999999999818</c:v>
                </c:pt>
                <c:pt idx="143">
                  <c:v>28.579999999999817</c:v>
                </c:pt>
                <c:pt idx="144">
                  <c:v>28.639999999999816</c:v>
                </c:pt>
                <c:pt idx="145">
                  <c:v>28.699999999999815</c:v>
                </c:pt>
                <c:pt idx="146">
                  <c:v>28.759999999999813</c:v>
                </c:pt>
                <c:pt idx="147">
                  <c:v>28.819999999999812</c:v>
                </c:pt>
                <c:pt idx="148">
                  <c:v>28.879999999999811</c:v>
                </c:pt>
                <c:pt idx="149">
                  <c:v>28.939999999999809</c:v>
                </c:pt>
                <c:pt idx="150">
                  <c:v>28.999999999999808</c:v>
                </c:pt>
                <c:pt idx="151">
                  <c:v>29.059999999999807</c:v>
                </c:pt>
                <c:pt idx="152">
                  <c:v>29.119999999999806</c:v>
                </c:pt>
                <c:pt idx="153">
                  <c:v>29.179999999999804</c:v>
                </c:pt>
                <c:pt idx="154">
                  <c:v>29.239999999999803</c:v>
                </c:pt>
                <c:pt idx="155">
                  <c:v>29.299999999999802</c:v>
                </c:pt>
                <c:pt idx="156">
                  <c:v>29.3599999999998</c:v>
                </c:pt>
                <c:pt idx="157">
                  <c:v>29.419999999999799</c:v>
                </c:pt>
                <c:pt idx="158">
                  <c:v>29.479999999999798</c:v>
                </c:pt>
                <c:pt idx="159">
                  <c:v>29.539999999999797</c:v>
                </c:pt>
                <c:pt idx="160">
                  <c:v>29.599999999999795</c:v>
                </c:pt>
                <c:pt idx="161">
                  <c:v>29.659999999999794</c:v>
                </c:pt>
                <c:pt idx="162">
                  <c:v>29.719999999999793</c:v>
                </c:pt>
                <c:pt idx="163">
                  <c:v>29.779999999999792</c:v>
                </c:pt>
                <c:pt idx="164">
                  <c:v>29.83999999999979</c:v>
                </c:pt>
                <c:pt idx="165">
                  <c:v>29.899999999999789</c:v>
                </c:pt>
                <c:pt idx="166">
                  <c:v>29.959999999999788</c:v>
                </c:pt>
                <c:pt idx="167">
                  <c:v>30.019999999999786</c:v>
                </c:pt>
                <c:pt idx="168">
                  <c:v>30.079999999999785</c:v>
                </c:pt>
                <c:pt idx="169">
                  <c:v>30.139999999999784</c:v>
                </c:pt>
                <c:pt idx="170">
                  <c:v>30.199999999999783</c:v>
                </c:pt>
                <c:pt idx="171">
                  <c:v>30.259999999999781</c:v>
                </c:pt>
                <c:pt idx="172">
                  <c:v>30.31999999999978</c:v>
                </c:pt>
                <c:pt idx="173">
                  <c:v>30.379999999999779</c:v>
                </c:pt>
                <c:pt idx="174">
                  <c:v>30.439999999999777</c:v>
                </c:pt>
                <c:pt idx="175">
                  <c:v>30.499999999999776</c:v>
                </c:pt>
                <c:pt idx="176">
                  <c:v>30.559999999999775</c:v>
                </c:pt>
                <c:pt idx="177">
                  <c:v>30.619999999999774</c:v>
                </c:pt>
                <c:pt idx="178">
                  <c:v>30.679999999999772</c:v>
                </c:pt>
                <c:pt idx="179">
                  <c:v>30.739999999999771</c:v>
                </c:pt>
                <c:pt idx="180">
                  <c:v>30.79999999999977</c:v>
                </c:pt>
                <c:pt idx="181">
                  <c:v>30.859999999999769</c:v>
                </c:pt>
                <c:pt idx="182">
                  <c:v>30.919999999999767</c:v>
                </c:pt>
                <c:pt idx="183">
                  <c:v>30.979999999999766</c:v>
                </c:pt>
                <c:pt idx="184">
                  <c:v>31.039999999999765</c:v>
                </c:pt>
                <c:pt idx="185">
                  <c:v>31.099999999999763</c:v>
                </c:pt>
                <c:pt idx="186">
                  <c:v>31.159999999999762</c:v>
                </c:pt>
                <c:pt idx="187">
                  <c:v>31.219999999999761</c:v>
                </c:pt>
                <c:pt idx="188">
                  <c:v>31.27999999999976</c:v>
                </c:pt>
                <c:pt idx="189">
                  <c:v>31.339999999999758</c:v>
                </c:pt>
                <c:pt idx="190">
                  <c:v>31.399999999999757</c:v>
                </c:pt>
                <c:pt idx="191">
                  <c:v>31.459999999999756</c:v>
                </c:pt>
                <c:pt idx="192">
                  <c:v>31.519999999999754</c:v>
                </c:pt>
                <c:pt idx="193">
                  <c:v>31.579999999999753</c:v>
                </c:pt>
                <c:pt idx="194">
                  <c:v>31.639999999999752</c:v>
                </c:pt>
                <c:pt idx="195">
                  <c:v>31.699999999999751</c:v>
                </c:pt>
                <c:pt idx="196">
                  <c:v>31.759999999999749</c:v>
                </c:pt>
                <c:pt idx="197">
                  <c:v>31.819999999999748</c:v>
                </c:pt>
                <c:pt idx="198">
                  <c:v>31.879999999999747</c:v>
                </c:pt>
                <c:pt idx="199">
                  <c:v>31.939999999999745</c:v>
                </c:pt>
                <c:pt idx="200">
                  <c:v>31.999999999999744</c:v>
                </c:pt>
                <c:pt idx="201">
                  <c:v>32.059999999999746</c:v>
                </c:pt>
                <c:pt idx="202">
                  <c:v>32.119999999999749</c:v>
                </c:pt>
                <c:pt idx="203">
                  <c:v>32.179999999999751</c:v>
                </c:pt>
                <c:pt idx="204">
                  <c:v>32.239999999999753</c:v>
                </c:pt>
                <c:pt idx="205">
                  <c:v>32.299999999999756</c:v>
                </c:pt>
                <c:pt idx="206">
                  <c:v>32.359999999999758</c:v>
                </c:pt>
                <c:pt idx="207">
                  <c:v>32.41999999999976</c:v>
                </c:pt>
                <c:pt idx="208">
                  <c:v>32.479999999999762</c:v>
                </c:pt>
                <c:pt idx="209">
                  <c:v>32.539999999999765</c:v>
                </c:pt>
                <c:pt idx="210">
                  <c:v>32.599999999999767</c:v>
                </c:pt>
                <c:pt idx="211">
                  <c:v>32.659999999999769</c:v>
                </c:pt>
                <c:pt idx="212">
                  <c:v>32.719999999999771</c:v>
                </c:pt>
                <c:pt idx="213">
                  <c:v>32.779999999999774</c:v>
                </c:pt>
                <c:pt idx="214">
                  <c:v>32.839999999999776</c:v>
                </c:pt>
                <c:pt idx="215">
                  <c:v>32.899999999999778</c:v>
                </c:pt>
                <c:pt idx="216">
                  <c:v>32.959999999999781</c:v>
                </c:pt>
                <c:pt idx="217">
                  <c:v>33.019999999999783</c:v>
                </c:pt>
                <c:pt idx="218">
                  <c:v>33.079999999999785</c:v>
                </c:pt>
                <c:pt idx="219">
                  <c:v>33.139999999999787</c:v>
                </c:pt>
                <c:pt idx="220">
                  <c:v>33.19999999999979</c:v>
                </c:pt>
                <c:pt idx="221">
                  <c:v>33.259999999999792</c:v>
                </c:pt>
                <c:pt idx="222">
                  <c:v>33.319999999999794</c:v>
                </c:pt>
                <c:pt idx="223">
                  <c:v>33.379999999999797</c:v>
                </c:pt>
                <c:pt idx="224">
                  <c:v>33.439999999999799</c:v>
                </c:pt>
                <c:pt idx="225">
                  <c:v>33.499999999999801</c:v>
                </c:pt>
                <c:pt idx="226">
                  <c:v>33.559999999999803</c:v>
                </c:pt>
                <c:pt idx="227">
                  <c:v>33.619999999999806</c:v>
                </c:pt>
                <c:pt idx="228">
                  <c:v>33.679999999999808</c:v>
                </c:pt>
                <c:pt idx="229">
                  <c:v>33.73999999999981</c:v>
                </c:pt>
                <c:pt idx="230">
                  <c:v>33.799999999999812</c:v>
                </c:pt>
                <c:pt idx="231">
                  <c:v>33.859999999999815</c:v>
                </c:pt>
                <c:pt idx="232">
                  <c:v>33.919999999999817</c:v>
                </c:pt>
                <c:pt idx="233">
                  <c:v>33.979999999999819</c:v>
                </c:pt>
                <c:pt idx="234">
                  <c:v>34.039999999999822</c:v>
                </c:pt>
                <c:pt idx="235">
                  <c:v>34.099999999999824</c:v>
                </c:pt>
                <c:pt idx="236">
                  <c:v>34.159999999999826</c:v>
                </c:pt>
                <c:pt idx="237">
                  <c:v>34.219999999999828</c:v>
                </c:pt>
                <c:pt idx="238">
                  <c:v>34.279999999999831</c:v>
                </c:pt>
                <c:pt idx="239">
                  <c:v>34.339999999999833</c:v>
                </c:pt>
                <c:pt idx="240">
                  <c:v>34.399999999999835</c:v>
                </c:pt>
                <c:pt idx="241">
                  <c:v>34.459999999999837</c:v>
                </c:pt>
                <c:pt idx="242">
                  <c:v>34.51999999999984</c:v>
                </c:pt>
                <c:pt idx="243">
                  <c:v>34.579999999999842</c:v>
                </c:pt>
                <c:pt idx="244">
                  <c:v>34.639999999999844</c:v>
                </c:pt>
                <c:pt idx="245">
                  <c:v>34.699999999999847</c:v>
                </c:pt>
                <c:pt idx="246">
                  <c:v>34.759999999999849</c:v>
                </c:pt>
                <c:pt idx="247">
                  <c:v>34.819999999999851</c:v>
                </c:pt>
                <c:pt idx="248">
                  <c:v>34.879999999999853</c:v>
                </c:pt>
                <c:pt idx="249">
                  <c:v>34.939999999999856</c:v>
                </c:pt>
                <c:pt idx="250">
                  <c:v>34.999999999999858</c:v>
                </c:pt>
                <c:pt idx="251">
                  <c:v>35.05999999999986</c:v>
                </c:pt>
                <c:pt idx="252">
                  <c:v>35.119999999999862</c:v>
                </c:pt>
                <c:pt idx="253">
                  <c:v>35.179999999999865</c:v>
                </c:pt>
                <c:pt idx="254">
                  <c:v>35.239999999999867</c:v>
                </c:pt>
                <c:pt idx="255">
                  <c:v>35.299999999999869</c:v>
                </c:pt>
                <c:pt idx="256">
                  <c:v>35.359999999999872</c:v>
                </c:pt>
                <c:pt idx="257">
                  <c:v>35.419999999999874</c:v>
                </c:pt>
                <c:pt idx="258">
                  <c:v>35.479999999999876</c:v>
                </c:pt>
                <c:pt idx="259">
                  <c:v>35.539999999999878</c:v>
                </c:pt>
                <c:pt idx="260">
                  <c:v>35.599999999999881</c:v>
                </c:pt>
                <c:pt idx="261">
                  <c:v>35.659999999999883</c:v>
                </c:pt>
                <c:pt idx="262">
                  <c:v>35.719999999999885</c:v>
                </c:pt>
                <c:pt idx="263">
                  <c:v>35.779999999999887</c:v>
                </c:pt>
                <c:pt idx="264">
                  <c:v>35.83999999999989</c:v>
                </c:pt>
                <c:pt idx="265">
                  <c:v>35.899999999999892</c:v>
                </c:pt>
                <c:pt idx="266">
                  <c:v>35.959999999999894</c:v>
                </c:pt>
                <c:pt idx="267">
                  <c:v>36.019999999999897</c:v>
                </c:pt>
                <c:pt idx="268">
                  <c:v>36.079999999999899</c:v>
                </c:pt>
                <c:pt idx="269">
                  <c:v>36.139999999999901</c:v>
                </c:pt>
                <c:pt idx="270">
                  <c:v>36.199999999999903</c:v>
                </c:pt>
                <c:pt idx="271">
                  <c:v>36.259999999999906</c:v>
                </c:pt>
                <c:pt idx="272">
                  <c:v>36.319999999999908</c:v>
                </c:pt>
                <c:pt idx="273">
                  <c:v>36.37999999999991</c:v>
                </c:pt>
                <c:pt idx="274">
                  <c:v>36.439999999999912</c:v>
                </c:pt>
                <c:pt idx="275">
                  <c:v>36.499999999999915</c:v>
                </c:pt>
                <c:pt idx="276">
                  <c:v>36.559999999999917</c:v>
                </c:pt>
                <c:pt idx="277">
                  <c:v>36.619999999999919</c:v>
                </c:pt>
                <c:pt idx="278">
                  <c:v>36.679999999999922</c:v>
                </c:pt>
                <c:pt idx="279">
                  <c:v>36.739999999999924</c:v>
                </c:pt>
                <c:pt idx="280">
                  <c:v>36.799999999999926</c:v>
                </c:pt>
                <c:pt idx="281">
                  <c:v>36.859999999999928</c:v>
                </c:pt>
                <c:pt idx="282">
                  <c:v>36.919999999999931</c:v>
                </c:pt>
                <c:pt idx="283">
                  <c:v>36.979999999999933</c:v>
                </c:pt>
                <c:pt idx="284">
                  <c:v>37.039999999999935</c:v>
                </c:pt>
                <c:pt idx="285">
                  <c:v>37.099999999999937</c:v>
                </c:pt>
                <c:pt idx="286">
                  <c:v>37.15999999999994</c:v>
                </c:pt>
                <c:pt idx="287">
                  <c:v>37.219999999999942</c:v>
                </c:pt>
              </c:numCache>
            </c:numRef>
          </c:val>
          <c:smooth val="0"/>
        </c:ser>
        <c:ser>
          <c:idx val="4"/>
          <c:order val="4"/>
          <c:tx>
            <c:strRef>
              <c:f>ChtLd!$F$1</c:f>
              <c:strCache>
                <c:ptCount val="1"/>
                <c:pt idx="0">
                  <c:v>Line 5</c:v>
                </c:pt>
              </c:strCache>
            </c:strRef>
          </c:tx>
          <c:marker>
            <c:symbol val="none"/>
          </c:marker>
          <c:cat>
            <c:numRef>
              <c:f>ChtLd!$A$2:$A$289</c:f>
              <c:numCache>
                <c:formatCode>h:mm;@</c:formatCode>
                <c:ptCount val="288"/>
                <c:pt idx="0">
                  <c:v>0</c:v>
                </c:pt>
                <c:pt idx="1">
                  <c:v>3.472222222222222E-3</c:v>
                </c:pt>
                <c:pt idx="2">
                  <c:v>6.9444444444444397E-3</c:v>
                </c:pt>
                <c:pt idx="3">
                  <c:v>1.0416666666666701E-2</c:v>
                </c:pt>
                <c:pt idx="4">
                  <c:v>1.38888888888889E-2</c:v>
                </c:pt>
                <c:pt idx="5">
                  <c:v>1.7361111111111101E-2</c:v>
                </c:pt>
                <c:pt idx="6">
                  <c:v>2.0833333333333301E-2</c:v>
                </c:pt>
                <c:pt idx="7">
                  <c:v>2.4305555555555601E-2</c:v>
                </c:pt>
                <c:pt idx="8">
                  <c:v>2.7777777777777801E-2</c:v>
                </c:pt>
                <c:pt idx="9">
                  <c:v>3.125E-2</c:v>
                </c:pt>
                <c:pt idx="10">
                  <c:v>3.4722222222222203E-2</c:v>
                </c:pt>
                <c:pt idx="11">
                  <c:v>3.8194444444444399E-2</c:v>
                </c:pt>
                <c:pt idx="12">
                  <c:v>4.1666666666666699E-2</c:v>
                </c:pt>
                <c:pt idx="13">
                  <c:v>4.5138888888888902E-2</c:v>
                </c:pt>
                <c:pt idx="14">
                  <c:v>4.8611111111111098E-2</c:v>
                </c:pt>
                <c:pt idx="15">
                  <c:v>5.2083333333333301E-2</c:v>
                </c:pt>
                <c:pt idx="16">
                  <c:v>5.5555555555555601E-2</c:v>
                </c:pt>
                <c:pt idx="17">
                  <c:v>5.9027777777777797E-2</c:v>
                </c:pt>
                <c:pt idx="18">
                  <c:v>6.25E-2</c:v>
                </c:pt>
                <c:pt idx="19">
                  <c:v>6.5972222222222196E-2</c:v>
                </c:pt>
                <c:pt idx="20">
                  <c:v>6.9444444444444406E-2</c:v>
                </c:pt>
                <c:pt idx="21">
                  <c:v>7.2916666666666699E-2</c:v>
                </c:pt>
                <c:pt idx="22">
                  <c:v>7.6388888888888895E-2</c:v>
                </c:pt>
                <c:pt idx="23">
                  <c:v>7.9861111111111105E-2</c:v>
                </c:pt>
                <c:pt idx="24">
                  <c:v>8.3333333333333301E-2</c:v>
                </c:pt>
                <c:pt idx="25">
                  <c:v>8.6805555555555594E-2</c:v>
                </c:pt>
                <c:pt idx="26">
                  <c:v>9.0277777777777804E-2</c:v>
                </c:pt>
                <c:pt idx="27">
                  <c:v>9.375E-2</c:v>
                </c:pt>
                <c:pt idx="28">
                  <c:v>9.7222222222222196E-2</c:v>
                </c:pt>
                <c:pt idx="29">
                  <c:v>0.100694444444444</c:v>
                </c:pt>
                <c:pt idx="30">
                  <c:v>0.104166666666667</c:v>
                </c:pt>
                <c:pt idx="31">
                  <c:v>0.10763888888888901</c:v>
                </c:pt>
                <c:pt idx="32">
                  <c:v>0.11111111111111099</c:v>
                </c:pt>
                <c:pt idx="33">
                  <c:v>0.114583333333333</c:v>
                </c:pt>
                <c:pt idx="34">
                  <c:v>0.118055555555556</c:v>
                </c:pt>
                <c:pt idx="35">
                  <c:v>0.121527777777778</c:v>
                </c:pt>
                <c:pt idx="36">
                  <c:v>0.125</c:v>
                </c:pt>
                <c:pt idx="37">
                  <c:v>0.12847222222222199</c:v>
                </c:pt>
                <c:pt idx="38">
                  <c:v>0.131944444444444</c:v>
                </c:pt>
                <c:pt idx="39">
                  <c:v>0.13541666666666699</c:v>
                </c:pt>
                <c:pt idx="40">
                  <c:v>0.13888888888888901</c:v>
                </c:pt>
                <c:pt idx="41">
                  <c:v>0.14236111111111099</c:v>
                </c:pt>
                <c:pt idx="42">
                  <c:v>0.14583333333333301</c:v>
                </c:pt>
                <c:pt idx="43">
                  <c:v>0.149305555555556</c:v>
                </c:pt>
                <c:pt idx="44">
                  <c:v>0.15277777777777801</c:v>
                </c:pt>
                <c:pt idx="45">
                  <c:v>0.15625</c:v>
                </c:pt>
                <c:pt idx="46">
                  <c:v>0.15972222222222199</c:v>
                </c:pt>
                <c:pt idx="47">
                  <c:v>0.163194444444444</c:v>
                </c:pt>
                <c:pt idx="48">
                  <c:v>0.16666666666666699</c:v>
                </c:pt>
                <c:pt idx="49">
                  <c:v>0.17013888888888901</c:v>
                </c:pt>
                <c:pt idx="50">
                  <c:v>0.17361111111111099</c:v>
                </c:pt>
                <c:pt idx="51">
                  <c:v>0.17708333333333301</c:v>
                </c:pt>
                <c:pt idx="52">
                  <c:v>0.180555555555556</c:v>
                </c:pt>
                <c:pt idx="53">
                  <c:v>0.18402777777777801</c:v>
                </c:pt>
                <c:pt idx="54">
                  <c:v>0.1875</c:v>
                </c:pt>
                <c:pt idx="55">
                  <c:v>0.19097222222222199</c:v>
                </c:pt>
                <c:pt idx="56">
                  <c:v>0.194444444444444</c:v>
                </c:pt>
                <c:pt idx="57">
                  <c:v>0.19791666666666699</c:v>
                </c:pt>
                <c:pt idx="58">
                  <c:v>0.20138888888888901</c:v>
                </c:pt>
                <c:pt idx="59">
                  <c:v>0.20486111111111099</c:v>
                </c:pt>
                <c:pt idx="60">
                  <c:v>0.20833333333333301</c:v>
                </c:pt>
                <c:pt idx="61">
                  <c:v>0.211805555555556</c:v>
                </c:pt>
                <c:pt idx="62">
                  <c:v>0.21527777777777801</c:v>
                </c:pt>
                <c:pt idx="63">
                  <c:v>0.21875</c:v>
                </c:pt>
                <c:pt idx="64">
                  <c:v>0.22222222222222199</c:v>
                </c:pt>
                <c:pt idx="65">
                  <c:v>0.225694444444444</c:v>
                </c:pt>
                <c:pt idx="66">
                  <c:v>0.22916666666666699</c:v>
                </c:pt>
                <c:pt idx="67">
                  <c:v>0.23263888888888901</c:v>
                </c:pt>
                <c:pt idx="68">
                  <c:v>0.23611111111111099</c:v>
                </c:pt>
                <c:pt idx="69">
                  <c:v>0.23958333333333301</c:v>
                </c:pt>
                <c:pt idx="70">
                  <c:v>0.243055555555556</c:v>
                </c:pt>
                <c:pt idx="71">
                  <c:v>0.24652777777777801</c:v>
                </c:pt>
                <c:pt idx="72">
                  <c:v>0.25</c:v>
                </c:pt>
                <c:pt idx="73">
                  <c:v>0.25347222222222199</c:v>
                </c:pt>
                <c:pt idx="74">
                  <c:v>0.25694444444444398</c:v>
                </c:pt>
                <c:pt idx="75">
                  <c:v>0.26041666666666702</c:v>
                </c:pt>
                <c:pt idx="76">
                  <c:v>0.26388888888888901</c:v>
                </c:pt>
                <c:pt idx="77">
                  <c:v>0.26736111111111099</c:v>
                </c:pt>
                <c:pt idx="78">
                  <c:v>0.27083333333333298</c:v>
                </c:pt>
                <c:pt idx="79">
                  <c:v>0.27430555555555602</c:v>
                </c:pt>
                <c:pt idx="80">
                  <c:v>0.27777777777777801</c:v>
                </c:pt>
                <c:pt idx="81">
                  <c:v>0.28125</c:v>
                </c:pt>
                <c:pt idx="82">
                  <c:v>0.28472222222222199</c:v>
                </c:pt>
                <c:pt idx="83">
                  <c:v>0.28819444444444398</c:v>
                </c:pt>
                <c:pt idx="84">
                  <c:v>0.29166666666666702</c:v>
                </c:pt>
                <c:pt idx="85">
                  <c:v>0.29513888888888901</c:v>
                </c:pt>
                <c:pt idx="86">
                  <c:v>0.29861111111111099</c:v>
                </c:pt>
                <c:pt idx="87">
                  <c:v>0.30208333333333298</c:v>
                </c:pt>
                <c:pt idx="88">
                  <c:v>0.30555555555555602</c:v>
                </c:pt>
                <c:pt idx="89">
                  <c:v>0.30902777777777801</c:v>
                </c:pt>
                <c:pt idx="90">
                  <c:v>0.3125</c:v>
                </c:pt>
                <c:pt idx="91">
                  <c:v>0.31597222222222199</c:v>
                </c:pt>
                <c:pt idx="92">
                  <c:v>0.31944444444444398</c:v>
                </c:pt>
                <c:pt idx="93">
                  <c:v>0.32291666666666702</c:v>
                </c:pt>
                <c:pt idx="94">
                  <c:v>0.32638888888888901</c:v>
                </c:pt>
                <c:pt idx="95">
                  <c:v>0.32986111111111099</c:v>
                </c:pt>
                <c:pt idx="96">
                  <c:v>0.33333333333333298</c:v>
                </c:pt>
                <c:pt idx="97">
                  <c:v>0.33680555555555602</c:v>
                </c:pt>
                <c:pt idx="98">
                  <c:v>0.34027777777777801</c:v>
                </c:pt>
                <c:pt idx="99">
                  <c:v>0.34375</c:v>
                </c:pt>
                <c:pt idx="100">
                  <c:v>0.34722222222222199</c:v>
                </c:pt>
                <c:pt idx="101">
                  <c:v>0.35069444444444398</c:v>
                </c:pt>
                <c:pt idx="102">
                  <c:v>0.35416666666666702</c:v>
                </c:pt>
                <c:pt idx="103">
                  <c:v>0.35763888888888901</c:v>
                </c:pt>
                <c:pt idx="104">
                  <c:v>0.36111111111111099</c:v>
                </c:pt>
                <c:pt idx="105">
                  <c:v>0.36458333333333298</c:v>
                </c:pt>
                <c:pt idx="106">
                  <c:v>0.36805555555555602</c:v>
                </c:pt>
                <c:pt idx="107">
                  <c:v>0.37152777777777801</c:v>
                </c:pt>
                <c:pt idx="108">
                  <c:v>0.375</c:v>
                </c:pt>
                <c:pt idx="109">
                  <c:v>0.37847222222222199</c:v>
                </c:pt>
                <c:pt idx="110">
                  <c:v>0.38194444444444398</c:v>
                </c:pt>
                <c:pt idx="111">
                  <c:v>0.38541666666666702</c:v>
                </c:pt>
                <c:pt idx="112">
                  <c:v>0.38888888888888901</c:v>
                </c:pt>
                <c:pt idx="113">
                  <c:v>0.39236111111111099</c:v>
                </c:pt>
                <c:pt idx="114">
                  <c:v>0.39583333333333298</c:v>
                </c:pt>
                <c:pt idx="115">
                  <c:v>0.39930555555555602</c:v>
                </c:pt>
                <c:pt idx="116">
                  <c:v>0.40277777777777801</c:v>
                </c:pt>
                <c:pt idx="117">
                  <c:v>0.40625</c:v>
                </c:pt>
                <c:pt idx="118">
                  <c:v>0.40972222222222199</c:v>
                </c:pt>
                <c:pt idx="119">
                  <c:v>0.41319444444444398</c:v>
                </c:pt>
                <c:pt idx="120">
                  <c:v>0.41666666666666702</c:v>
                </c:pt>
                <c:pt idx="121">
                  <c:v>0.42013888888888901</c:v>
                </c:pt>
                <c:pt idx="122">
                  <c:v>0.42361111111111099</c:v>
                </c:pt>
                <c:pt idx="123">
                  <c:v>0.42708333333333298</c:v>
                </c:pt>
                <c:pt idx="124">
                  <c:v>0.43055555555555602</c:v>
                </c:pt>
                <c:pt idx="125">
                  <c:v>0.43402777777777801</c:v>
                </c:pt>
                <c:pt idx="126">
                  <c:v>0.4375</c:v>
                </c:pt>
                <c:pt idx="127">
                  <c:v>0.44097222222222199</c:v>
                </c:pt>
                <c:pt idx="128">
                  <c:v>0.44444444444444398</c:v>
                </c:pt>
                <c:pt idx="129">
                  <c:v>0.44791666666666702</c:v>
                </c:pt>
                <c:pt idx="130">
                  <c:v>0.45138888888888901</c:v>
                </c:pt>
                <c:pt idx="131">
                  <c:v>0.45486111111111099</c:v>
                </c:pt>
                <c:pt idx="132">
                  <c:v>0.45833333333333298</c:v>
                </c:pt>
                <c:pt idx="133">
                  <c:v>0.46180555555555602</c:v>
                </c:pt>
                <c:pt idx="134">
                  <c:v>0.46527777777777801</c:v>
                </c:pt>
                <c:pt idx="135">
                  <c:v>0.46875</c:v>
                </c:pt>
                <c:pt idx="136">
                  <c:v>0.47222222222222199</c:v>
                </c:pt>
                <c:pt idx="137">
                  <c:v>0.47569444444444398</c:v>
                </c:pt>
                <c:pt idx="138">
                  <c:v>0.47916666666666702</c:v>
                </c:pt>
                <c:pt idx="139">
                  <c:v>0.48263888888888901</c:v>
                </c:pt>
                <c:pt idx="140">
                  <c:v>0.48611111111111099</c:v>
                </c:pt>
                <c:pt idx="141">
                  <c:v>0.48958333333333298</c:v>
                </c:pt>
                <c:pt idx="142">
                  <c:v>0.49305555555555602</c:v>
                </c:pt>
                <c:pt idx="143">
                  <c:v>0.49652777777777801</c:v>
                </c:pt>
                <c:pt idx="144">
                  <c:v>0.5</c:v>
                </c:pt>
                <c:pt idx="145">
                  <c:v>0.50347222222222199</c:v>
                </c:pt>
                <c:pt idx="146">
                  <c:v>0.50694444444444398</c:v>
                </c:pt>
                <c:pt idx="147">
                  <c:v>0.51041666666666696</c:v>
                </c:pt>
                <c:pt idx="148">
                  <c:v>0.51388888888888895</c:v>
                </c:pt>
                <c:pt idx="149">
                  <c:v>0.51736111111111105</c:v>
                </c:pt>
                <c:pt idx="150">
                  <c:v>0.52083333333333304</c:v>
                </c:pt>
                <c:pt idx="151">
                  <c:v>0.52430555555555602</c:v>
                </c:pt>
                <c:pt idx="152">
                  <c:v>0.52777777777777801</c:v>
                </c:pt>
                <c:pt idx="153">
                  <c:v>0.53125</c:v>
                </c:pt>
                <c:pt idx="154">
                  <c:v>0.53472222222222199</c:v>
                </c:pt>
                <c:pt idx="155">
                  <c:v>0.53819444444444398</c:v>
                </c:pt>
                <c:pt idx="156">
                  <c:v>0.54166666666666696</c:v>
                </c:pt>
                <c:pt idx="157">
                  <c:v>0.54513888888888895</c:v>
                </c:pt>
                <c:pt idx="158">
                  <c:v>0.54861111111111105</c:v>
                </c:pt>
                <c:pt idx="159">
                  <c:v>0.55208333333333304</c:v>
                </c:pt>
                <c:pt idx="160">
                  <c:v>0.55555555555555602</c:v>
                </c:pt>
                <c:pt idx="161">
                  <c:v>0.55902777777777801</c:v>
                </c:pt>
                <c:pt idx="162">
                  <c:v>0.5625</c:v>
                </c:pt>
                <c:pt idx="163">
                  <c:v>0.56597222222222199</c:v>
                </c:pt>
                <c:pt idx="164">
                  <c:v>0.56944444444444398</c:v>
                </c:pt>
                <c:pt idx="165">
                  <c:v>0.57291666666666696</c:v>
                </c:pt>
                <c:pt idx="166">
                  <c:v>0.57638888888888895</c:v>
                </c:pt>
                <c:pt idx="167">
                  <c:v>0.57986111111111105</c:v>
                </c:pt>
                <c:pt idx="168">
                  <c:v>0.58333333333333304</c:v>
                </c:pt>
                <c:pt idx="169">
                  <c:v>0.58680555555555503</c:v>
                </c:pt>
                <c:pt idx="170">
                  <c:v>0.59027777777777801</c:v>
                </c:pt>
                <c:pt idx="171">
                  <c:v>0.59375</c:v>
                </c:pt>
                <c:pt idx="172">
                  <c:v>0.59722222222222199</c:v>
                </c:pt>
                <c:pt idx="173">
                  <c:v>0.60069444444444398</c:v>
                </c:pt>
                <c:pt idx="174">
                  <c:v>0.60416666666666696</c:v>
                </c:pt>
                <c:pt idx="175">
                  <c:v>0.60763888888888895</c:v>
                </c:pt>
                <c:pt idx="176">
                  <c:v>0.61111111111111105</c:v>
                </c:pt>
                <c:pt idx="177">
                  <c:v>0.61458333333333304</c:v>
                </c:pt>
                <c:pt idx="178">
                  <c:v>0.61805555555555503</c:v>
                </c:pt>
                <c:pt idx="179">
                  <c:v>0.62152777777777801</c:v>
                </c:pt>
                <c:pt idx="180">
                  <c:v>0.625</c:v>
                </c:pt>
                <c:pt idx="181">
                  <c:v>0.62847222222222199</c:v>
                </c:pt>
                <c:pt idx="182">
                  <c:v>0.63194444444444398</c:v>
                </c:pt>
                <c:pt idx="183">
                  <c:v>0.63541666666666696</c:v>
                </c:pt>
                <c:pt idx="184">
                  <c:v>0.63888888888888895</c:v>
                </c:pt>
                <c:pt idx="185">
                  <c:v>0.64236111111111105</c:v>
                </c:pt>
                <c:pt idx="186">
                  <c:v>0.64583333333333304</c:v>
                </c:pt>
                <c:pt idx="187">
                  <c:v>0.64930555555555503</c:v>
                </c:pt>
                <c:pt idx="188">
                  <c:v>0.65277777777777801</c:v>
                </c:pt>
                <c:pt idx="189">
                  <c:v>0.65625</c:v>
                </c:pt>
                <c:pt idx="190">
                  <c:v>0.65972222222222199</c:v>
                </c:pt>
                <c:pt idx="191">
                  <c:v>0.66319444444444398</c:v>
                </c:pt>
                <c:pt idx="192">
                  <c:v>0.66666666666666696</c:v>
                </c:pt>
                <c:pt idx="193">
                  <c:v>0.67013888888888895</c:v>
                </c:pt>
                <c:pt idx="194">
                  <c:v>0.67361111111111105</c:v>
                </c:pt>
                <c:pt idx="195">
                  <c:v>0.67708333333333304</c:v>
                </c:pt>
                <c:pt idx="196">
                  <c:v>0.68055555555555503</c:v>
                </c:pt>
                <c:pt idx="197">
                  <c:v>0.68402777777777801</c:v>
                </c:pt>
                <c:pt idx="198">
                  <c:v>0.6875</c:v>
                </c:pt>
                <c:pt idx="199">
                  <c:v>0.69097222222222199</c:v>
                </c:pt>
                <c:pt idx="200">
                  <c:v>0.69444444444444398</c:v>
                </c:pt>
                <c:pt idx="201">
                  <c:v>0.69791666666666696</c:v>
                </c:pt>
                <c:pt idx="202">
                  <c:v>0.70138888888888895</c:v>
                </c:pt>
                <c:pt idx="203">
                  <c:v>0.70486111111111105</c:v>
                </c:pt>
                <c:pt idx="204">
                  <c:v>0.70833333333333304</c:v>
                </c:pt>
                <c:pt idx="205">
                  <c:v>0.71180555555555503</c:v>
                </c:pt>
                <c:pt idx="206">
                  <c:v>0.71527777777777801</c:v>
                </c:pt>
                <c:pt idx="207">
                  <c:v>0.71875</c:v>
                </c:pt>
                <c:pt idx="208">
                  <c:v>0.72222222222222199</c:v>
                </c:pt>
                <c:pt idx="209">
                  <c:v>0.72569444444444398</c:v>
                </c:pt>
                <c:pt idx="210">
                  <c:v>0.72916666666666696</c:v>
                </c:pt>
                <c:pt idx="211">
                  <c:v>0.73263888888888895</c:v>
                </c:pt>
                <c:pt idx="212">
                  <c:v>0.73611111111111105</c:v>
                </c:pt>
                <c:pt idx="213">
                  <c:v>0.73958333333333304</c:v>
                </c:pt>
                <c:pt idx="214">
                  <c:v>0.74305555555555503</c:v>
                </c:pt>
                <c:pt idx="215">
                  <c:v>0.74652777777777801</c:v>
                </c:pt>
                <c:pt idx="216">
                  <c:v>0.75</c:v>
                </c:pt>
                <c:pt idx="217">
                  <c:v>0.75347222222222199</c:v>
                </c:pt>
                <c:pt idx="218">
                  <c:v>0.75694444444444398</c:v>
                </c:pt>
                <c:pt idx="219">
                  <c:v>0.76041666666666696</c:v>
                </c:pt>
                <c:pt idx="220">
                  <c:v>0.76388888888888895</c:v>
                </c:pt>
                <c:pt idx="221">
                  <c:v>0.76736111111111105</c:v>
                </c:pt>
                <c:pt idx="222">
                  <c:v>0.77083333333333304</c:v>
                </c:pt>
                <c:pt idx="223">
                  <c:v>0.77430555555555503</c:v>
                </c:pt>
                <c:pt idx="224">
                  <c:v>0.77777777777777801</c:v>
                </c:pt>
                <c:pt idx="225">
                  <c:v>0.78125</c:v>
                </c:pt>
                <c:pt idx="226">
                  <c:v>0.78472222222222199</c:v>
                </c:pt>
                <c:pt idx="227">
                  <c:v>0.78819444444444398</c:v>
                </c:pt>
                <c:pt idx="228">
                  <c:v>0.79166666666666696</c:v>
                </c:pt>
                <c:pt idx="229">
                  <c:v>0.79513888888888895</c:v>
                </c:pt>
                <c:pt idx="230">
                  <c:v>0.79861111111111105</c:v>
                </c:pt>
                <c:pt idx="231">
                  <c:v>0.80208333333333304</c:v>
                </c:pt>
                <c:pt idx="232">
                  <c:v>0.80555555555555503</c:v>
                </c:pt>
                <c:pt idx="233">
                  <c:v>0.80902777777777801</c:v>
                </c:pt>
                <c:pt idx="234">
                  <c:v>0.8125</c:v>
                </c:pt>
                <c:pt idx="235">
                  <c:v>0.81597222222222199</c:v>
                </c:pt>
                <c:pt idx="236">
                  <c:v>0.81944444444444398</c:v>
                </c:pt>
                <c:pt idx="237">
                  <c:v>0.82291666666666696</c:v>
                </c:pt>
                <c:pt idx="238">
                  <c:v>0.82638888888888895</c:v>
                </c:pt>
                <c:pt idx="239">
                  <c:v>0.82986111111111105</c:v>
                </c:pt>
                <c:pt idx="240">
                  <c:v>0.83333333333333304</c:v>
                </c:pt>
                <c:pt idx="241">
                  <c:v>0.83680555555555503</c:v>
                </c:pt>
                <c:pt idx="242">
                  <c:v>0.84027777777777801</c:v>
                </c:pt>
                <c:pt idx="243">
                  <c:v>0.84375</c:v>
                </c:pt>
                <c:pt idx="244">
                  <c:v>0.84722222222222199</c:v>
                </c:pt>
                <c:pt idx="245">
                  <c:v>0.85069444444444398</c:v>
                </c:pt>
                <c:pt idx="246">
                  <c:v>0.85416666666666696</c:v>
                </c:pt>
                <c:pt idx="247">
                  <c:v>0.85763888888888895</c:v>
                </c:pt>
                <c:pt idx="248">
                  <c:v>0.86111111111111105</c:v>
                </c:pt>
                <c:pt idx="249">
                  <c:v>0.86458333333333304</c:v>
                </c:pt>
                <c:pt idx="250">
                  <c:v>0.86805555555555503</c:v>
                </c:pt>
                <c:pt idx="251">
                  <c:v>0.87152777777777801</c:v>
                </c:pt>
                <c:pt idx="252">
                  <c:v>0.875</c:v>
                </c:pt>
                <c:pt idx="253">
                  <c:v>0.87847222222222199</c:v>
                </c:pt>
                <c:pt idx="254">
                  <c:v>0.88194444444444398</c:v>
                </c:pt>
                <c:pt idx="255">
                  <c:v>0.88541666666666696</c:v>
                </c:pt>
                <c:pt idx="256">
                  <c:v>0.88888888888888895</c:v>
                </c:pt>
                <c:pt idx="257">
                  <c:v>0.89236111111111105</c:v>
                </c:pt>
                <c:pt idx="258">
                  <c:v>0.89583333333333304</c:v>
                </c:pt>
                <c:pt idx="259">
                  <c:v>0.89930555555555503</c:v>
                </c:pt>
                <c:pt idx="260">
                  <c:v>0.90277777777777801</c:v>
                </c:pt>
                <c:pt idx="261">
                  <c:v>0.90625</c:v>
                </c:pt>
                <c:pt idx="262">
                  <c:v>0.90972222222222199</c:v>
                </c:pt>
                <c:pt idx="263">
                  <c:v>0.91319444444444398</c:v>
                </c:pt>
                <c:pt idx="264">
                  <c:v>0.91666666666666696</c:v>
                </c:pt>
                <c:pt idx="265">
                  <c:v>0.92013888888888895</c:v>
                </c:pt>
                <c:pt idx="266">
                  <c:v>0.92361111111111105</c:v>
                </c:pt>
                <c:pt idx="267">
                  <c:v>0.92708333333333304</c:v>
                </c:pt>
                <c:pt idx="268">
                  <c:v>0.93055555555555503</c:v>
                </c:pt>
                <c:pt idx="269">
                  <c:v>0.93402777777777801</c:v>
                </c:pt>
                <c:pt idx="270">
                  <c:v>0.9375</c:v>
                </c:pt>
                <c:pt idx="271">
                  <c:v>0.94097222222222199</c:v>
                </c:pt>
                <c:pt idx="272">
                  <c:v>0.94444444444444398</c:v>
                </c:pt>
                <c:pt idx="273">
                  <c:v>0.94791666666666696</c:v>
                </c:pt>
                <c:pt idx="274">
                  <c:v>0.95138888888888895</c:v>
                </c:pt>
                <c:pt idx="275">
                  <c:v>0.95486111111111105</c:v>
                </c:pt>
                <c:pt idx="276">
                  <c:v>0.95833333333333304</c:v>
                </c:pt>
                <c:pt idx="277">
                  <c:v>0.96180555555555503</c:v>
                </c:pt>
                <c:pt idx="278">
                  <c:v>0.96527777777777801</c:v>
                </c:pt>
                <c:pt idx="279">
                  <c:v>0.96875</c:v>
                </c:pt>
                <c:pt idx="280">
                  <c:v>0.97222222222222199</c:v>
                </c:pt>
                <c:pt idx="281">
                  <c:v>0.97569444444444398</c:v>
                </c:pt>
                <c:pt idx="282">
                  <c:v>0.97916666666666696</c:v>
                </c:pt>
                <c:pt idx="283">
                  <c:v>0.98263888888888895</c:v>
                </c:pt>
                <c:pt idx="284">
                  <c:v>0.98611111111111105</c:v>
                </c:pt>
                <c:pt idx="285">
                  <c:v>0.98958333333333304</c:v>
                </c:pt>
                <c:pt idx="286">
                  <c:v>0.99305555555555503</c:v>
                </c:pt>
                <c:pt idx="287">
                  <c:v>0.99652777777777801</c:v>
                </c:pt>
              </c:numCache>
            </c:numRef>
          </c:cat>
          <c:val>
            <c:numRef>
              <c:f>ChtLd!$F$2:$F$289</c:f>
              <c:numCache>
                <c:formatCode>0.00</c:formatCode>
                <c:ptCount val="288"/>
                <c:pt idx="0" formatCode="0.0">
                  <c:v>25</c:v>
                </c:pt>
                <c:pt idx="1">
                  <c:v>25.05</c:v>
                </c:pt>
                <c:pt idx="2">
                  <c:v>25.1</c:v>
                </c:pt>
                <c:pt idx="3">
                  <c:v>25.150000000000002</c:v>
                </c:pt>
                <c:pt idx="4">
                  <c:v>25.200000000000003</c:v>
                </c:pt>
                <c:pt idx="5">
                  <c:v>25.250000000000004</c:v>
                </c:pt>
                <c:pt idx="6">
                  <c:v>25.300000000000004</c:v>
                </c:pt>
                <c:pt idx="7">
                  <c:v>25.350000000000005</c:v>
                </c:pt>
                <c:pt idx="8">
                  <c:v>25.400000000000006</c:v>
                </c:pt>
                <c:pt idx="9">
                  <c:v>25.450000000000006</c:v>
                </c:pt>
                <c:pt idx="10">
                  <c:v>25.500000000000007</c:v>
                </c:pt>
                <c:pt idx="11">
                  <c:v>25.550000000000008</c:v>
                </c:pt>
                <c:pt idx="12">
                  <c:v>25.600000000000009</c:v>
                </c:pt>
                <c:pt idx="13">
                  <c:v>25.650000000000009</c:v>
                </c:pt>
                <c:pt idx="14">
                  <c:v>25.70000000000001</c:v>
                </c:pt>
                <c:pt idx="15">
                  <c:v>25.750000000000011</c:v>
                </c:pt>
                <c:pt idx="16">
                  <c:v>25.800000000000011</c:v>
                </c:pt>
                <c:pt idx="17">
                  <c:v>25.850000000000012</c:v>
                </c:pt>
                <c:pt idx="18">
                  <c:v>25.900000000000013</c:v>
                </c:pt>
                <c:pt idx="19">
                  <c:v>25.950000000000014</c:v>
                </c:pt>
                <c:pt idx="20">
                  <c:v>26.000000000000014</c:v>
                </c:pt>
                <c:pt idx="21">
                  <c:v>26.050000000000015</c:v>
                </c:pt>
                <c:pt idx="22">
                  <c:v>26.100000000000016</c:v>
                </c:pt>
                <c:pt idx="23">
                  <c:v>26.150000000000016</c:v>
                </c:pt>
                <c:pt idx="24">
                  <c:v>26.200000000000017</c:v>
                </c:pt>
                <c:pt idx="25">
                  <c:v>26.250000000000018</c:v>
                </c:pt>
                <c:pt idx="26">
                  <c:v>26.300000000000018</c:v>
                </c:pt>
                <c:pt idx="27">
                  <c:v>26.350000000000019</c:v>
                </c:pt>
                <c:pt idx="28">
                  <c:v>26.40000000000002</c:v>
                </c:pt>
                <c:pt idx="29">
                  <c:v>26.450000000000021</c:v>
                </c:pt>
                <c:pt idx="30">
                  <c:v>26.500000000000021</c:v>
                </c:pt>
                <c:pt idx="31">
                  <c:v>26.550000000000022</c:v>
                </c:pt>
                <c:pt idx="32">
                  <c:v>26.600000000000023</c:v>
                </c:pt>
                <c:pt idx="33">
                  <c:v>26.650000000000023</c:v>
                </c:pt>
                <c:pt idx="34">
                  <c:v>26.700000000000024</c:v>
                </c:pt>
                <c:pt idx="35">
                  <c:v>26.750000000000025</c:v>
                </c:pt>
                <c:pt idx="36">
                  <c:v>26.800000000000026</c:v>
                </c:pt>
                <c:pt idx="37">
                  <c:v>26.850000000000026</c:v>
                </c:pt>
                <c:pt idx="38">
                  <c:v>26.900000000000027</c:v>
                </c:pt>
                <c:pt idx="39">
                  <c:v>26.950000000000028</c:v>
                </c:pt>
                <c:pt idx="40">
                  <c:v>27.000000000000028</c:v>
                </c:pt>
                <c:pt idx="41">
                  <c:v>27.050000000000029</c:v>
                </c:pt>
                <c:pt idx="42">
                  <c:v>27.10000000000003</c:v>
                </c:pt>
                <c:pt idx="43">
                  <c:v>27.150000000000031</c:v>
                </c:pt>
                <c:pt idx="44">
                  <c:v>27.200000000000031</c:v>
                </c:pt>
                <c:pt idx="45">
                  <c:v>27.250000000000032</c:v>
                </c:pt>
                <c:pt idx="46">
                  <c:v>27.300000000000033</c:v>
                </c:pt>
                <c:pt idx="47">
                  <c:v>27.350000000000033</c:v>
                </c:pt>
                <c:pt idx="48">
                  <c:v>27.400000000000034</c:v>
                </c:pt>
                <c:pt idx="49">
                  <c:v>27.450000000000035</c:v>
                </c:pt>
                <c:pt idx="50">
                  <c:v>27.500000000000036</c:v>
                </c:pt>
                <c:pt idx="51">
                  <c:v>27.550000000000036</c:v>
                </c:pt>
                <c:pt idx="52">
                  <c:v>27.600000000000037</c:v>
                </c:pt>
                <c:pt idx="53">
                  <c:v>27.650000000000038</c:v>
                </c:pt>
                <c:pt idx="54">
                  <c:v>27.700000000000038</c:v>
                </c:pt>
                <c:pt idx="55">
                  <c:v>27.750000000000039</c:v>
                </c:pt>
                <c:pt idx="56">
                  <c:v>27.80000000000004</c:v>
                </c:pt>
                <c:pt idx="57">
                  <c:v>27.850000000000041</c:v>
                </c:pt>
                <c:pt idx="58">
                  <c:v>27.900000000000041</c:v>
                </c:pt>
                <c:pt idx="59">
                  <c:v>27.950000000000042</c:v>
                </c:pt>
                <c:pt idx="60">
                  <c:v>28.000000000000043</c:v>
                </c:pt>
                <c:pt idx="61">
                  <c:v>28.050000000000043</c:v>
                </c:pt>
                <c:pt idx="62">
                  <c:v>28.100000000000044</c:v>
                </c:pt>
                <c:pt idx="63">
                  <c:v>28.150000000000045</c:v>
                </c:pt>
                <c:pt idx="64">
                  <c:v>28.200000000000045</c:v>
                </c:pt>
                <c:pt idx="65">
                  <c:v>28.250000000000046</c:v>
                </c:pt>
                <c:pt idx="66">
                  <c:v>28.300000000000047</c:v>
                </c:pt>
                <c:pt idx="67">
                  <c:v>28.350000000000048</c:v>
                </c:pt>
                <c:pt idx="68">
                  <c:v>28.400000000000048</c:v>
                </c:pt>
                <c:pt idx="69">
                  <c:v>28.450000000000049</c:v>
                </c:pt>
                <c:pt idx="70">
                  <c:v>28.50000000000005</c:v>
                </c:pt>
                <c:pt idx="71">
                  <c:v>28.55000000000005</c:v>
                </c:pt>
                <c:pt idx="72">
                  <c:v>28.600000000000051</c:v>
                </c:pt>
                <c:pt idx="73">
                  <c:v>28.650000000000052</c:v>
                </c:pt>
                <c:pt idx="74">
                  <c:v>28.700000000000053</c:v>
                </c:pt>
                <c:pt idx="75">
                  <c:v>28.750000000000053</c:v>
                </c:pt>
                <c:pt idx="76">
                  <c:v>28.800000000000054</c:v>
                </c:pt>
                <c:pt idx="77">
                  <c:v>28.850000000000055</c:v>
                </c:pt>
                <c:pt idx="78">
                  <c:v>28.900000000000055</c:v>
                </c:pt>
                <c:pt idx="79">
                  <c:v>28.950000000000056</c:v>
                </c:pt>
                <c:pt idx="80">
                  <c:v>29.000000000000057</c:v>
                </c:pt>
                <c:pt idx="81">
                  <c:v>29.050000000000058</c:v>
                </c:pt>
                <c:pt idx="82">
                  <c:v>29.100000000000058</c:v>
                </c:pt>
                <c:pt idx="83">
                  <c:v>29.150000000000059</c:v>
                </c:pt>
                <c:pt idx="84">
                  <c:v>29.20000000000006</c:v>
                </c:pt>
                <c:pt idx="85">
                  <c:v>29.25000000000006</c:v>
                </c:pt>
                <c:pt idx="86">
                  <c:v>29.300000000000061</c:v>
                </c:pt>
                <c:pt idx="87">
                  <c:v>29.350000000000062</c:v>
                </c:pt>
                <c:pt idx="88">
                  <c:v>29.400000000000063</c:v>
                </c:pt>
                <c:pt idx="89">
                  <c:v>29.450000000000063</c:v>
                </c:pt>
                <c:pt idx="90">
                  <c:v>29.500000000000064</c:v>
                </c:pt>
                <c:pt idx="91">
                  <c:v>29.550000000000065</c:v>
                </c:pt>
                <c:pt idx="92">
                  <c:v>29.600000000000065</c:v>
                </c:pt>
                <c:pt idx="93">
                  <c:v>29.650000000000066</c:v>
                </c:pt>
                <c:pt idx="94">
                  <c:v>29.700000000000067</c:v>
                </c:pt>
                <c:pt idx="95">
                  <c:v>29.750000000000068</c:v>
                </c:pt>
                <c:pt idx="96">
                  <c:v>29.800000000000068</c:v>
                </c:pt>
                <c:pt idx="97">
                  <c:v>29.850000000000069</c:v>
                </c:pt>
                <c:pt idx="98">
                  <c:v>29.90000000000007</c:v>
                </c:pt>
                <c:pt idx="99">
                  <c:v>29.95000000000007</c:v>
                </c:pt>
                <c:pt idx="100">
                  <c:v>30.000000000000071</c:v>
                </c:pt>
                <c:pt idx="101">
                  <c:v>30.050000000000072</c:v>
                </c:pt>
                <c:pt idx="102">
                  <c:v>30.100000000000072</c:v>
                </c:pt>
                <c:pt idx="103">
                  <c:v>30.150000000000073</c:v>
                </c:pt>
                <c:pt idx="104">
                  <c:v>30.200000000000074</c:v>
                </c:pt>
                <c:pt idx="105">
                  <c:v>30.250000000000075</c:v>
                </c:pt>
                <c:pt idx="106">
                  <c:v>30.300000000000075</c:v>
                </c:pt>
                <c:pt idx="107">
                  <c:v>30.350000000000076</c:v>
                </c:pt>
                <c:pt idx="108">
                  <c:v>30.400000000000077</c:v>
                </c:pt>
                <c:pt idx="109">
                  <c:v>30.450000000000077</c:v>
                </c:pt>
                <c:pt idx="110">
                  <c:v>30.500000000000078</c:v>
                </c:pt>
                <c:pt idx="111">
                  <c:v>30.550000000000079</c:v>
                </c:pt>
                <c:pt idx="112">
                  <c:v>30.60000000000008</c:v>
                </c:pt>
                <c:pt idx="113">
                  <c:v>30.65000000000008</c:v>
                </c:pt>
                <c:pt idx="114">
                  <c:v>30.700000000000081</c:v>
                </c:pt>
                <c:pt idx="115">
                  <c:v>30.750000000000082</c:v>
                </c:pt>
                <c:pt idx="116">
                  <c:v>30.800000000000082</c:v>
                </c:pt>
                <c:pt idx="117">
                  <c:v>30.850000000000083</c:v>
                </c:pt>
                <c:pt idx="118">
                  <c:v>30.900000000000084</c:v>
                </c:pt>
                <c:pt idx="119">
                  <c:v>30.950000000000085</c:v>
                </c:pt>
                <c:pt idx="120">
                  <c:v>31.000000000000085</c:v>
                </c:pt>
                <c:pt idx="121">
                  <c:v>31.050000000000086</c:v>
                </c:pt>
                <c:pt idx="122">
                  <c:v>31.100000000000087</c:v>
                </c:pt>
                <c:pt idx="123">
                  <c:v>31.150000000000087</c:v>
                </c:pt>
                <c:pt idx="124">
                  <c:v>31.200000000000088</c:v>
                </c:pt>
                <c:pt idx="125">
                  <c:v>31.250000000000089</c:v>
                </c:pt>
                <c:pt idx="126">
                  <c:v>31.30000000000009</c:v>
                </c:pt>
                <c:pt idx="127">
                  <c:v>31.35000000000009</c:v>
                </c:pt>
                <c:pt idx="128">
                  <c:v>31.400000000000091</c:v>
                </c:pt>
                <c:pt idx="129">
                  <c:v>31.450000000000092</c:v>
                </c:pt>
                <c:pt idx="130">
                  <c:v>31.500000000000092</c:v>
                </c:pt>
                <c:pt idx="131">
                  <c:v>31.550000000000093</c:v>
                </c:pt>
                <c:pt idx="132">
                  <c:v>31.600000000000094</c:v>
                </c:pt>
                <c:pt idx="133">
                  <c:v>31.650000000000095</c:v>
                </c:pt>
                <c:pt idx="134">
                  <c:v>31.700000000000095</c:v>
                </c:pt>
                <c:pt idx="135">
                  <c:v>31.750000000000096</c:v>
                </c:pt>
                <c:pt idx="136">
                  <c:v>31.800000000000097</c:v>
                </c:pt>
                <c:pt idx="137">
                  <c:v>31.850000000000097</c:v>
                </c:pt>
                <c:pt idx="138">
                  <c:v>31.900000000000098</c:v>
                </c:pt>
                <c:pt idx="139">
                  <c:v>31.950000000000099</c:v>
                </c:pt>
                <c:pt idx="140">
                  <c:v>32.000000000000099</c:v>
                </c:pt>
                <c:pt idx="141">
                  <c:v>32.050000000000097</c:v>
                </c:pt>
                <c:pt idx="142">
                  <c:v>32.100000000000094</c:v>
                </c:pt>
                <c:pt idx="143">
                  <c:v>32.150000000000091</c:v>
                </c:pt>
                <c:pt idx="144">
                  <c:v>32.200000000000088</c:v>
                </c:pt>
                <c:pt idx="145">
                  <c:v>32.250000000000085</c:v>
                </c:pt>
                <c:pt idx="146">
                  <c:v>32.300000000000082</c:v>
                </c:pt>
                <c:pt idx="147">
                  <c:v>32.35000000000008</c:v>
                </c:pt>
                <c:pt idx="148">
                  <c:v>32.400000000000077</c:v>
                </c:pt>
                <c:pt idx="149">
                  <c:v>32.450000000000074</c:v>
                </c:pt>
                <c:pt idx="150">
                  <c:v>32.500000000000071</c:v>
                </c:pt>
                <c:pt idx="151">
                  <c:v>32.550000000000068</c:v>
                </c:pt>
                <c:pt idx="152">
                  <c:v>32.600000000000065</c:v>
                </c:pt>
                <c:pt idx="153">
                  <c:v>32.650000000000063</c:v>
                </c:pt>
                <c:pt idx="154">
                  <c:v>32.70000000000006</c:v>
                </c:pt>
                <c:pt idx="155">
                  <c:v>32.750000000000057</c:v>
                </c:pt>
                <c:pt idx="156">
                  <c:v>32.800000000000054</c:v>
                </c:pt>
                <c:pt idx="157">
                  <c:v>32.850000000000051</c:v>
                </c:pt>
                <c:pt idx="158">
                  <c:v>32.900000000000048</c:v>
                </c:pt>
                <c:pt idx="159">
                  <c:v>32.950000000000045</c:v>
                </c:pt>
                <c:pt idx="160">
                  <c:v>33.000000000000043</c:v>
                </c:pt>
                <c:pt idx="161">
                  <c:v>33.05000000000004</c:v>
                </c:pt>
                <c:pt idx="162">
                  <c:v>33.100000000000037</c:v>
                </c:pt>
                <c:pt idx="163">
                  <c:v>33.150000000000034</c:v>
                </c:pt>
                <c:pt idx="164">
                  <c:v>33.200000000000031</c:v>
                </c:pt>
                <c:pt idx="165">
                  <c:v>33.250000000000028</c:v>
                </c:pt>
                <c:pt idx="166">
                  <c:v>33.300000000000026</c:v>
                </c:pt>
                <c:pt idx="167">
                  <c:v>33.350000000000023</c:v>
                </c:pt>
                <c:pt idx="168">
                  <c:v>33.40000000000002</c:v>
                </c:pt>
                <c:pt idx="169">
                  <c:v>33.450000000000017</c:v>
                </c:pt>
                <c:pt idx="170">
                  <c:v>33.500000000000014</c:v>
                </c:pt>
                <c:pt idx="171">
                  <c:v>33.550000000000011</c:v>
                </c:pt>
                <c:pt idx="172">
                  <c:v>33.600000000000009</c:v>
                </c:pt>
                <c:pt idx="173">
                  <c:v>33.650000000000006</c:v>
                </c:pt>
                <c:pt idx="174">
                  <c:v>33.700000000000003</c:v>
                </c:pt>
                <c:pt idx="175">
                  <c:v>33.75</c:v>
                </c:pt>
                <c:pt idx="176">
                  <c:v>33.799999999999997</c:v>
                </c:pt>
                <c:pt idx="177">
                  <c:v>33.849999999999994</c:v>
                </c:pt>
                <c:pt idx="178">
                  <c:v>33.899999999999991</c:v>
                </c:pt>
                <c:pt idx="179">
                  <c:v>33.949999999999989</c:v>
                </c:pt>
                <c:pt idx="180">
                  <c:v>33.999999999999986</c:v>
                </c:pt>
                <c:pt idx="181">
                  <c:v>34.049999999999983</c:v>
                </c:pt>
                <c:pt idx="182">
                  <c:v>34.09999999999998</c:v>
                </c:pt>
                <c:pt idx="183">
                  <c:v>34.149999999999977</c:v>
                </c:pt>
                <c:pt idx="184">
                  <c:v>34.199999999999974</c:v>
                </c:pt>
                <c:pt idx="185">
                  <c:v>34.249999999999972</c:v>
                </c:pt>
                <c:pt idx="186">
                  <c:v>34.299999999999969</c:v>
                </c:pt>
                <c:pt idx="187">
                  <c:v>34.349999999999966</c:v>
                </c:pt>
                <c:pt idx="188">
                  <c:v>34.399999999999963</c:v>
                </c:pt>
                <c:pt idx="189">
                  <c:v>34.44999999999996</c:v>
                </c:pt>
                <c:pt idx="190">
                  <c:v>34.499999999999957</c:v>
                </c:pt>
                <c:pt idx="191">
                  <c:v>34.549999999999955</c:v>
                </c:pt>
                <c:pt idx="192">
                  <c:v>34.599999999999952</c:v>
                </c:pt>
                <c:pt idx="193">
                  <c:v>34.649999999999949</c:v>
                </c:pt>
                <c:pt idx="194">
                  <c:v>34.699999999999946</c:v>
                </c:pt>
                <c:pt idx="195">
                  <c:v>34.749999999999943</c:v>
                </c:pt>
                <c:pt idx="196">
                  <c:v>34.79999999999994</c:v>
                </c:pt>
                <c:pt idx="197">
                  <c:v>34.849999999999937</c:v>
                </c:pt>
                <c:pt idx="198">
                  <c:v>34.899999999999935</c:v>
                </c:pt>
                <c:pt idx="199">
                  <c:v>34.949999999999932</c:v>
                </c:pt>
                <c:pt idx="200">
                  <c:v>34.999999999999929</c:v>
                </c:pt>
                <c:pt idx="201">
                  <c:v>35.049999999999926</c:v>
                </c:pt>
                <c:pt idx="202">
                  <c:v>35.099999999999923</c:v>
                </c:pt>
                <c:pt idx="203">
                  <c:v>35.14999999999992</c:v>
                </c:pt>
                <c:pt idx="204">
                  <c:v>35.199999999999918</c:v>
                </c:pt>
                <c:pt idx="205">
                  <c:v>35.249999999999915</c:v>
                </c:pt>
                <c:pt idx="206">
                  <c:v>35.299999999999912</c:v>
                </c:pt>
                <c:pt idx="207">
                  <c:v>35.349999999999909</c:v>
                </c:pt>
                <c:pt idx="208">
                  <c:v>35.399999999999906</c:v>
                </c:pt>
                <c:pt idx="209">
                  <c:v>35.449999999999903</c:v>
                </c:pt>
                <c:pt idx="210">
                  <c:v>35.499999999999901</c:v>
                </c:pt>
                <c:pt idx="211">
                  <c:v>35.549999999999898</c:v>
                </c:pt>
                <c:pt idx="212">
                  <c:v>35.599999999999895</c:v>
                </c:pt>
                <c:pt idx="213">
                  <c:v>35.649999999999892</c:v>
                </c:pt>
                <c:pt idx="214">
                  <c:v>35.699999999999889</c:v>
                </c:pt>
                <c:pt idx="215">
                  <c:v>35.749999999999886</c:v>
                </c:pt>
                <c:pt idx="216">
                  <c:v>35.799999999999883</c:v>
                </c:pt>
                <c:pt idx="217">
                  <c:v>35.849999999999881</c:v>
                </c:pt>
                <c:pt idx="218">
                  <c:v>35.899999999999878</c:v>
                </c:pt>
                <c:pt idx="219">
                  <c:v>35.949999999999875</c:v>
                </c:pt>
                <c:pt idx="220">
                  <c:v>35.999999999999872</c:v>
                </c:pt>
                <c:pt idx="221">
                  <c:v>36.049999999999869</c:v>
                </c:pt>
                <c:pt idx="222">
                  <c:v>36.099999999999866</c:v>
                </c:pt>
                <c:pt idx="223">
                  <c:v>36.149999999999864</c:v>
                </c:pt>
                <c:pt idx="224">
                  <c:v>36.199999999999861</c:v>
                </c:pt>
                <c:pt idx="225">
                  <c:v>36.249999999999858</c:v>
                </c:pt>
                <c:pt idx="226">
                  <c:v>36.299999999999855</c:v>
                </c:pt>
                <c:pt idx="227">
                  <c:v>36.349999999999852</c:v>
                </c:pt>
                <c:pt idx="228">
                  <c:v>36.399999999999849</c:v>
                </c:pt>
                <c:pt idx="229">
                  <c:v>36.449999999999847</c:v>
                </c:pt>
                <c:pt idx="230">
                  <c:v>36.499999999999844</c:v>
                </c:pt>
                <c:pt idx="231">
                  <c:v>36.549999999999841</c:v>
                </c:pt>
                <c:pt idx="232">
                  <c:v>36.599999999999838</c:v>
                </c:pt>
                <c:pt idx="233">
                  <c:v>36.649999999999835</c:v>
                </c:pt>
                <c:pt idx="234">
                  <c:v>36.699999999999832</c:v>
                </c:pt>
                <c:pt idx="235">
                  <c:v>36.749999999999829</c:v>
                </c:pt>
                <c:pt idx="236">
                  <c:v>36.799999999999827</c:v>
                </c:pt>
                <c:pt idx="237">
                  <c:v>36.849999999999824</c:v>
                </c:pt>
                <c:pt idx="238">
                  <c:v>36.899999999999821</c:v>
                </c:pt>
                <c:pt idx="239">
                  <c:v>36.949999999999818</c:v>
                </c:pt>
                <c:pt idx="240">
                  <c:v>36.999999999999815</c:v>
                </c:pt>
                <c:pt idx="241">
                  <c:v>37.049999999999812</c:v>
                </c:pt>
                <c:pt idx="242">
                  <c:v>37.09999999999981</c:v>
                </c:pt>
                <c:pt idx="243">
                  <c:v>37.149999999999807</c:v>
                </c:pt>
                <c:pt idx="244">
                  <c:v>37.199999999999804</c:v>
                </c:pt>
                <c:pt idx="245">
                  <c:v>37.249999999999801</c:v>
                </c:pt>
                <c:pt idx="246">
                  <c:v>37.299999999999798</c:v>
                </c:pt>
                <c:pt idx="247">
                  <c:v>37.349999999999795</c:v>
                </c:pt>
                <c:pt idx="248">
                  <c:v>37.399999999999793</c:v>
                </c:pt>
                <c:pt idx="249">
                  <c:v>37.44999999999979</c:v>
                </c:pt>
                <c:pt idx="250">
                  <c:v>37.499999999999787</c:v>
                </c:pt>
                <c:pt idx="251">
                  <c:v>37.549999999999784</c:v>
                </c:pt>
                <c:pt idx="252">
                  <c:v>37.599999999999781</c:v>
                </c:pt>
                <c:pt idx="253">
                  <c:v>37.649999999999778</c:v>
                </c:pt>
                <c:pt idx="254">
                  <c:v>37.699999999999775</c:v>
                </c:pt>
                <c:pt idx="255">
                  <c:v>37.749999999999773</c:v>
                </c:pt>
                <c:pt idx="256">
                  <c:v>37.79999999999977</c:v>
                </c:pt>
                <c:pt idx="257">
                  <c:v>37.849999999999767</c:v>
                </c:pt>
                <c:pt idx="258">
                  <c:v>37.899999999999764</c:v>
                </c:pt>
                <c:pt idx="259">
                  <c:v>37.949999999999761</c:v>
                </c:pt>
                <c:pt idx="260">
                  <c:v>37.999999999999758</c:v>
                </c:pt>
                <c:pt idx="261">
                  <c:v>38.049999999999756</c:v>
                </c:pt>
                <c:pt idx="262">
                  <c:v>38.099999999999753</c:v>
                </c:pt>
                <c:pt idx="263">
                  <c:v>38.14999999999975</c:v>
                </c:pt>
                <c:pt idx="264">
                  <c:v>38.199999999999747</c:v>
                </c:pt>
                <c:pt idx="265">
                  <c:v>38.249999999999744</c:v>
                </c:pt>
                <c:pt idx="266">
                  <c:v>38.299999999999741</c:v>
                </c:pt>
                <c:pt idx="267">
                  <c:v>38.349999999999739</c:v>
                </c:pt>
                <c:pt idx="268">
                  <c:v>38.399999999999736</c:v>
                </c:pt>
                <c:pt idx="269">
                  <c:v>38.449999999999733</c:v>
                </c:pt>
                <c:pt idx="270">
                  <c:v>38.49999999999973</c:v>
                </c:pt>
                <c:pt idx="271">
                  <c:v>38.549999999999727</c:v>
                </c:pt>
                <c:pt idx="272">
                  <c:v>38.599999999999724</c:v>
                </c:pt>
                <c:pt idx="273">
                  <c:v>38.649999999999721</c:v>
                </c:pt>
                <c:pt idx="274">
                  <c:v>38.699999999999719</c:v>
                </c:pt>
                <c:pt idx="275">
                  <c:v>38.749999999999716</c:v>
                </c:pt>
                <c:pt idx="276">
                  <c:v>38.799999999999713</c:v>
                </c:pt>
                <c:pt idx="277">
                  <c:v>38.84999999999971</c:v>
                </c:pt>
                <c:pt idx="278">
                  <c:v>38.899999999999707</c:v>
                </c:pt>
                <c:pt idx="279">
                  <c:v>38.949999999999704</c:v>
                </c:pt>
                <c:pt idx="280">
                  <c:v>38.999999999999702</c:v>
                </c:pt>
                <c:pt idx="281">
                  <c:v>39.049999999999699</c:v>
                </c:pt>
                <c:pt idx="282">
                  <c:v>39.099999999999696</c:v>
                </c:pt>
                <c:pt idx="283">
                  <c:v>39.149999999999693</c:v>
                </c:pt>
                <c:pt idx="284">
                  <c:v>39.19999999999969</c:v>
                </c:pt>
                <c:pt idx="285">
                  <c:v>39.249999999999687</c:v>
                </c:pt>
                <c:pt idx="286">
                  <c:v>39.299999999999685</c:v>
                </c:pt>
                <c:pt idx="287">
                  <c:v>39.349999999999682</c:v>
                </c:pt>
              </c:numCache>
            </c:numRef>
          </c:val>
          <c:smooth val="0"/>
        </c:ser>
        <c:ser>
          <c:idx val="5"/>
          <c:order val="5"/>
          <c:tx>
            <c:strRef>
              <c:f>ChtLd!$G$1</c:f>
              <c:strCache>
                <c:ptCount val="1"/>
                <c:pt idx="0">
                  <c:v>Line 6</c:v>
                </c:pt>
              </c:strCache>
            </c:strRef>
          </c:tx>
          <c:marker>
            <c:symbol val="none"/>
          </c:marker>
          <c:cat>
            <c:numRef>
              <c:f>ChtLd!$A$2:$A$289</c:f>
              <c:numCache>
                <c:formatCode>h:mm;@</c:formatCode>
                <c:ptCount val="288"/>
                <c:pt idx="0">
                  <c:v>0</c:v>
                </c:pt>
                <c:pt idx="1">
                  <c:v>3.472222222222222E-3</c:v>
                </c:pt>
                <c:pt idx="2">
                  <c:v>6.9444444444444397E-3</c:v>
                </c:pt>
                <c:pt idx="3">
                  <c:v>1.0416666666666701E-2</c:v>
                </c:pt>
                <c:pt idx="4">
                  <c:v>1.38888888888889E-2</c:v>
                </c:pt>
                <c:pt idx="5">
                  <c:v>1.7361111111111101E-2</c:v>
                </c:pt>
                <c:pt idx="6">
                  <c:v>2.0833333333333301E-2</c:v>
                </c:pt>
                <c:pt idx="7">
                  <c:v>2.4305555555555601E-2</c:v>
                </c:pt>
                <c:pt idx="8">
                  <c:v>2.7777777777777801E-2</c:v>
                </c:pt>
                <c:pt idx="9">
                  <c:v>3.125E-2</c:v>
                </c:pt>
                <c:pt idx="10">
                  <c:v>3.4722222222222203E-2</c:v>
                </c:pt>
                <c:pt idx="11">
                  <c:v>3.8194444444444399E-2</c:v>
                </c:pt>
                <c:pt idx="12">
                  <c:v>4.1666666666666699E-2</c:v>
                </c:pt>
                <c:pt idx="13">
                  <c:v>4.5138888888888902E-2</c:v>
                </c:pt>
                <c:pt idx="14">
                  <c:v>4.8611111111111098E-2</c:v>
                </c:pt>
                <c:pt idx="15">
                  <c:v>5.2083333333333301E-2</c:v>
                </c:pt>
                <c:pt idx="16">
                  <c:v>5.5555555555555601E-2</c:v>
                </c:pt>
                <c:pt idx="17">
                  <c:v>5.9027777777777797E-2</c:v>
                </c:pt>
                <c:pt idx="18">
                  <c:v>6.25E-2</c:v>
                </c:pt>
                <c:pt idx="19">
                  <c:v>6.5972222222222196E-2</c:v>
                </c:pt>
                <c:pt idx="20">
                  <c:v>6.9444444444444406E-2</c:v>
                </c:pt>
                <c:pt idx="21">
                  <c:v>7.2916666666666699E-2</c:v>
                </c:pt>
                <c:pt idx="22">
                  <c:v>7.6388888888888895E-2</c:v>
                </c:pt>
                <c:pt idx="23">
                  <c:v>7.9861111111111105E-2</c:v>
                </c:pt>
                <c:pt idx="24">
                  <c:v>8.3333333333333301E-2</c:v>
                </c:pt>
                <c:pt idx="25">
                  <c:v>8.6805555555555594E-2</c:v>
                </c:pt>
                <c:pt idx="26">
                  <c:v>9.0277777777777804E-2</c:v>
                </c:pt>
                <c:pt idx="27">
                  <c:v>9.375E-2</c:v>
                </c:pt>
                <c:pt idx="28">
                  <c:v>9.7222222222222196E-2</c:v>
                </c:pt>
                <c:pt idx="29">
                  <c:v>0.100694444444444</c:v>
                </c:pt>
                <c:pt idx="30">
                  <c:v>0.104166666666667</c:v>
                </c:pt>
                <c:pt idx="31">
                  <c:v>0.10763888888888901</c:v>
                </c:pt>
                <c:pt idx="32">
                  <c:v>0.11111111111111099</c:v>
                </c:pt>
                <c:pt idx="33">
                  <c:v>0.114583333333333</c:v>
                </c:pt>
                <c:pt idx="34">
                  <c:v>0.118055555555556</c:v>
                </c:pt>
                <c:pt idx="35">
                  <c:v>0.121527777777778</c:v>
                </c:pt>
                <c:pt idx="36">
                  <c:v>0.125</c:v>
                </c:pt>
                <c:pt idx="37">
                  <c:v>0.12847222222222199</c:v>
                </c:pt>
                <c:pt idx="38">
                  <c:v>0.131944444444444</c:v>
                </c:pt>
                <c:pt idx="39">
                  <c:v>0.13541666666666699</c:v>
                </c:pt>
                <c:pt idx="40">
                  <c:v>0.13888888888888901</c:v>
                </c:pt>
                <c:pt idx="41">
                  <c:v>0.14236111111111099</c:v>
                </c:pt>
                <c:pt idx="42">
                  <c:v>0.14583333333333301</c:v>
                </c:pt>
                <c:pt idx="43">
                  <c:v>0.149305555555556</c:v>
                </c:pt>
                <c:pt idx="44">
                  <c:v>0.15277777777777801</c:v>
                </c:pt>
                <c:pt idx="45">
                  <c:v>0.15625</c:v>
                </c:pt>
                <c:pt idx="46">
                  <c:v>0.15972222222222199</c:v>
                </c:pt>
                <c:pt idx="47">
                  <c:v>0.163194444444444</c:v>
                </c:pt>
                <c:pt idx="48">
                  <c:v>0.16666666666666699</c:v>
                </c:pt>
                <c:pt idx="49">
                  <c:v>0.17013888888888901</c:v>
                </c:pt>
                <c:pt idx="50">
                  <c:v>0.17361111111111099</c:v>
                </c:pt>
                <c:pt idx="51">
                  <c:v>0.17708333333333301</c:v>
                </c:pt>
                <c:pt idx="52">
                  <c:v>0.180555555555556</c:v>
                </c:pt>
                <c:pt idx="53">
                  <c:v>0.18402777777777801</c:v>
                </c:pt>
                <c:pt idx="54">
                  <c:v>0.1875</c:v>
                </c:pt>
                <c:pt idx="55">
                  <c:v>0.19097222222222199</c:v>
                </c:pt>
                <c:pt idx="56">
                  <c:v>0.194444444444444</c:v>
                </c:pt>
                <c:pt idx="57">
                  <c:v>0.19791666666666699</c:v>
                </c:pt>
                <c:pt idx="58">
                  <c:v>0.20138888888888901</c:v>
                </c:pt>
                <c:pt idx="59">
                  <c:v>0.20486111111111099</c:v>
                </c:pt>
                <c:pt idx="60">
                  <c:v>0.20833333333333301</c:v>
                </c:pt>
                <c:pt idx="61">
                  <c:v>0.211805555555556</c:v>
                </c:pt>
                <c:pt idx="62">
                  <c:v>0.21527777777777801</c:v>
                </c:pt>
                <c:pt idx="63">
                  <c:v>0.21875</c:v>
                </c:pt>
                <c:pt idx="64">
                  <c:v>0.22222222222222199</c:v>
                </c:pt>
                <c:pt idx="65">
                  <c:v>0.225694444444444</c:v>
                </c:pt>
                <c:pt idx="66">
                  <c:v>0.22916666666666699</c:v>
                </c:pt>
                <c:pt idx="67">
                  <c:v>0.23263888888888901</c:v>
                </c:pt>
                <c:pt idx="68">
                  <c:v>0.23611111111111099</c:v>
                </c:pt>
                <c:pt idx="69">
                  <c:v>0.23958333333333301</c:v>
                </c:pt>
                <c:pt idx="70">
                  <c:v>0.243055555555556</c:v>
                </c:pt>
                <c:pt idx="71">
                  <c:v>0.24652777777777801</c:v>
                </c:pt>
                <c:pt idx="72">
                  <c:v>0.25</c:v>
                </c:pt>
                <c:pt idx="73">
                  <c:v>0.25347222222222199</c:v>
                </c:pt>
                <c:pt idx="74">
                  <c:v>0.25694444444444398</c:v>
                </c:pt>
                <c:pt idx="75">
                  <c:v>0.26041666666666702</c:v>
                </c:pt>
                <c:pt idx="76">
                  <c:v>0.26388888888888901</c:v>
                </c:pt>
                <c:pt idx="77">
                  <c:v>0.26736111111111099</c:v>
                </c:pt>
                <c:pt idx="78">
                  <c:v>0.27083333333333298</c:v>
                </c:pt>
                <c:pt idx="79">
                  <c:v>0.27430555555555602</c:v>
                </c:pt>
                <c:pt idx="80">
                  <c:v>0.27777777777777801</c:v>
                </c:pt>
                <c:pt idx="81">
                  <c:v>0.28125</c:v>
                </c:pt>
                <c:pt idx="82">
                  <c:v>0.28472222222222199</c:v>
                </c:pt>
                <c:pt idx="83">
                  <c:v>0.28819444444444398</c:v>
                </c:pt>
                <c:pt idx="84">
                  <c:v>0.29166666666666702</c:v>
                </c:pt>
                <c:pt idx="85">
                  <c:v>0.29513888888888901</c:v>
                </c:pt>
                <c:pt idx="86">
                  <c:v>0.29861111111111099</c:v>
                </c:pt>
                <c:pt idx="87">
                  <c:v>0.30208333333333298</c:v>
                </c:pt>
                <c:pt idx="88">
                  <c:v>0.30555555555555602</c:v>
                </c:pt>
                <c:pt idx="89">
                  <c:v>0.30902777777777801</c:v>
                </c:pt>
                <c:pt idx="90">
                  <c:v>0.3125</c:v>
                </c:pt>
                <c:pt idx="91">
                  <c:v>0.31597222222222199</c:v>
                </c:pt>
                <c:pt idx="92">
                  <c:v>0.31944444444444398</c:v>
                </c:pt>
                <c:pt idx="93">
                  <c:v>0.32291666666666702</c:v>
                </c:pt>
                <c:pt idx="94">
                  <c:v>0.32638888888888901</c:v>
                </c:pt>
                <c:pt idx="95">
                  <c:v>0.32986111111111099</c:v>
                </c:pt>
                <c:pt idx="96">
                  <c:v>0.33333333333333298</c:v>
                </c:pt>
                <c:pt idx="97">
                  <c:v>0.33680555555555602</c:v>
                </c:pt>
                <c:pt idx="98">
                  <c:v>0.34027777777777801</c:v>
                </c:pt>
                <c:pt idx="99">
                  <c:v>0.34375</c:v>
                </c:pt>
                <c:pt idx="100">
                  <c:v>0.34722222222222199</c:v>
                </c:pt>
                <c:pt idx="101">
                  <c:v>0.35069444444444398</c:v>
                </c:pt>
                <c:pt idx="102">
                  <c:v>0.35416666666666702</c:v>
                </c:pt>
                <c:pt idx="103">
                  <c:v>0.35763888888888901</c:v>
                </c:pt>
                <c:pt idx="104">
                  <c:v>0.36111111111111099</c:v>
                </c:pt>
                <c:pt idx="105">
                  <c:v>0.36458333333333298</c:v>
                </c:pt>
                <c:pt idx="106">
                  <c:v>0.36805555555555602</c:v>
                </c:pt>
                <c:pt idx="107">
                  <c:v>0.37152777777777801</c:v>
                </c:pt>
                <c:pt idx="108">
                  <c:v>0.375</c:v>
                </c:pt>
                <c:pt idx="109">
                  <c:v>0.37847222222222199</c:v>
                </c:pt>
                <c:pt idx="110">
                  <c:v>0.38194444444444398</c:v>
                </c:pt>
                <c:pt idx="111">
                  <c:v>0.38541666666666702</c:v>
                </c:pt>
                <c:pt idx="112">
                  <c:v>0.38888888888888901</c:v>
                </c:pt>
                <c:pt idx="113">
                  <c:v>0.39236111111111099</c:v>
                </c:pt>
                <c:pt idx="114">
                  <c:v>0.39583333333333298</c:v>
                </c:pt>
                <c:pt idx="115">
                  <c:v>0.39930555555555602</c:v>
                </c:pt>
                <c:pt idx="116">
                  <c:v>0.40277777777777801</c:v>
                </c:pt>
                <c:pt idx="117">
                  <c:v>0.40625</c:v>
                </c:pt>
                <c:pt idx="118">
                  <c:v>0.40972222222222199</c:v>
                </c:pt>
                <c:pt idx="119">
                  <c:v>0.41319444444444398</c:v>
                </c:pt>
                <c:pt idx="120">
                  <c:v>0.41666666666666702</c:v>
                </c:pt>
                <c:pt idx="121">
                  <c:v>0.42013888888888901</c:v>
                </c:pt>
                <c:pt idx="122">
                  <c:v>0.42361111111111099</c:v>
                </c:pt>
                <c:pt idx="123">
                  <c:v>0.42708333333333298</c:v>
                </c:pt>
                <c:pt idx="124">
                  <c:v>0.43055555555555602</c:v>
                </c:pt>
                <c:pt idx="125">
                  <c:v>0.43402777777777801</c:v>
                </c:pt>
                <c:pt idx="126">
                  <c:v>0.4375</c:v>
                </c:pt>
                <c:pt idx="127">
                  <c:v>0.44097222222222199</c:v>
                </c:pt>
                <c:pt idx="128">
                  <c:v>0.44444444444444398</c:v>
                </c:pt>
                <c:pt idx="129">
                  <c:v>0.44791666666666702</c:v>
                </c:pt>
                <c:pt idx="130">
                  <c:v>0.45138888888888901</c:v>
                </c:pt>
                <c:pt idx="131">
                  <c:v>0.45486111111111099</c:v>
                </c:pt>
                <c:pt idx="132">
                  <c:v>0.45833333333333298</c:v>
                </c:pt>
                <c:pt idx="133">
                  <c:v>0.46180555555555602</c:v>
                </c:pt>
                <c:pt idx="134">
                  <c:v>0.46527777777777801</c:v>
                </c:pt>
                <c:pt idx="135">
                  <c:v>0.46875</c:v>
                </c:pt>
                <c:pt idx="136">
                  <c:v>0.47222222222222199</c:v>
                </c:pt>
                <c:pt idx="137">
                  <c:v>0.47569444444444398</c:v>
                </c:pt>
                <c:pt idx="138">
                  <c:v>0.47916666666666702</c:v>
                </c:pt>
                <c:pt idx="139">
                  <c:v>0.48263888888888901</c:v>
                </c:pt>
                <c:pt idx="140">
                  <c:v>0.48611111111111099</c:v>
                </c:pt>
                <c:pt idx="141">
                  <c:v>0.48958333333333298</c:v>
                </c:pt>
                <c:pt idx="142">
                  <c:v>0.49305555555555602</c:v>
                </c:pt>
                <c:pt idx="143">
                  <c:v>0.49652777777777801</c:v>
                </c:pt>
                <c:pt idx="144">
                  <c:v>0.5</c:v>
                </c:pt>
                <c:pt idx="145">
                  <c:v>0.50347222222222199</c:v>
                </c:pt>
                <c:pt idx="146">
                  <c:v>0.50694444444444398</c:v>
                </c:pt>
                <c:pt idx="147">
                  <c:v>0.51041666666666696</c:v>
                </c:pt>
                <c:pt idx="148">
                  <c:v>0.51388888888888895</c:v>
                </c:pt>
                <c:pt idx="149">
                  <c:v>0.51736111111111105</c:v>
                </c:pt>
                <c:pt idx="150">
                  <c:v>0.52083333333333304</c:v>
                </c:pt>
                <c:pt idx="151">
                  <c:v>0.52430555555555602</c:v>
                </c:pt>
                <c:pt idx="152">
                  <c:v>0.52777777777777801</c:v>
                </c:pt>
                <c:pt idx="153">
                  <c:v>0.53125</c:v>
                </c:pt>
                <c:pt idx="154">
                  <c:v>0.53472222222222199</c:v>
                </c:pt>
                <c:pt idx="155">
                  <c:v>0.53819444444444398</c:v>
                </c:pt>
                <c:pt idx="156">
                  <c:v>0.54166666666666696</c:v>
                </c:pt>
                <c:pt idx="157">
                  <c:v>0.54513888888888895</c:v>
                </c:pt>
                <c:pt idx="158">
                  <c:v>0.54861111111111105</c:v>
                </c:pt>
                <c:pt idx="159">
                  <c:v>0.55208333333333304</c:v>
                </c:pt>
                <c:pt idx="160">
                  <c:v>0.55555555555555602</c:v>
                </c:pt>
                <c:pt idx="161">
                  <c:v>0.55902777777777801</c:v>
                </c:pt>
                <c:pt idx="162">
                  <c:v>0.5625</c:v>
                </c:pt>
                <c:pt idx="163">
                  <c:v>0.56597222222222199</c:v>
                </c:pt>
                <c:pt idx="164">
                  <c:v>0.56944444444444398</c:v>
                </c:pt>
                <c:pt idx="165">
                  <c:v>0.57291666666666696</c:v>
                </c:pt>
                <c:pt idx="166">
                  <c:v>0.57638888888888895</c:v>
                </c:pt>
                <c:pt idx="167">
                  <c:v>0.57986111111111105</c:v>
                </c:pt>
                <c:pt idx="168">
                  <c:v>0.58333333333333304</c:v>
                </c:pt>
                <c:pt idx="169">
                  <c:v>0.58680555555555503</c:v>
                </c:pt>
                <c:pt idx="170">
                  <c:v>0.59027777777777801</c:v>
                </c:pt>
                <c:pt idx="171">
                  <c:v>0.59375</c:v>
                </c:pt>
                <c:pt idx="172">
                  <c:v>0.59722222222222199</c:v>
                </c:pt>
                <c:pt idx="173">
                  <c:v>0.60069444444444398</c:v>
                </c:pt>
                <c:pt idx="174">
                  <c:v>0.60416666666666696</c:v>
                </c:pt>
                <c:pt idx="175">
                  <c:v>0.60763888888888895</c:v>
                </c:pt>
                <c:pt idx="176">
                  <c:v>0.61111111111111105</c:v>
                </c:pt>
                <c:pt idx="177">
                  <c:v>0.61458333333333304</c:v>
                </c:pt>
                <c:pt idx="178">
                  <c:v>0.61805555555555503</c:v>
                </c:pt>
                <c:pt idx="179">
                  <c:v>0.62152777777777801</c:v>
                </c:pt>
                <c:pt idx="180">
                  <c:v>0.625</c:v>
                </c:pt>
                <c:pt idx="181">
                  <c:v>0.62847222222222199</c:v>
                </c:pt>
                <c:pt idx="182">
                  <c:v>0.63194444444444398</c:v>
                </c:pt>
                <c:pt idx="183">
                  <c:v>0.63541666666666696</c:v>
                </c:pt>
                <c:pt idx="184">
                  <c:v>0.63888888888888895</c:v>
                </c:pt>
                <c:pt idx="185">
                  <c:v>0.64236111111111105</c:v>
                </c:pt>
                <c:pt idx="186">
                  <c:v>0.64583333333333304</c:v>
                </c:pt>
                <c:pt idx="187">
                  <c:v>0.64930555555555503</c:v>
                </c:pt>
                <c:pt idx="188">
                  <c:v>0.65277777777777801</c:v>
                </c:pt>
                <c:pt idx="189">
                  <c:v>0.65625</c:v>
                </c:pt>
                <c:pt idx="190">
                  <c:v>0.65972222222222199</c:v>
                </c:pt>
                <c:pt idx="191">
                  <c:v>0.66319444444444398</c:v>
                </c:pt>
                <c:pt idx="192">
                  <c:v>0.66666666666666696</c:v>
                </c:pt>
                <c:pt idx="193">
                  <c:v>0.67013888888888895</c:v>
                </c:pt>
                <c:pt idx="194">
                  <c:v>0.67361111111111105</c:v>
                </c:pt>
                <c:pt idx="195">
                  <c:v>0.67708333333333304</c:v>
                </c:pt>
                <c:pt idx="196">
                  <c:v>0.68055555555555503</c:v>
                </c:pt>
                <c:pt idx="197">
                  <c:v>0.68402777777777801</c:v>
                </c:pt>
                <c:pt idx="198">
                  <c:v>0.6875</c:v>
                </c:pt>
                <c:pt idx="199">
                  <c:v>0.69097222222222199</c:v>
                </c:pt>
                <c:pt idx="200">
                  <c:v>0.69444444444444398</c:v>
                </c:pt>
                <c:pt idx="201">
                  <c:v>0.69791666666666696</c:v>
                </c:pt>
                <c:pt idx="202">
                  <c:v>0.70138888888888895</c:v>
                </c:pt>
                <c:pt idx="203">
                  <c:v>0.70486111111111105</c:v>
                </c:pt>
                <c:pt idx="204">
                  <c:v>0.70833333333333304</c:v>
                </c:pt>
                <c:pt idx="205">
                  <c:v>0.71180555555555503</c:v>
                </c:pt>
                <c:pt idx="206">
                  <c:v>0.71527777777777801</c:v>
                </c:pt>
                <c:pt idx="207">
                  <c:v>0.71875</c:v>
                </c:pt>
                <c:pt idx="208">
                  <c:v>0.72222222222222199</c:v>
                </c:pt>
                <c:pt idx="209">
                  <c:v>0.72569444444444398</c:v>
                </c:pt>
                <c:pt idx="210">
                  <c:v>0.72916666666666696</c:v>
                </c:pt>
                <c:pt idx="211">
                  <c:v>0.73263888888888895</c:v>
                </c:pt>
                <c:pt idx="212">
                  <c:v>0.73611111111111105</c:v>
                </c:pt>
                <c:pt idx="213">
                  <c:v>0.73958333333333304</c:v>
                </c:pt>
                <c:pt idx="214">
                  <c:v>0.74305555555555503</c:v>
                </c:pt>
                <c:pt idx="215">
                  <c:v>0.74652777777777801</c:v>
                </c:pt>
                <c:pt idx="216">
                  <c:v>0.75</c:v>
                </c:pt>
                <c:pt idx="217">
                  <c:v>0.75347222222222199</c:v>
                </c:pt>
                <c:pt idx="218">
                  <c:v>0.75694444444444398</c:v>
                </c:pt>
                <c:pt idx="219">
                  <c:v>0.76041666666666696</c:v>
                </c:pt>
                <c:pt idx="220">
                  <c:v>0.76388888888888895</c:v>
                </c:pt>
                <c:pt idx="221">
                  <c:v>0.76736111111111105</c:v>
                </c:pt>
                <c:pt idx="222">
                  <c:v>0.77083333333333304</c:v>
                </c:pt>
                <c:pt idx="223">
                  <c:v>0.77430555555555503</c:v>
                </c:pt>
                <c:pt idx="224">
                  <c:v>0.77777777777777801</c:v>
                </c:pt>
                <c:pt idx="225">
                  <c:v>0.78125</c:v>
                </c:pt>
                <c:pt idx="226">
                  <c:v>0.78472222222222199</c:v>
                </c:pt>
                <c:pt idx="227">
                  <c:v>0.78819444444444398</c:v>
                </c:pt>
                <c:pt idx="228">
                  <c:v>0.79166666666666696</c:v>
                </c:pt>
                <c:pt idx="229">
                  <c:v>0.79513888888888895</c:v>
                </c:pt>
                <c:pt idx="230">
                  <c:v>0.79861111111111105</c:v>
                </c:pt>
                <c:pt idx="231">
                  <c:v>0.80208333333333304</c:v>
                </c:pt>
                <c:pt idx="232">
                  <c:v>0.80555555555555503</c:v>
                </c:pt>
                <c:pt idx="233">
                  <c:v>0.80902777777777801</c:v>
                </c:pt>
                <c:pt idx="234">
                  <c:v>0.8125</c:v>
                </c:pt>
                <c:pt idx="235">
                  <c:v>0.81597222222222199</c:v>
                </c:pt>
                <c:pt idx="236">
                  <c:v>0.81944444444444398</c:v>
                </c:pt>
                <c:pt idx="237">
                  <c:v>0.82291666666666696</c:v>
                </c:pt>
                <c:pt idx="238">
                  <c:v>0.82638888888888895</c:v>
                </c:pt>
                <c:pt idx="239">
                  <c:v>0.82986111111111105</c:v>
                </c:pt>
                <c:pt idx="240">
                  <c:v>0.83333333333333304</c:v>
                </c:pt>
                <c:pt idx="241">
                  <c:v>0.83680555555555503</c:v>
                </c:pt>
                <c:pt idx="242">
                  <c:v>0.84027777777777801</c:v>
                </c:pt>
                <c:pt idx="243">
                  <c:v>0.84375</c:v>
                </c:pt>
                <c:pt idx="244">
                  <c:v>0.84722222222222199</c:v>
                </c:pt>
                <c:pt idx="245">
                  <c:v>0.85069444444444398</c:v>
                </c:pt>
                <c:pt idx="246">
                  <c:v>0.85416666666666696</c:v>
                </c:pt>
                <c:pt idx="247">
                  <c:v>0.85763888888888895</c:v>
                </c:pt>
                <c:pt idx="248">
                  <c:v>0.86111111111111105</c:v>
                </c:pt>
                <c:pt idx="249">
                  <c:v>0.86458333333333304</c:v>
                </c:pt>
                <c:pt idx="250">
                  <c:v>0.86805555555555503</c:v>
                </c:pt>
                <c:pt idx="251">
                  <c:v>0.87152777777777801</c:v>
                </c:pt>
                <c:pt idx="252">
                  <c:v>0.875</c:v>
                </c:pt>
                <c:pt idx="253">
                  <c:v>0.87847222222222199</c:v>
                </c:pt>
                <c:pt idx="254">
                  <c:v>0.88194444444444398</c:v>
                </c:pt>
                <c:pt idx="255">
                  <c:v>0.88541666666666696</c:v>
                </c:pt>
                <c:pt idx="256">
                  <c:v>0.88888888888888895</c:v>
                </c:pt>
                <c:pt idx="257">
                  <c:v>0.89236111111111105</c:v>
                </c:pt>
                <c:pt idx="258">
                  <c:v>0.89583333333333304</c:v>
                </c:pt>
                <c:pt idx="259">
                  <c:v>0.89930555555555503</c:v>
                </c:pt>
                <c:pt idx="260">
                  <c:v>0.90277777777777801</c:v>
                </c:pt>
                <c:pt idx="261">
                  <c:v>0.90625</c:v>
                </c:pt>
                <c:pt idx="262">
                  <c:v>0.90972222222222199</c:v>
                </c:pt>
                <c:pt idx="263">
                  <c:v>0.91319444444444398</c:v>
                </c:pt>
                <c:pt idx="264">
                  <c:v>0.91666666666666696</c:v>
                </c:pt>
                <c:pt idx="265">
                  <c:v>0.92013888888888895</c:v>
                </c:pt>
                <c:pt idx="266">
                  <c:v>0.92361111111111105</c:v>
                </c:pt>
                <c:pt idx="267">
                  <c:v>0.92708333333333304</c:v>
                </c:pt>
                <c:pt idx="268">
                  <c:v>0.93055555555555503</c:v>
                </c:pt>
                <c:pt idx="269">
                  <c:v>0.93402777777777801</c:v>
                </c:pt>
                <c:pt idx="270">
                  <c:v>0.9375</c:v>
                </c:pt>
                <c:pt idx="271">
                  <c:v>0.94097222222222199</c:v>
                </c:pt>
                <c:pt idx="272">
                  <c:v>0.94444444444444398</c:v>
                </c:pt>
                <c:pt idx="273">
                  <c:v>0.94791666666666696</c:v>
                </c:pt>
                <c:pt idx="274">
                  <c:v>0.95138888888888895</c:v>
                </c:pt>
                <c:pt idx="275">
                  <c:v>0.95486111111111105</c:v>
                </c:pt>
                <c:pt idx="276">
                  <c:v>0.95833333333333304</c:v>
                </c:pt>
                <c:pt idx="277">
                  <c:v>0.96180555555555503</c:v>
                </c:pt>
                <c:pt idx="278">
                  <c:v>0.96527777777777801</c:v>
                </c:pt>
                <c:pt idx="279">
                  <c:v>0.96875</c:v>
                </c:pt>
                <c:pt idx="280">
                  <c:v>0.97222222222222199</c:v>
                </c:pt>
                <c:pt idx="281">
                  <c:v>0.97569444444444398</c:v>
                </c:pt>
                <c:pt idx="282">
                  <c:v>0.97916666666666696</c:v>
                </c:pt>
                <c:pt idx="283">
                  <c:v>0.98263888888888895</c:v>
                </c:pt>
                <c:pt idx="284">
                  <c:v>0.98611111111111105</c:v>
                </c:pt>
                <c:pt idx="285">
                  <c:v>0.98958333333333304</c:v>
                </c:pt>
                <c:pt idx="286">
                  <c:v>0.99305555555555503</c:v>
                </c:pt>
                <c:pt idx="287">
                  <c:v>0.99652777777777801</c:v>
                </c:pt>
              </c:numCache>
            </c:numRef>
          </c:cat>
          <c:val>
            <c:numRef>
              <c:f>ChtLd!$G$2:$G$289</c:f>
              <c:numCache>
                <c:formatCode>0.00</c:formatCode>
                <c:ptCount val="288"/>
                <c:pt idx="0" formatCode="0.0">
                  <c:v>30</c:v>
                </c:pt>
                <c:pt idx="1">
                  <c:v>30.04</c:v>
                </c:pt>
                <c:pt idx="2">
                  <c:v>30.08</c:v>
                </c:pt>
                <c:pt idx="3">
                  <c:v>30.119999999999997</c:v>
                </c:pt>
                <c:pt idx="4">
                  <c:v>30.159999999999997</c:v>
                </c:pt>
                <c:pt idx="5">
                  <c:v>30.199999999999996</c:v>
                </c:pt>
                <c:pt idx="6">
                  <c:v>30.239999999999995</c:v>
                </c:pt>
                <c:pt idx="7">
                  <c:v>30.279999999999994</c:v>
                </c:pt>
                <c:pt idx="8">
                  <c:v>30.319999999999993</c:v>
                </c:pt>
                <c:pt idx="9">
                  <c:v>30.359999999999992</c:v>
                </c:pt>
                <c:pt idx="10">
                  <c:v>30.399999999999991</c:v>
                </c:pt>
                <c:pt idx="11">
                  <c:v>30.439999999999991</c:v>
                </c:pt>
                <c:pt idx="12">
                  <c:v>30.47999999999999</c:v>
                </c:pt>
                <c:pt idx="13">
                  <c:v>30.519999999999989</c:v>
                </c:pt>
                <c:pt idx="14">
                  <c:v>30.559999999999988</c:v>
                </c:pt>
                <c:pt idx="15">
                  <c:v>30.599999999999987</c:v>
                </c:pt>
                <c:pt idx="16">
                  <c:v>30.639999999999986</c:v>
                </c:pt>
                <c:pt idx="17">
                  <c:v>30.679999999999986</c:v>
                </c:pt>
                <c:pt idx="18">
                  <c:v>30.719999999999985</c:v>
                </c:pt>
                <c:pt idx="19">
                  <c:v>30.759999999999984</c:v>
                </c:pt>
                <c:pt idx="20">
                  <c:v>30.799999999999983</c:v>
                </c:pt>
                <c:pt idx="21">
                  <c:v>30.839999999999982</c:v>
                </c:pt>
                <c:pt idx="22">
                  <c:v>30.879999999999981</c:v>
                </c:pt>
                <c:pt idx="23">
                  <c:v>30.91999999999998</c:v>
                </c:pt>
                <c:pt idx="24">
                  <c:v>30.95999999999998</c:v>
                </c:pt>
                <c:pt idx="25">
                  <c:v>30.999999999999979</c:v>
                </c:pt>
                <c:pt idx="26">
                  <c:v>31.039999999999978</c:v>
                </c:pt>
                <c:pt idx="27">
                  <c:v>31.079999999999977</c:v>
                </c:pt>
                <c:pt idx="28">
                  <c:v>31.119999999999976</c:v>
                </c:pt>
                <c:pt idx="29">
                  <c:v>31.159999999999975</c:v>
                </c:pt>
                <c:pt idx="30">
                  <c:v>31.199999999999974</c:v>
                </c:pt>
                <c:pt idx="31">
                  <c:v>31.239999999999974</c:v>
                </c:pt>
                <c:pt idx="32">
                  <c:v>31.279999999999973</c:v>
                </c:pt>
                <c:pt idx="33">
                  <c:v>31.319999999999972</c:v>
                </c:pt>
                <c:pt idx="34">
                  <c:v>31.359999999999971</c:v>
                </c:pt>
                <c:pt idx="35">
                  <c:v>31.39999999999997</c:v>
                </c:pt>
                <c:pt idx="36">
                  <c:v>31.439999999999969</c:v>
                </c:pt>
                <c:pt idx="37">
                  <c:v>31.479999999999968</c:v>
                </c:pt>
                <c:pt idx="38">
                  <c:v>31.519999999999968</c:v>
                </c:pt>
                <c:pt idx="39">
                  <c:v>31.559999999999967</c:v>
                </c:pt>
                <c:pt idx="40">
                  <c:v>31.599999999999966</c:v>
                </c:pt>
                <c:pt idx="41">
                  <c:v>31.639999999999965</c:v>
                </c:pt>
                <c:pt idx="42">
                  <c:v>31.679999999999964</c:v>
                </c:pt>
                <c:pt idx="43">
                  <c:v>31.719999999999963</c:v>
                </c:pt>
                <c:pt idx="44">
                  <c:v>31.759999999999962</c:v>
                </c:pt>
                <c:pt idx="45">
                  <c:v>31.799999999999962</c:v>
                </c:pt>
                <c:pt idx="46">
                  <c:v>31.839999999999961</c:v>
                </c:pt>
                <c:pt idx="47">
                  <c:v>31.87999999999996</c:v>
                </c:pt>
                <c:pt idx="48">
                  <c:v>31.919999999999959</c:v>
                </c:pt>
                <c:pt idx="49">
                  <c:v>31.959999999999958</c:v>
                </c:pt>
                <c:pt idx="50">
                  <c:v>31.999999999999957</c:v>
                </c:pt>
                <c:pt idx="51">
                  <c:v>32.039999999999957</c:v>
                </c:pt>
                <c:pt idx="52">
                  <c:v>32.079999999999956</c:v>
                </c:pt>
                <c:pt idx="53">
                  <c:v>32.119999999999955</c:v>
                </c:pt>
                <c:pt idx="54">
                  <c:v>32.159999999999954</c:v>
                </c:pt>
                <c:pt idx="55">
                  <c:v>32.199999999999953</c:v>
                </c:pt>
                <c:pt idx="56">
                  <c:v>32.239999999999952</c:v>
                </c:pt>
                <c:pt idx="57">
                  <c:v>32.279999999999951</c:v>
                </c:pt>
                <c:pt idx="58">
                  <c:v>32.319999999999951</c:v>
                </c:pt>
                <c:pt idx="59">
                  <c:v>32.35999999999995</c:v>
                </c:pt>
                <c:pt idx="60">
                  <c:v>32.399999999999949</c:v>
                </c:pt>
                <c:pt idx="61">
                  <c:v>32.439999999999948</c:v>
                </c:pt>
                <c:pt idx="62">
                  <c:v>32.479999999999947</c:v>
                </c:pt>
                <c:pt idx="63">
                  <c:v>32.519999999999946</c:v>
                </c:pt>
                <c:pt idx="64">
                  <c:v>32.559999999999945</c:v>
                </c:pt>
                <c:pt idx="65">
                  <c:v>32.599999999999945</c:v>
                </c:pt>
                <c:pt idx="66">
                  <c:v>32.639999999999944</c:v>
                </c:pt>
                <c:pt idx="67">
                  <c:v>32.679999999999943</c:v>
                </c:pt>
                <c:pt idx="68">
                  <c:v>32.719999999999942</c:v>
                </c:pt>
                <c:pt idx="69">
                  <c:v>32.759999999999941</c:v>
                </c:pt>
                <c:pt idx="70">
                  <c:v>32.79999999999994</c:v>
                </c:pt>
                <c:pt idx="71">
                  <c:v>32.839999999999939</c:v>
                </c:pt>
                <c:pt idx="72">
                  <c:v>32.879999999999939</c:v>
                </c:pt>
                <c:pt idx="73">
                  <c:v>32.919999999999938</c:v>
                </c:pt>
                <c:pt idx="74">
                  <c:v>32.959999999999937</c:v>
                </c:pt>
                <c:pt idx="75">
                  <c:v>32.999999999999936</c:v>
                </c:pt>
                <c:pt idx="76">
                  <c:v>33.039999999999935</c:v>
                </c:pt>
                <c:pt idx="77">
                  <c:v>33.079999999999934</c:v>
                </c:pt>
                <c:pt idx="78">
                  <c:v>33.119999999999933</c:v>
                </c:pt>
                <c:pt idx="79">
                  <c:v>33.159999999999933</c:v>
                </c:pt>
                <c:pt idx="80">
                  <c:v>33.199999999999932</c:v>
                </c:pt>
                <c:pt idx="81">
                  <c:v>33.239999999999931</c:v>
                </c:pt>
                <c:pt idx="82">
                  <c:v>33.27999999999993</c:v>
                </c:pt>
                <c:pt idx="83">
                  <c:v>33.319999999999929</c:v>
                </c:pt>
                <c:pt idx="84">
                  <c:v>33.359999999999928</c:v>
                </c:pt>
                <c:pt idx="85">
                  <c:v>33.399999999999928</c:v>
                </c:pt>
                <c:pt idx="86">
                  <c:v>33.439999999999927</c:v>
                </c:pt>
                <c:pt idx="87">
                  <c:v>33.479999999999926</c:v>
                </c:pt>
                <c:pt idx="88">
                  <c:v>33.519999999999925</c:v>
                </c:pt>
                <c:pt idx="89">
                  <c:v>33.559999999999924</c:v>
                </c:pt>
                <c:pt idx="90">
                  <c:v>33.599999999999923</c:v>
                </c:pt>
                <c:pt idx="91">
                  <c:v>33.639999999999922</c:v>
                </c:pt>
                <c:pt idx="92">
                  <c:v>33.679999999999922</c:v>
                </c:pt>
                <c:pt idx="93">
                  <c:v>33.719999999999921</c:v>
                </c:pt>
                <c:pt idx="94">
                  <c:v>33.75999999999992</c:v>
                </c:pt>
                <c:pt idx="95">
                  <c:v>33.799999999999919</c:v>
                </c:pt>
                <c:pt idx="96">
                  <c:v>33.839999999999918</c:v>
                </c:pt>
                <c:pt idx="97">
                  <c:v>33.879999999999917</c:v>
                </c:pt>
                <c:pt idx="98">
                  <c:v>33.919999999999916</c:v>
                </c:pt>
                <c:pt idx="99">
                  <c:v>33.959999999999916</c:v>
                </c:pt>
                <c:pt idx="100">
                  <c:v>33.999999999999915</c:v>
                </c:pt>
                <c:pt idx="101">
                  <c:v>34.039999999999914</c:v>
                </c:pt>
                <c:pt idx="102">
                  <c:v>34.079999999999913</c:v>
                </c:pt>
                <c:pt idx="103">
                  <c:v>34.119999999999912</c:v>
                </c:pt>
                <c:pt idx="104">
                  <c:v>34.159999999999911</c:v>
                </c:pt>
                <c:pt idx="105">
                  <c:v>34.19999999999991</c:v>
                </c:pt>
                <c:pt idx="106">
                  <c:v>34.23999999999991</c:v>
                </c:pt>
                <c:pt idx="107">
                  <c:v>34.279999999999909</c:v>
                </c:pt>
                <c:pt idx="108">
                  <c:v>34.319999999999908</c:v>
                </c:pt>
                <c:pt idx="109">
                  <c:v>34.359999999999907</c:v>
                </c:pt>
                <c:pt idx="110">
                  <c:v>34.399999999999906</c:v>
                </c:pt>
                <c:pt idx="111">
                  <c:v>34.439999999999905</c:v>
                </c:pt>
                <c:pt idx="112">
                  <c:v>34.479999999999905</c:v>
                </c:pt>
                <c:pt idx="113">
                  <c:v>34.519999999999904</c:v>
                </c:pt>
                <c:pt idx="114">
                  <c:v>34.559999999999903</c:v>
                </c:pt>
                <c:pt idx="115">
                  <c:v>34.599999999999902</c:v>
                </c:pt>
                <c:pt idx="116">
                  <c:v>34.639999999999901</c:v>
                </c:pt>
                <c:pt idx="117">
                  <c:v>34.6799999999999</c:v>
                </c:pt>
                <c:pt idx="118">
                  <c:v>34.719999999999899</c:v>
                </c:pt>
                <c:pt idx="119">
                  <c:v>34.759999999999899</c:v>
                </c:pt>
                <c:pt idx="120">
                  <c:v>34.799999999999898</c:v>
                </c:pt>
                <c:pt idx="121">
                  <c:v>34.839999999999897</c:v>
                </c:pt>
                <c:pt idx="122">
                  <c:v>34.879999999999896</c:v>
                </c:pt>
                <c:pt idx="123">
                  <c:v>34.919999999999895</c:v>
                </c:pt>
                <c:pt idx="124">
                  <c:v>34.959999999999894</c:v>
                </c:pt>
                <c:pt idx="125">
                  <c:v>34.999999999999893</c:v>
                </c:pt>
                <c:pt idx="126">
                  <c:v>35.039999999999893</c:v>
                </c:pt>
                <c:pt idx="127">
                  <c:v>35.079999999999892</c:v>
                </c:pt>
                <c:pt idx="128">
                  <c:v>35.119999999999891</c:v>
                </c:pt>
                <c:pt idx="129">
                  <c:v>35.15999999999989</c:v>
                </c:pt>
                <c:pt idx="130">
                  <c:v>35.199999999999889</c:v>
                </c:pt>
                <c:pt idx="131">
                  <c:v>35.239999999999888</c:v>
                </c:pt>
                <c:pt idx="132">
                  <c:v>35.279999999999887</c:v>
                </c:pt>
                <c:pt idx="133">
                  <c:v>35.319999999999887</c:v>
                </c:pt>
                <c:pt idx="134">
                  <c:v>35.359999999999886</c:v>
                </c:pt>
                <c:pt idx="135">
                  <c:v>35.399999999999885</c:v>
                </c:pt>
                <c:pt idx="136">
                  <c:v>35.439999999999884</c:v>
                </c:pt>
                <c:pt idx="137">
                  <c:v>35.479999999999883</c:v>
                </c:pt>
                <c:pt idx="138">
                  <c:v>35.519999999999882</c:v>
                </c:pt>
                <c:pt idx="139">
                  <c:v>35.559999999999881</c:v>
                </c:pt>
                <c:pt idx="140">
                  <c:v>35.599999999999881</c:v>
                </c:pt>
                <c:pt idx="141">
                  <c:v>35.63999999999988</c:v>
                </c:pt>
                <c:pt idx="142">
                  <c:v>35.679999999999879</c:v>
                </c:pt>
                <c:pt idx="143">
                  <c:v>35.719999999999878</c:v>
                </c:pt>
                <c:pt idx="144">
                  <c:v>35.759999999999877</c:v>
                </c:pt>
                <c:pt idx="145">
                  <c:v>35.799999999999876</c:v>
                </c:pt>
                <c:pt idx="146">
                  <c:v>35.839999999999876</c:v>
                </c:pt>
                <c:pt idx="147">
                  <c:v>35.879999999999875</c:v>
                </c:pt>
                <c:pt idx="148">
                  <c:v>35.919999999999874</c:v>
                </c:pt>
                <c:pt idx="149">
                  <c:v>35.959999999999873</c:v>
                </c:pt>
                <c:pt idx="150">
                  <c:v>35.999999999999872</c:v>
                </c:pt>
                <c:pt idx="151">
                  <c:v>36.039999999999871</c:v>
                </c:pt>
                <c:pt idx="152">
                  <c:v>36.07999999999987</c:v>
                </c:pt>
                <c:pt idx="153">
                  <c:v>36.11999999999987</c:v>
                </c:pt>
                <c:pt idx="154">
                  <c:v>36.159999999999869</c:v>
                </c:pt>
                <c:pt idx="155">
                  <c:v>36.199999999999868</c:v>
                </c:pt>
                <c:pt idx="156">
                  <c:v>36.239999999999867</c:v>
                </c:pt>
                <c:pt idx="157">
                  <c:v>36.279999999999866</c:v>
                </c:pt>
                <c:pt idx="158">
                  <c:v>36.319999999999865</c:v>
                </c:pt>
                <c:pt idx="159">
                  <c:v>36.359999999999864</c:v>
                </c:pt>
                <c:pt idx="160">
                  <c:v>36.399999999999864</c:v>
                </c:pt>
                <c:pt idx="161">
                  <c:v>36.439999999999863</c:v>
                </c:pt>
                <c:pt idx="162">
                  <c:v>36.479999999999862</c:v>
                </c:pt>
                <c:pt idx="163">
                  <c:v>36.519999999999861</c:v>
                </c:pt>
                <c:pt idx="164">
                  <c:v>36.55999999999986</c:v>
                </c:pt>
                <c:pt idx="165">
                  <c:v>36.599999999999859</c:v>
                </c:pt>
                <c:pt idx="166">
                  <c:v>36.639999999999858</c:v>
                </c:pt>
                <c:pt idx="167">
                  <c:v>36.679999999999858</c:v>
                </c:pt>
                <c:pt idx="168">
                  <c:v>36.719999999999857</c:v>
                </c:pt>
                <c:pt idx="169">
                  <c:v>36.759999999999856</c:v>
                </c:pt>
                <c:pt idx="170">
                  <c:v>36.799999999999855</c:v>
                </c:pt>
                <c:pt idx="171">
                  <c:v>36.839999999999854</c:v>
                </c:pt>
                <c:pt idx="172">
                  <c:v>36.879999999999853</c:v>
                </c:pt>
                <c:pt idx="173">
                  <c:v>36.919999999999852</c:v>
                </c:pt>
                <c:pt idx="174">
                  <c:v>36.959999999999852</c:v>
                </c:pt>
                <c:pt idx="175">
                  <c:v>36.999999999999851</c:v>
                </c:pt>
                <c:pt idx="176">
                  <c:v>37.03999999999985</c:v>
                </c:pt>
                <c:pt idx="177">
                  <c:v>37.079999999999849</c:v>
                </c:pt>
                <c:pt idx="178">
                  <c:v>37.119999999999848</c:v>
                </c:pt>
                <c:pt idx="179">
                  <c:v>37.159999999999847</c:v>
                </c:pt>
                <c:pt idx="180">
                  <c:v>37.199999999999847</c:v>
                </c:pt>
                <c:pt idx="181">
                  <c:v>37.239999999999846</c:v>
                </c:pt>
                <c:pt idx="182">
                  <c:v>37.279999999999845</c:v>
                </c:pt>
                <c:pt idx="183">
                  <c:v>37.319999999999844</c:v>
                </c:pt>
                <c:pt idx="184">
                  <c:v>37.359999999999843</c:v>
                </c:pt>
                <c:pt idx="185">
                  <c:v>37.399999999999842</c:v>
                </c:pt>
                <c:pt idx="186">
                  <c:v>37.439999999999841</c:v>
                </c:pt>
                <c:pt idx="187">
                  <c:v>37.479999999999841</c:v>
                </c:pt>
                <c:pt idx="188">
                  <c:v>37.51999999999984</c:v>
                </c:pt>
                <c:pt idx="189">
                  <c:v>37.559999999999839</c:v>
                </c:pt>
                <c:pt idx="190">
                  <c:v>37.599999999999838</c:v>
                </c:pt>
                <c:pt idx="191">
                  <c:v>37.639999999999837</c:v>
                </c:pt>
                <c:pt idx="192">
                  <c:v>37.679999999999836</c:v>
                </c:pt>
                <c:pt idx="193">
                  <c:v>37.719999999999835</c:v>
                </c:pt>
                <c:pt idx="194">
                  <c:v>37.759999999999835</c:v>
                </c:pt>
                <c:pt idx="195">
                  <c:v>37.799999999999834</c:v>
                </c:pt>
                <c:pt idx="196">
                  <c:v>37.839999999999833</c:v>
                </c:pt>
                <c:pt idx="197">
                  <c:v>37.879999999999832</c:v>
                </c:pt>
                <c:pt idx="198">
                  <c:v>37.919999999999831</c:v>
                </c:pt>
                <c:pt idx="199">
                  <c:v>37.95999999999983</c:v>
                </c:pt>
                <c:pt idx="200">
                  <c:v>37.999999999999829</c:v>
                </c:pt>
                <c:pt idx="201">
                  <c:v>38.039999999999829</c:v>
                </c:pt>
                <c:pt idx="202">
                  <c:v>38.079999999999828</c:v>
                </c:pt>
                <c:pt idx="203">
                  <c:v>38.119999999999827</c:v>
                </c:pt>
                <c:pt idx="204">
                  <c:v>38.159999999999826</c:v>
                </c:pt>
                <c:pt idx="205">
                  <c:v>38.199999999999825</c:v>
                </c:pt>
                <c:pt idx="206">
                  <c:v>38.239999999999824</c:v>
                </c:pt>
                <c:pt idx="207">
                  <c:v>38.279999999999824</c:v>
                </c:pt>
                <c:pt idx="208">
                  <c:v>38.319999999999823</c:v>
                </c:pt>
                <c:pt idx="209">
                  <c:v>38.359999999999822</c:v>
                </c:pt>
                <c:pt idx="210">
                  <c:v>38.399999999999821</c:v>
                </c:pt>
                <c:pt idx="211">
                  <c:v>38.43999999999982</c:v>
                </c:pt>
                <c:pt idx="212">
                  <c:v>38.479999999999819</c:v>
                </c:pt>
                <c:pt idx="213">
                  <c:v>38.519999999999818</c:v>
                </c:pt>
                <c:pt idx="214">
                  <c:v>38.559999999999818</c:v>
                </c:pt>
                <c:pt idx="215">
                  <c:v>38.599999999999817</c:v>
                </c:pt>
                <c:pt idx="216">
                  <c:v>38.639999999999816</c:v>
                </c:pt>
                <c:pt idx="217">
                  <c:v>38.679999999999815</c:v>
                </c:pt>
                <c:pt idx="218">
                  <c:v>38.719999999999814</c:v>
                </c:pt>
                <c:pt idx="219">
                  <c:v>38.759999999999813</c:v>
                </c:pt>
                <c:pt idx="220">
                  <c:v>38.799999999999812</c:v>
                </c:pt>
                <c:pt idx="221">
                  <c:v>38.839999999999812</c:v>
                </c:pt>
                <c:pt idx="222">
                  <c:v>38.879999999999811</c:v>
                </c:pt>
                <c:pt idx="223">
                  <c:v>38.91999999999981</c:v>
                </c:pt>
                <c:pt idx="224">
                  <c:v>38.959999999999809</c:v>
                </c:pt>
                <c:pt idx="225">
                  <c:v>38.999999999999808</c:v>
                </c:pt>
                <c:pt idx="226">
                  <c:v>39.039999999999807</c:v>
                </c:pt>
                <c:pt idx="227">
                  <c:v>39.079999999999806</c:v>
                </c:pt>
                <c:pt idx="228">
                  <c:v>39.119999999999806</c:v>
                </c:pt>
                <c:pt idx="229">
                  <c:v>39.159999999999805</c:v>
                </c:pt>
                <c:pt idx="230">
                  <c:v>39.199999999999804</c:v>
                </c:pt>
                <c:pt idx="231">
                  <c:v>39.239999999999803</c:v>
                </c:pt>
                <c:pt idx="232">
                  <c:v>39.279999999999802</c:v>
                </c:pt>
                <c:pt idx="233">
                  <c:v>39.319999999999801</c:v>
                </c:pt>
                <c:pt idx="234">
                  <c:v>39.3599999999998</c:v>
                </c:pt>
                <c:pt idx="235">
                  <c:v>39.3999999999998</c:v>
                </c:pt>
                <c:pt idx="236">
                  <c:v>39.439999999999799</c:v>
                </c:pt>
                <c:pt idx="237">
                  <c:v>39.479999999999798</c:v>
                </c:pt>
                <c:pt idx="238">
                  <c:v>39.519999999999797</c:v>
                </c:pt>
                <c:pt idx="239">
                  <c:v>39.559999999999796</c:v>
                </c:pt>
                <c:pt idx="240">
                  <c:v>39.599999999999795</c:v>
                </c:pt>
                <c:pt idx="241">
                  <c:v>39.639999999999795</c:v>
                </c:pt>
                <c:pt idx="242">
                  <c:v>39.679999999999794</c:v>
                </c:pt>
                <c:pt idx="243">
                  <c:v>39.719999999999793</c:v>
                </c:pt>
                <c:pt idx="244">
                  <c:v>39.759999999999792</c:v>
                </c:pt>
                <c:pt idx="245">
                  <c:v>39.799999999999791</c:v>
                </c:pt>
                <c:pt idx="246">
                  <c:v>39.83999999999979</c:v>
                </c:pt>
                <c:pt idx="247">
                  <c:v>39.879999999999789</c:v>
                </c:pt>
                <c:pt idx="248">
                  <c:v>39.919999999999789</c:v>
                </c:pt>
                <c:pt idx="249">
                  <c:v>39.959999999999788</c:v>
                </c:pt>
                <c:pt idx="250">
                  <c:v>39.999999999999787</c:v>
                </c:pt>
                <c:pt idx="251">
                  <c:v>40.039999999999786</c:v>
                </c:pt>
                <c:pt idx="252">
                  <c:v>40.079999999999785</c:v>
                </c:pt>
                <c:pt idx="253">
                  <c:v>40.119999999999784</c:v>
                </c:pt>
                <c:pt idx="254">
                  <c:v>40.159999999999783</c:v>
                </c:pt>
                <c:pt idx="255">
                  <c:v>40.199999999999783</c:v>
                </c:pt>
                <c:pt idx="256">
                  <c:v>40.239999999999782</c:v>
                </c:pt>
                <c:pt idx="257">
                  <c:v>40.279999999999781</c:v>
                </c:pt>
                <c:pt idx="258">
                  <c:v>40.31999999999978</c:v>
                </c:pt>
                <c:pt idx="259">
                  <c:v>40.359999999999779</c:v>
                </c:pt>
                <c:pt idx="260">
                  <c:v>40.399999999999778</c:v>
                </c:pt>
                <c:pt idx="261">
                  <c:v>40.439999999999777</c:v>
                </c:pt>
                <c:pt idx="262">
                  <c:v>40.479999999999777</c:v>
                </c:pt>
                <c:pt idx="263">
                  <c:v>40.519999999999776</c:v>
                </c:pt>
                <c:pt idx="264">
                  <c:v>40.559999999999775</c:v>
                </c:pt>
                <c:pt idx="265">
                  <c:v>40.599999999999774</c:v>
                </c:pt>
                <c:pt idx="266">
                  <c:v>40.639999999999773</c:v>
                </c:pt>
                <c:pt idx="267">
                  <c:v>40.679999999999772</c:v>
                </c:pt>
                <c:pt idx="268">
                  <c:v>40.719999999999771</c:v>
                </c:pt>
                <c:pt idx="269">
                  <c:v>40.759999999999771</c:v>
                </c:pt>
                <c:pt idx="270">
                  <c:v>40.79999999999977</c:v>
                </c:pt>
                <c:pt idx="271">
                  <c:v>40.839999999999769</c:v>
                </c:pt>
                <c:pt idx="272">
                  <c:v>40.879999999999768</c:v>
                </c:pt>
                <c:pt idx="273">
                  <c:v>40.919999999999767</c:v>
                </c:pt>
                <c:pt idx="274">
                  <c:v>40.959999999999766</c:v>
                </c:pt>
                <c:pt idx="275">
                  <c:v>40.999999999999766</c:v>
                </c:pt>
                <c:pt idx="276">
                  <c:v>41.039999999999765</c:v>
                </c:pt>
                <c:pt idx="277">
                  <c:v>41.079999999999764</c:v>
                </c:pt>
                <c:pt idx="278">
                  <c:v>41.119999999999763</c:v>
                </c:pt>
                <c:pt idx="279">
                  <c:v>41.159999999999762</c:v>
                </c:pt>
                <c:pt idx="280">
                  <c:v>41.199999999999761</c:v>
                </c:pt>
                <c:pt idx="281">
                  <c:v>41.23999999999976</c:v>
                </c:pt>
                <c:pt idx="282">
                  <c:v>41.27999999999976</c:v>
                </c:pt>
                <c:pt idx="283">
                  <c:v>41.319999999999759</c:v>
                </c:pt>
                <c:pt idx="284">
                  <c:v>41.359999999999758</c:v>
                </c:pt>
                <c:pt idx="285">
                  <c:v>41.399999999999757</c:v>
                </c:pt>
                <c:pt idx="286">
                  <c:v>41.439999999999756</c:v>
                </c:pt>
                <c:pt idx="287">
                  <c:v>41.479999999999755</c:v>
                </c:pt>
              </c:numCache>
            </c:numRef>
          </c:val>
          <c:smooth val="0"/>
        </c:ser>
        <c:dLbls>
          <c:showLegendKey val="0"/>
          <c:showVal val="0"/>
          <c:showCatName val="0"/>
          <c:showSerName val="0"/>
          <c:showPercent val="0"/>
          <c:showBubbleSize val="0"/>
        </c:dLbls>
        <c:marker val="1"/>
        <c:smooth val="0"/>
        <c:axId val="150846080"/>
        <c:axId val="151393024"/>
      </c:lineChart>
      <c:lineChart>
        <c:grouping val="standard"/>
        <c:varyColors val="0"/>
        <c:ser>
          <c:idx val="6"/>
          <c:order val="6"/>
          <c:tx>
            <c:strRef>
              <c:f>ChtLd!$H$1</c:f>
              <c:strCache>
                <c:ptCount val="1"/>
                <c:pt idx="0">
                  <c:v>Line 7</c:v>
                </c:pt>
              </c:strCache>
            </c:strRef>
          </c:tx>
          <c:spPr>
            <a:ln>
              <a:prstDash val="sysDash"/>
            </a:ln>
          </c:spPr>
          <c:marker>
            <c:symbol val="none"/>
          </c:marker>
          <c:cat>
            <c:numRef>
              <c:f>ChtLd!$A$2:$A$289</c:f>
              <c:numCache>
                <c:formatCode>h:mm;@</c:formatCode>
                <c:ptCount val="288"/>
                <c:pt idx="0">
                  <c:v>0</c:v>
                </c:pt>
                <c:pt idx="1">
                  <c:v>3.472222222222222E-3</c:v>
                </c:pt>
                <c:pt idx="2">
                  <c:v>6.9444444444444397E-3</c:v>
                </c:pt>
                <c:pt idx="3">
                  <c:v>1.0416666666666701E-2</c:v>
                </c:pt>
                <c:pt idx="4">
                  <c:v>1.38888888888889E-2</c:v>
                </c:pt>
                <c:pt idx="5">
                  <c:v>1.7361111111111101E-2</c:v>
                </c:pt>
                <c:pt idx="6">
                  <c:v>2.0833333333333301E-2</c:v>
                </c:pt>
                <c:pt idx="7">
                  <c:v>2.4305555555555601E-2</c:v>
                </c:pt>
                <c:pt idx="8">
                  <c:v>2.7777777777777801E-2</c:v>
                </c:pt>
                <c:pt idx="9">
                  <c:v>3.125E-2</c:v>
                </c:pt>
                <c:pt idx="10">
                  <c:v>3.4722222222222203E-2</c:v>
                </c:pt>
                <c:pt idx="11">
                  <c:v>3.8194444444444399E-2</c:v>
                </c:pt>
                <c:pt idx="12">
                  <c:v>4.1666666666666699E-2</c:v>
                </c:pt>
                <c:pt idx="13">
                  <c:v>4.5138888888888902E-2</c:v>
                </c:pt>
                <c:pt idx="14">
                  <c:v>4.8611111111111098E-2</c:v>
                </c:pt>
                <c:pt idx="15">
                  <c:v>5.2083333333333301E-2</c:v>
                </c:pt>
                <c:pt idx="16">
                  <c:v>5.5555555555555601E-2</c:v>
                </c:pt>
                <c:pt idx="17">
                  <c:v>5.9027777777777797E-2</c:v>
                </c:pt>
                <c:pt idx="18">
                  <c:v>6.25E-2</c:v>
                </c:pt>
                <c:pt idx="19">
                  <c:v>6.5972222222222196E-2</c:v>
                </c:pt>
                <c:pt idx="20">
                  <c:v>6.9444444444444406E-2</c:v>
                </c:pt>
                <c:pt idx="21">
                  <c:v>7.2916666666666699E-2</c:v>
                </c:pt>
                <c:pt idx="22">
                  <c:v>7.6388888888888895E-2</c:v>
                </c:pt>
                <c:pt idx="23">
                  <c:v>7.9861111111111105E-2</c:v>
                </c:pt>
                <c:pt idx="24">
                  <c:v>8.3333333333333301E-2</c:v>
                </c:pt>
                <c:pt idx="25">
                  <c:v>8.6805555555555594E-2</c:v>
                </c:pt>
                <c:pt idx="26">
                  <c:v>9.0277777777777804E-2</c:v>
                </c:pt>
                <c:pt idx="27">
                  <c:v>9.375E-2</c:v>
                </c:pt>
                <c:pt idx="28">
                  <c:v>9.7222222222222196E-2</c:v>
                </c:pt>
                <c:pt idx="29">
                  <c:v>0.100694444444444</c:v>
                </c:pt>
                <c:pt idx="30">
                  <c:v>0.104166666666667</c:v>
                </c:pt>
                <c:pt idx="31">
                  <c:v>0.10763888888888901</c:v>
                </c:pt>
                <c:pt idx="32">
                  <c:v>0.11111111111111099</c:v>
                </c:pt>
                <c:pt idx="33">
                  <c:v>0.114583333333333</c:v>
                </c:pt>
                <c:pt idx="34">
                  <c:v>0.118055555555556</c:v>
                </c:pt>
                <c:pt idx="35">
                  <c:v>0.121527777777778</c:v>
                </c:pt>
                <c:pt idx="36">
                  <c:v>0.125</c:v>
                </c:pt>
                <c:pt idx="37">
                  <c:v>0.12847222222222199</c:v>
                </c:pt>
                <c:pt idx="38">
                  <c:v>0.131944444444444</c:v>
                </c:pt>
                <c:pt idx="39">
                  <c:v>0.13541666666666699</c:v>
                </c:pt>
                <c:pt idx="40">
                  <c:v>0.13888888888888901</c:v>
                </c:pt>
                <c:pt idx="41">
                  <c:v>0.14236111111111099</c:v>
                </c:pt>
                <c:pt idx="42">
                  <c:v>0.14583333333333301</c:v>
                </c:pt>
                <c:pt idx="43">
                  <c:v>0.149305555555556</c:v>
                </c:pt>
                <c:pt idx="44">
                  <c:v>0.15277777777777801</c:v>
                </c:pt>
                <c:pt idx="45">
                  <c:v>0.15625</c:v>
                </c:pt>
                <c:pt idx="46">
                  <c:v>0.15972222222222199</c:v>
                </c:pt>
                <c:pt idx="47">
                  <c:v>0.163194444444444</c:v>
                </c:pt>
                <c:pt idx="48">
                  <c:v>0.16666666666666699</c:v>
                </c:pt>
                <c:pt idx="49">
                  <c:v>0.17013888888888901</c:v>
                </c:pt>
                <c:pt idx="50">
                  <c:v>0.17361111111111099</c:v>
                </c:pt>
                <c:pt idx="51">
                  <c:v>0.17708333333333301</c:v>
                </c:pt>
                <c:pt idx="52">
                  <c:v>0.180555555555556</c:v>
                </c:pt>
                <c:pt idx="53">
                  <c:v>0.18402777777777801</c:v>
                </c:pt>
                <c:pt idx="54">
                  <c:v>0.1875</c:v>
                </c:pt>
                <c:pt idx="55">
                  <c:v>0.19097222222222199</c:v>
                </c:pt>
                <c:pt idx="56">
                  <c:v>0.194444444444444</c:v>
                </c:pt>
                <c:pt idx="57">
                  <c:v>0.19791666666666699</c:v>
                </c:pt>
                <c:pt idx="58">
                  <c:v>0.20138888888888901</c:v>
                </c:pt>
                <c:pt idx="59">
                  <c:v>0.20486111111111099</c:v>
                </c:pt>
                <c:pt idx="60">
                  <c:v>0.20833333333333301</c:v>
                </c:pt>
                <c:pt idx="61">
                  <c:v>0.211805555555556</c:v>
                </c:pt>
                <c:pt idx="62">
                  <c:v>0.21527777777777801</c:v>
                </c:pt>
                <c:pt idx="63">
                  <c:v>0.21875</c:v>
                </c:pt>
                <c:pt idx="64">
                  <c:v>0.22222222222222199</c:v>
                </c:pt>
                <c:pt idx="65">
                  <c:v>0.225694444444444</c:v>
                </c:pt>
                <c:pt idx="66">
                  <c:v>0.22916666666666699</c:v>
                </c:pt>
                <c:pt idx="67">
                  <c:v>0.23263888888888901</c:v>
                </c:pt>
                <c:pt idx="68">
                  <c:v>0.23611111111111099</c:v>
                </c:pt>
                <c:pt idx="69">
                  <c:v>0.23958333333333301</c:v>
                </c:pt>
                <c:pt idx="70">
                  <c:v>0.243055555555556</c:v>
                </c:pt>
                <c:pt idx="71">
                  <c:v>0.24652777777777801</c:v>
                </c:pt>
                <c:pt idx="72">
                  <c:v>0.25</c:v>
                </c:pt>
                <c:pt idx="73">
                  <c:v>0.25347222222222199</c:v>
                </c:pt>
                <c:pt idx="74">
                  <c:v>0.25694444444444398</c:v>
                </c:pt>
                <c:pt idx="75">
                  <c:v>0.26041666666666702</c:v>
                </c:pt>
                <c:pt idx="76">
                  <c:v>0.26388888888888901</c:v>
                </c:pt>
                <c:pt idx="77">
                  <c:v>0.26736111111111099</c:v>
                </c:pt>
                <c:pt idx="78">
                  <c:v>0.27083333333333298</c:v>
                </c:pt>
                <c:pt idx="79">
                  <c:v>0.27430555555555602</c:v>
                </c:pt>
                <c:pt idx="80">
                  <c:v>0.27777777777777801</c:v>
                </c:pt>
                <c:pt idx="81">
                  <c:v>0.28125</c:v>
                </c:pt>
                <c:pt idx="82">
                  <c:v>0.28472222222222199</c:v>
                </c:pt>
                <c:pt idx="83">
                  <c:v>0.28819444444444398</c:v>
                </c:pt>
                <c:pt idx="84">
                  <c:v>0.29166666666666702</c:v>
                </c:pt>
                <c:pt idx="85">
                  <c:v>0.29513888888888901</c:v>
                </c:pt>
                <c:pt idx="86">
                  <c:v>0.29861111111111099</c:v>
                </c:pt>
                <c:pt idx="87">
                  <c:v>0.30208333333333298</c:v>
                </c:pt>
                <c:pt idx="88">
                  <c:v>0.30555555555555602</c:v>
                </c:pt>
                <c:pt idx="89">
                  <c:v>0.30902777777777801</c:v>
                </c:pt>
                <c:pt idx="90">
                  <c:v>0.3125</c:v>
                </c:pt>
                <c:pt idx="91">
                  <c:v>0.31597222222222199</c:v>
                </c:pt>
                <c:pt idx="92">
                  <c:v>0.31944444444444398</c:v>
                </c:pt>
                <c:pt idx="93">
                  <c:v>0.32291666666666702</c:v>
                </c:pt>
                <c:pt idx="94">
                  <c:v>0.32638888888888901</c:v>
                </c:pt>
                <c:pt idx="95">
                  <c:v>0.32986111111111099</c:v>
                </c:pt>
                <c:pt idx="96">
                  <c:v>0.33333333333333298</c:v>
                </c:pt>
                <c:pt idx="97">
                  <c:v>0.33680555555555602</c:v>
                </c:pt>
                <c:pt idx="98">
                  <c:v>0.34027777777777801</c:v>
                </c:pt>
                <c:pt idx="99">
                  <c:v>0.34375</c:v>
                </c:pt>
                <c:pt idx="100">
                  <c:v>0.34722222222222199</c:v>
                </c:pt>
                <c:pt idx="101">
                  <c:v>0.35069444444444398</c:v>
                </c:pt>
                <c:pt idx="102">
                  <c:v>0.35416666666666702</c:v>
                </c:pt>
                <c:pt idx="103">
                  <c:v>0.35763888888888901</c:v>
                </c:pt>
                <c:pt idx="104">
                  <c:v>0.36111111111111099</c:v>
                </c:pt>
                <c:pt idx="105">
                  <c:v>0.36458333333333298</c:v>
                </c:pt>
                <c:pt idx="106">
                  <c:v>0.36805555555555602</c:v>
                </c:pt>
                <c:pt idx="107">
                  <c:v>0.37152777777777801</c:v>
                </c:pt>
                <c:pt idx="108">
                  <c:v>0.375</c:v>
                </c:pt>
                <c:pt idx="109">
                  <c:v>0.37847222222222199</c:v>
                </c:pt>
                <c:pt idx="110">
                  <c:v>0.38194444444444398</c:v>
                </c:pt>
                <c:pt idx="111">
                  <c:v>0.38541666666666702</c:v>
                </c:pt>
                <c:pt idx="112">
                  <c:v>0.38888888888888901</c:v>
                </c:pt>
                <c:pt idx="113">
                  <c:v>0.39236111111111099</c:v>
                </c:pt>
                <c:pt idx="114">
                  <c:v>0.39583333333333298</c:v>
                </c:pt>
                <c:pt idx="115">
                  <c:v>0.39930555555555602</c:v>
                </c:pt>
                <c:pt idx="116">
                  <c:v>0.40277777777777801</c:v>
                </c:pt>
                <c:pt idx="117">
                  <c:v>0.40625</c:v>
                </c:pt>
                <c:pt idx="118">
                  <c:v>0.40972222222222199</c:v>
                </c:pt>
                <c:pt idx="119">
                  <c:v>0.41319444444444398</c:v>
                </c:pt>
                <c:pt idx="120">
                  <c:v>0.41666666666666702</c:v>
                </c:pt>
                <c:pt idx="121">
                  <c:v>0.42013888888888901</c:v>
                </c:pt>
                <c:pt idx="122">
                  <c:v>0.42361111111111099</c:v>
                </c:pt>
                <c:pt idx="123">
                  <c:v>0.42708333333333298</c:v>
                </c:pt>
                <c:pt idx="124">
                  <c:v>0.43055555555555602</c:v>
                </c:pt>
                <c:pt idx="125">
                  <c:v>0.43402777777777801</c:v>
                </c:pt>
                <c:pt idx="126">
                  <c:v>0.4375</c:v>
                </c:pt>
                <c:pt idx="127">
                  <c:v>0.44097222222222199</c:v>
                </c:pt>
                <c:pt idx="128">
                  <c:v>0.44444444444444398</c:v>
                </c:pt>
                <c:pt idx="129">
                  <c:v>0.44791666666666702</c:v>
                </c:pt>
                <c:pt idx="130">
                  <c:v>0.45138888888888901</c:v>
                </c:pt>
                <c:pt idx="131">
                  <c:v>0.45486111111111099</c:v>
                </c:pt>
                <c:pt idx="132">
                  <c:v>0.45833333333333298</c:v>
                </c:pt>
                <c:pt idx="133">
                  <c:v>0.46180555555555602</c:v>
                </c:pt>
                <c:pt idx="134">
                  <c:v>0.46527777777777801</c:v>
                </c:pt>
                <c:pt idx="135">
                  <c:v>0.46875</c:v>
                </c:pt>
                <c:pt idx="136">
                  <c:v>0.47222222222222199</c:v>
                </c:pt>
                <c:pt idx="137">
                  <c:v>0.47569444444444398</c:v>
                </c:pt>
                <c:pt idx="138">
                  <c:v>0.47916666666666702</c:v>
                </c:pt>
                <c:pt idx="139">
                  <c:v>0.48263888888888901</c:v>
                </c:pt>
                <c:pt idx="140">
                  <c:v>0.48611111111111099</c:v>
                </c:pt>
                <c:pt idx="141">
                  <c:v>0.48958333333333298</c:v>
                </c:pt>
                <c:pt idx="142">
                  <c:v>0.49305555555555602</c:v>
                </c:pt>
                <c:pt idx="143">
                  <c:v>0.49652777777777801</c:v>
                </c:pt>
                <c:pt idx="144">
                  <c:v>0.5</c:v>
                </c:pt>
                <c:pt idx="145">
                  <c:v>0.50347222222222199</c:v>
                </c:pt>
                <c:pt idx="146">
                  <c:v>0.50694444444444398</c:v>
                </c:pt>
                <c:pt idx="147">
                  <c:v>0.51041666666666696</c:v>
                </c:pt>
                <c:pt idx="148">
                  <c:v>0.51388888888888895</c:v>
                </c:pt>
                <c:pt idx="149">
                  <c:v>0.51736111111111105</c:v>
                </c:pt>
                <c:pt idx="150">
                  <c:v>0.52083333333333304</c:v>
                </c:pt>
                <c:pt idx="151">
                  <c:v>0.52430555555555602</c:v>
                </c:pt>
                <c:pt idx="152">
                  <c:v>0.52777777777777801</c:v>
                </c:pt>
                <c:pt idx="153">
                  <c:v>0.53125</c:v>
                </c:pt>
                <c:pt idx="154">
                  <c:v>0.53472222222222199</c:v>
                </c:pt>
                <c:pt idx="155">
                  <c:v>0.53819444444444398</c:v>
                </c:pt>
                <c:pt idx="156">
                  <c:v>0.54166666666666696</c:v>
                </c:pt>
                <c:pt idx="157">
                  <c:v>0.54513888888888895</c:v>
                </c:pt>
                <c:pt idx="158">
                  <c:v>0.54861111111111105</c:v>
                </c:pt>
                <c:pt idx="159">
                  <c:v>0.55208333333333304</c:v>
                </c:pt>
                <c:pt idx="160">
                  <c:v>0.55555555555555602</c:v>
                </c:pt>
                <c:pt idx="161">
                  <c:v>0.55902777777777801</c:v>
                </c:pt>
                <c:pt idx="162">
                  <c:v>0.5625</c:v>
                </c:pt>
                <c:pt idx="163">
                  <c:v>0.56597222222222199</c:v>
                </c:pt>
                <c:pt idx="164">
                  <c:v>0.56944444444444398</c:v>
                </c:pt>
                <c:pt idx="165">
                  <c:v>0.57291666666666696</c:v>
                </c:pt>
                <c:pt idx="166">
                  <c:v>0.57638888888888895</c:v>
                </c:pt>
                <c:pt idx="167">
                  <c:v>0.57986111111111105</c:v>
                </c:pt>
                <c:pt idx="168">
                  <c:v>0.58333333333333304</c:v>
                </c:pt>
                <c:pt idx="169">
                  <c:v>0.58680555555555503</c:v>
                </c:pt>
                <c:pt idx="170">
                  <c:v>0.59027777777777801</c:v>
                </c:pt>
                <c:pt idx="171">
                  <c:v>0.59375</c:v>
                </c:pt>
                <c:pt idx="172">
                  <c:v>0.59722222222222199</c:v>
                </c:pt>
                <c:pt idx="173">
                  <c:v>0.60069444444444398</c:v>
                </c:pt>
                <c:pt idx="174">
                  <c:v>0.60416666666666696</c:v>
                </c:pt>
                <c:pt idx="175">
                  <c:v>0.60763888888888895</c:v>
                </c:pt>
                <c:pt idx="176">
                  <c:v>0.61111111111111105</c:v>
                </c:pt>
                <c:pt idx="177">
                  <c:v>0.61458333333333304</c:v>
                </c:pt>
                <c:pt idx="178">
                  <c:v>0.61805555555555503</c:v>
                </c:pt>
                <c:pt idx="179">
                  <c:v>0.62152777777777801</c:v>
                </c:pt>
                <c:pt idx="180">
                  <c:v>0.625</c:v>
                </c:pt>
                <c:pt idx="181">
                  <c:v>0.62847222222222199</c:v>
                </c:pt>
                <c:pt idx="182">
                  <c:v>0.63194444444444398</c:v>
                </c:pt>
                <c:pt idx="183">
                  <c:v>0.63541666666666696</c:v>
                </c:pt>
                <c:pt idx="184">
                  <c:v>0.63888888888888895</c:v>
                </c:pt>
                <c:pt idx="185">
                  <c:v>0.64236111111111105</c:v>
                </c:pt>
                <c:pt idx="186">
                  <c:v>0.64583333333333304</c:v>
                </c:pt>
                <c:pt idx="187">
                  <c:v>0.64930555555555503</c:v>
                </c:pt>
                <c:pt idx="188">
                  <c:v>0.65277777777777801</c:v>
                </c:pt>
                <c:pt idx="189">
                  <c:v>0.65625</c:v>
                </c:pt>
                <c:pt idx="190">
                  <c:v>0.65972222222222199</c:v>
                </c:pt>
                <c:pt idx="191">
                  <c:v>0.66319444444444398</c:v>
                </c:pt>
                <c:pt idx="192">
                  <c:v>0.66666666666666696</c:v>
                </c:pt>
                <c:pt idx="193">
                  <c:v>0.67013888888888895</c:v>
                </c:pt>
                <c:pt idx="194">
                  <c:v>0.67361111111111105</c:v>
                </c:pt>
                <c:pt idx="195">
                  <c:v>0.67708333333333304</c:v>
                </c:pt>
                <c:pt idx="196">
                  <c:v>0.68055555555555503</c:v>
                </c:pt>
                <c:pt idx="197">
                  <c:v>0.68402777777777801</c:v>
                </c:pt>
                <c:pt idx="198">
                  <c:v>0.6875</c:v>
                </c:pt>
                <c:pt idx="199">
                  <c:v>0.69097222222222199</c:v>
                </c:pt>
                <c:pt idx="200">
                  <c:v>0.69444444444444398</c:v>
                </c:pt>
                <c:pt idx="201">
                  <c:v>0.69791666666666696</c:v>
                </c:pt>
                <c:pt idx="202">
                  <c:v>0.70138888888888895</c:v>
                </c:pt>
                <c:pt idx="203">
                  <c:v>0.70486111111111105</c:v>
                </c:pt>
                <c:pt idx="204">
                  <c:v>0.70833333333333304</c:v>
                </c:pt>
                <c:pt idx="205">
                  <c:v>0.71180555555555503</c:v>
                </c:pt>
                <c:pt idx="206">
                  <c:v>0.71527777777777801</c:v>
                </c:pt>
                <c:pt idx="207">
                  <c:v>0.71875</c:v>
                </c:pt>
                <c:pt idx="208">
                  <c:v>0.72222222222222199</c:v>
                </c:pt>
                <c:pt idx="209">
                  <c:v>0.72569444444444398</c:v>
                </c:pt>
                <c:pt idx="210">
                  <c:v>0.72916666666666696</c:v>
                </c:pt>
                <c:pt idx="211">
                  <c:v>0.73263888888888895</c:v>
                </c:pt>
                <c:pt idx="212">
                  <c:v>0.73611111111111105</c:v>
                </c:pt>
                <c:pt idx="213">
                  <c:v>0.73958333333333304</c:v>
                </c:pt>
                <c:pt idx="214">
                  <c:v>0.74305555555555503</c:v>
                </c:pt>
                <c:pt idx="215">
                  <c:v>0.74652777777777801</c:v>
                </c:pt>
                <c:pt idx="216">
                  <c:v>0.75</c:v>
                </c:pt>
                <c:pt idx="217">
                  <c:v>0.75347222222222199</c:v>
                </c:pt>
                <c:pt idx="218">
                  <c:v>0.75694444444444398</c:v>
                </c:pt>
                <c:pt idx="219">
                  <c:v>0.76041666666666696</c:v>
                </c:pt>
                <c:pt idx="220">
                  <c:v>0.76388888888888895</c:v>
                </c:pt>
                <c:pt idx="221">
                  <c:v>0.76736111111111105</c:v>
                </c:pt>
                <c:pt idx="222">
                  <c:v>0.77083333333333304</c:v>
                </c:pt>
                <c:pt idx="223">
                  <c:v>0.77430555555555503</c:v>
                </c:pt>
                <c:pt idx="224">
                  <c:v>0.77777777777777801</c:v>
                </c:pt>
                <c:pt idx="225">
                  <c:v>0.78125</c:v>
                </c:pt>
                <c:pt idx="226">
                  <c:v>0.78472222222222199</c:v>
                </c:pt>
                <c:pt idx="227">
                  <c:v>0.78819444444444398</c:v>
                </c:pt>
                <c:pt idx="228">
                  <c:v>0.79166666666666696</c:v>
                </c:pt>
                <c:pt idx="229">
                  <c:v>0.79513888888888895</c:v>
                </c:pt>
                <c:pt idx="230">
                  <c:v>0.79861111111111105</c:v>
                </c:pt>
                <c:pt idx="231">
                  <c:v>0.80208333333333304</c:v>
                </c:pt>
                <c:pt idx="232">
                  <c:v>0.80555555555555503</c:v>
                </c:pt>
                <c:pt idx="233">
                  <c:v>0.80902777777777801</c:v>
                </c:pt>
                <c:pt idx="234">
                  <c:v>0.8125</c:v>
                </c:pt>
                <c:pt idx="235">
                  <c:v>0.81597222222222199</c:v>
                </c:pt>
                <c:pt idx="236">
                  <c:v>0.81944444444444398</c:v>
                </c:pt>
                <c:pt idx="237">
                  <c:v>0.82291666666666696</c:v>
                </c:pt>
                <c:pt idx="238">
                  <c:v>0.82638888888888895</c:v>
                </c:pt>
                <c:pt idx="239">
                  <c:v>0.82986111111111105</c:v>
                </c:pt>
                <c:pt idx="240">
                  <c:v>0.83333333333333304</c:v>
                </c:pt>
                <c:pt idx="241">
                  <c:v>0.83680555555555503</c:v>
                </c:pt>
                <c:pt idx="242">
                  <c:v>0.84027777777777801</c:v>
                </c:pt>
                <c:pt idx="243">
                  <c:v>0.84375</c:v>
                </c:pt>
                <c:pt idx="244">
                  <c:v>0.84722222222222199</c:v>
                </c:pt>
                <c:pt idx="245">
                  <c:v>0.85069444444444398</c:v>
                </c:pt>
                <c:pt idx="246">
                  <c:v>0.85416666666666696</c:v>
                </c:pt>
                <c:pt idx="247">
                  <c:v>0.85763888888888895</c:v>
                </c:pt>
                <c:pt idx="248">
                  <c:v>0.86111111111111105</c:v>
                </c:pt>
                <c:pt idx="249">
                  <c:v>0.86458333333333304</c:v>
                </c:pt>
                <c:pt idx="250">
                  <c:v>0.86805555555555503</c:v>
                </c:pt>
                <c:pt idx="251">
                  <c:v>0.87152777777777801</c:v>
                </c:pt>
                <c:pt idx="252">
                  <c:v>0.875</c:v>
                </c:pt>
                <c:pt idx="253">
                  <c:v>0.87847222222222199</c:v>
                </c:pt>
                <c:pt idx="254">
                  <c:v>0.88194444444444398</c:v>
                </c:pt>
                <c:pt idx="255">
                  <c:v>0.88541666666666696</c:v>
                </c:pt>
                <c:pt idx="256">
                  <c:v>0.88888888888888895</c:v>
                </c:pt>
                <c:pt idx="257">
                  <c:v>0.89236111111111105</c:v>
                </c:pt>
                <c:pt idx="258">
                  <c:v>0.89583333333333304</c:v>
                </c:pt>
                <c:pt idx="259">
                  <c:v>0.89930555555555503</c:v>
                </c:pt>
                <c:pt idx="260">
                  <c:v>0.90277777777777801</c:v>
                </c:pt>
                <c:pt idx="261">
                  <c:v>0.90625</c:v>
                </c:pt>
                <c:pt idx="262">
                  <c:v>0.90972222222222199</c:v>
                </c:pt>
                <c:pt idx="263">
                  <c:v>0.91319444444444398</c:v>
                </c:pt>
                <c:pt idx="264">
                  <c:v>0.91666666666666696</c:v>
                </c:pt>
                <c:pt idx="265">
                  <c:v>0.92013888888888895</c:v>
                </c:pt>
                <c:pt idx="266">
                  <c:v>0.92361111111111105</c:v>
                </c:pt>
                <c:pt idx="267">
                  <c:v>0.92708333333333304</c:v>
                </c:pt>
                <c:pt idx="268">
                  <c:v>0.93055555555555503</c:v>
                </c:pt>
                <c:pt idx="269">
                  <c:v>0.93402777777777801</c:v>
                </c:pt>
                <c:pt idx="270">
                  <c:v>0.9375</c:v>
                </c:pt>
                <c:pt idx="271">
                  <c:v>0.94097222222222199</c:v>
                </c:pt>
                <c:pt idx="272">
                  <c:v>0.94444444444444398</c:v>
                </c:pt>
                <c:pt idx="273">
                  <c:v>0.94791666666666696</c:v>
                </c:pt>
                <c:pt idx="274">
                  <c:v>0.95138888888888895</c:v>
                </c:pt>
                <c:pt idx="275">
                  <c:v>0.95486111111111105</c:v>
                </c:pt>
                <c:pt idx="276">
                  <c:v>0.95833333333333304</c:v>
                </c:pt>
                <c:pt idx="277">
                  <c:v>0.96180555555555503</c:v>
                </c:pt>
                <c:pt idx="278">
                  <c:v>0.96527777777777801</c:v>
                </c:pt>
                <c:pt idx="279">
                  <c:v>0.96875</c:v>
                </c:pt>
                <c:pt idx="280">
                  <c:v>0.97222222222222199</c:v>
                </c:pt>
                <c:pt idx="281">
                  <c:v>0.97569444444444398</c:v>
                </c:pt>
                <c:pt idx="282">
                  <c:v>0.97916666666666696</c:v>
                </c:pt>
                <c:pt idx="283">
                  <c:v>0.98263888888888895</c:v>
                </c:pt>
                <c:pt idx="284">
                  <c:v>0.98611111111111105</c:v>
                </c:pt>
                <c:pt idx="285">
                  <c:v>0.98958333333333304</c:v>
                </c:pt>
                <c:pt idx="286">
                  <c:v>0.99305555555555503</c:v>
                </c:pt>
                <c:pt idx="287">
                  <c:v>0.99652777777777801</c:v>
                </c:pt>
              </c:numCache>
            </c:numRef>
          </c:cat>
          <c:val>
            <c:numRef>
              <c:f>ChtLd!$H$2:$H$289</c:f>
              <c:numCache>
                <c:formatCode>0.00</c:formatCode>
                <c:ptCount val="288"/>
                <c:pt idx="0" formatCode="0.0">
                  <c:v>1</c:v>
                </c:pt>
                <c:pt idx="1">
                  <c:v>0.97</c:v>
                </c:pt>
                <c:pt idx="2">
                  <c:v>0.94</c:v>
                </c:pt>
                <c:pt idx="3">
                  <c:v>0.90999999999999992</c:v>
                </c:pt>
                <c:pt idx="4">
                  <c:v>0.87999999999999989</c:v>
                </c:pt>
                <c:pt idx="5">
                  <c:v>0.84999999999999987</c:v>
                </c:pt>
                <c:pt idx="6">
                  <c:v>0.81999999999999984</c:v>
                </c:pt>
                <c:pt idx="7">
                  <c:v>0.78999999999999981</c:v>
                </c:pt>
                <c:pt idx="8">
                  <c:v>0.75999999999999979</c:v>
                </c:pt>
                <c:pt idx="9">
                  <c:v>0.72999999999999976</c:v>
                </c:pt>
                <c:pt idx="10">
                  <c:v>0.69999999999999973</c:v>
                </c:pt>
                <c:pt idx="11">
                  <c:v>0.66999999999999971</c:v>
                </c:pt>
                <c:pt idx="12">
                  <c:v>0.63999999999999968</c:v>
                </c:pt>
                <c:pt idx="13">
                  <c:v>0.60999999999999965</c:v>
                </c:pt>
                <c:pt idx="14">
                  <c:v>0.57999999999999963</c:v>
                </c:pt>
                <c:pt idx="15">
                  <c:v>0.5499999999999996</c:v>
                </c:pt>
                <c:pt idx="16">
                  <c:v>0.51999999999999957</c:v>
                </c:pt>
                <c:pt idx="17">
                  <c:v>0.48999999999999955</c:v>
                </c:pt>
                <c:pt idx="18">
                  <c:v>0.45999999999999952</c:v>
                </c:pt>
                <c:pt idx="19">
                  <c:v>0.42999999999999949</c:v>
                </c:pt>
                <c:pt idx="20">
                  <c:v>0.39999999999999947</c:v>
                </c:pt>
                <c:pt idx="21">
                  <c:v>0.36999999999999944</c:v>
                </c:pt>
                <c:pt idx="22">
                  <c:v>0.33999999999999941</c:v>
                </c:pt>
                <c:pt idx="23">
                  <c:v>0.30999999999999939</c:v>
                </c:pt>
                <c:pt idx="24">
                  <c:v>0.27999999999999936</c:v>
                </c:pt>
                <c:pt idx="25">
                  <c:v>0.24999999999999936</c:v>
                </c:pt>
                <c:pt idx="26">
                  <c:v>0.21999999999999936</c:v>
                </c:pt>
                <c:pt idx="27">
                  <c:v>0.18999999999999936</c:v>
                </c:pt>
                <c:pt idx="28">
                  <c:v>0.15999999999999936</c:v>
                </c:pt>
                <c:pt idx="29">
                  <c:v>0.12999999999999937</c:v>
                </c:pt>
                <c:pt idx="30">
                  <c:v>9.9999999999999367E-2</c:v>
                </c:pt>
                <c:pt idx="31">
                  <c:v>6.9999999999999368E-2</c:v>
                </c:pt>
                <c:pt idx="32">
                  <c:v>3.9999999999999369E-2</c:v>
                </c:pt>
                <c:pt idx="33">
                  <c:v>9.9999999999993705E-3</c:v>
                </c:pt>
                <c:pt idx="34">
                  <c:v>-2.0000000000000628E-2</c:v>
                </c:pt>
                <c:pt idx="35">
                  <c:v>-5.0000000000000627E-2</c:v>
                </c:pt>
                <c:pt idx="36">
                  <c:v>-8.0000000000000626E-2</c:v>
                </c:pt>
                <c:pt idx="37">
                  <c:v>-0.11000000000000063</c:v>
                </c:pt>
                <c:pt idx="38">
                  <c:v>-0.14000000000000062</c:v>
                </c:pt>
                <c:pt idx="39">
                  <c:v>-0.17000000000000062</c:v>
                </c:pt>
                <c:pt idx="40">
                  <c:v>-0.20000000000000062</c:v>
                </c:pt>
                <c:pt idx="41">
                  <c:v>-0.23000000000000062</c:v>
                </c:pt>
                <c:pt idx="42">
                  <c:v>-0.26000000000000062</c:v>
                </c:pt>
                <c:pt idx="43">
                  <c:v>-0.29000000000000059</c:v>
                </c:pt>
                <c:pt idx="44">
                  <c:v>-0.32000000000000062</c:v>
                </c:pt>
                <c:pt idx="45">
                  <c:v>-0.35000000000000064</c:v>
                </c:pt>
                <c:pt idx="46">
                  <c:v>-0.38000000000000067</c:v>
                </c:pt>
                <c:pt idx="47">
                  <c:v>-0.4100000000000007</c:v>
                </c:pt>
                <c:pt idx="48">
                  <c:v>-0.44000000000000072</c:v>
                </c:pt>
                <c:pt idx="49">
                  <c:v>-0.47000000000000075</c:v>
                </c:pt>
                <c:pt idx="50">
                  <c:v>-0.50000000000000078</c:v>
                </c:pt>
                <c:pt idx="51">
                  <c:v>-0.5300000000000008</c:v>
                </c:pt>
                <c:pt idx="52">
                  <c:v>-0.56000000000000083</c:v>
                </c:pt>
                <c:pt idx="53">
                  <c:v>-0.59000000000000086</c:v>
                </c:pt>
                <c:pt idx="54">
                  <c:v>-0.62000000000000088</c:v>
                </c:pt>
                <c:pt idx="55">
                  <c:v>-0.65000000000000091</c:v>
                </c:pt>
                <c:pt idx="56">
                  <c:v>-0.68000000000000094</c:v>
                </c:pt>
                <c:pt idx="57">
                  <c:v>-0.71000000000000096</c:v>
                </c:pt>
                <c:pt idx="58">
                  <c:v>-0.74000000000000099</c:v>
                </c:pt>
                <c:pt idx="59">
                  <c:v>-0.77000000000000102</c:v>
                </c:pt>
                <c:pt idx="60">
                  <c:v>-0.80000000000000104</c:v>
                </c:pt>
                <c:pt idx="61">
                  <c:v>-0.83000000000000107</c:v>
                </c:pt>
                <c:pt idx="62">
                  <c:v>-0.8600000000000011</c:v>
                </c:pt>
                <c:pt idx="63">
                  <c:v>-0.89000000000000112</c:v>
                </c:pt>
                <c:pt idx="64">
                  <c:v>-0.92000000000000115</c:v>
                </c:pt>
                <c:pt idx="65">
                  <c:v>-0.95000000000000118</c:v>
                </c:pt>
                <c:pt idx="66">
                  <c:v>-0.9800000000000012</c:v>
                </c:pt>
                <c:pt idx="67">
                  <c:v>-1.0100000000000011</c:v>
                </c:pt>
                <c:pt idx="68">
                  <c:v>-1.0400000000000011</c:v>
                </c:pt>
                <c:pt idx="69">
                  <c:v>-1.0700000000000012</c:v>
                </c:pt>
                <c:pt idx="70">
                  <c:v>-1.1000000000000012</c:v>
                </c:pt>
                <c:pt idx="71">
                  <c:v>-1.1300000000000012</c:v>
                </c:pt>
                <c:pt idx="72">
                  <c:v>-1.1600000000000013</c:v>
                </c:pt>
                <c:pt idx="73">
                  <c:v>-1.1900000000000013</c:v>
                </c:pt>
                <c:pt idx="74">
                  <c:v>-1.2200000000000013</c:v>
                </c:pt>
                <c:pt idx="75">
                  <c:v>-1.2500000000000013</c:v>
                </c:pt>
                <c:pt idx="76">
                  <c:v>-1.2800000000000014</c:v>
                </c:pt>
                <c:pt idx="77">
                  <c:v>-1.3100000000000014</c:v>
                </c:pt>
                <c:pt idx="78">
                  <c:v>-1.3400000000000014</c:v>
                </c:pt>
                <c:pt idx="79">
                  <c:v>-1.3700000000000014</c:v>
                </c:pt>
                <c:pt idx="80">
                  <c:v>-1.4000000000000015</c:v>
                </c:pt>
                <c:pt idx="81">
                  <c:v>-1.4300000000000015</c:v>
                </c:pt>
                <c:pt idx="82">
                  <c:v>-1.4600000000000015</c:v>
                </c:pt>
                <c:pt idx="83">
                  <c:v>-1.4900000000000015</c:v>
                </c:pt>
                <c:pt idx="84">
                  <c:v>-1.5200000000000016</c:v>
                </c:pt>
                <c:pt idx="85">
                  <c:v>-1.5500000000000016</c:v>
                </c:pt>
                <c:pt idx="86">
                  <c:v>-1.5800000000000016</c:v>
                </c:pt>
                <c:pt idx="87">
                  <c:v>-1.6100000000000017</c:v>
                </c:pt>
                <c:pt idx="88">
                  <c:v>-1.6400000000000017</c:v>
                </c:pt>
                <c:pt idx="89">
                  <c:v>-1.6700000000000017</c:v>
                </c:pt>
                <c:pt idx="90">
                  <c:v>-1.7000000000000017</c:v>
                </c:pt>
                <c:pt idx="91">
                  <c:v>-1.7300000000000018</c:v>
                </c:pt>
                <c:pt idx="92">
                  <c:v>-1.7600000000000018</c:v>
                </c:pt>
                <c:pt idx="93">
                  <c:v>-1.7900000000000018</c:v>
                </c:pt>
                <c:pt idx="94">
                  <c:v>-1.8200000000000018</c:v>
                </c:pt>
                <c:pt idx="95">
                  <c:v>-1.8500000000000019</c:v>
                </c:pt>
                <c:pt idx="96">
                  <c:v>-1.8800000000000019</c:v>
                </c:pt>
                <c:pt idx="97">
                  <c:v>-1.9100000000000019</c:v>
                </c:pt>
                <c:pt idx="98">
                  <c:v>-1.9400000000000019</c:v>
                </c:pt>
                <c:pt idx="99">
                  <c:v>-1.970000000000002</c:v>
                </c:pt>
                <c:pt idx="100">
                  <c:v>-2.0000000000000018</c:v>
                </c:pt>
                <c:pt idx="101">
                  <c:v>-2.0300000000000016</c:v>
                </c:pt>
                <c:pt idx="102">
                  <c:v>-2.0600000000000014</c:v>
                </c:pt>
                <c:pt idx="103">
                  <c:v>-2.0900000000000012</c:v>
                </c:pt>
                <c:pt idx="104">
                  <c:v>-2.120000000000001</c:v>
                </c:pt>
                <c:pt idx="105">
                  <c:v>-2.1500000000000008</c:v>
                </c:pt>
                <c:pt idx="106">
                  <c:v>-2.1800000000000006</c:v>
                </c:pt>
                <c:pt idx="107">
                  <c:v>-2.2100000000000004</c:v>
                </c:pt>
                <c:pt idx="108">
                  <c:v>-2.2400000000000002</c:v>
                </c:pt>
                <c:pt idx="109">
                  <c:v>-2.27</c:v>
                </c:pt>
                <c:pt idx="110">
                  <c:v>-2.2999999999999998</c:v>
                </c:pt>
                <c:pt idx="111">
                  <c:v>-2.3299999999999996</c:v>
                </c:pt>
                <c:pt idx="112">
                  <c:v>-2.3599999999999994</c:v>
                </c:pt>
                <c:pt idx="113">
                  <c:v>-2.3899999999999992</c:v>
                </c:pt>
                <c:pt idx="114">
                  <c:v>-2.419999999999999</c:v>
                </c:pt>
                <c:pt idx="115">
                  <c:v>-2.4499999999999988</c:v>
                </c:pt>
                <c:pt idx="116">
                  <c:v>-2.4799999999999986</c:v>
                </c:pt>
                <c:pt idx="117">
                  <c:v>-2.5099999999999985</c:v>
                </c:pt>
                <c:pt idx="118">
                  <c:v>-2.5399999999999983</c:v>
                </c:pt>
                <c:pt idx="119">
                  <c:v>-2.5699999999999981</c:v>
                </c:pt>
                <c:pt idx="120">
                  <c:v>-2.5999999999999979</c:v>
                </c:pt>
                <c:pt idx="121">
                  <c:v>-2.6299999999999977</c:v>
                </c:pt>
                <c:pt idx="122">
                  <c:v>-2.6599999999999975</c:v>
                </c:pt>
                <c:pt idx="123">
                  <c:v>-2.6899999999999973</c:v>
                </c:pt>
                <c:pt idx="124">
                  <c:v>-2.7199999999999971</c:v>
                </c:pt>
                <c:pt idx="125">
                  <c:v>-2.7499999999999969</c:v>
                </c:pt>
                <c:pt idx="126">
                  <c:v>-2.7799999999999967</c:v>
                </c:pt>
                <c:pt idx="127">
                  <c:v>-2.8099999999999965</c:v>
                </c:pt>
                <c:pt idx="128">
                  <c:v>-2.8399999999999963</c:v>
                </c:pt>
                <c:pt idx="129">
                  <c:v>-2.8699999999999961</c:v>
                </c:pt>
                <c:pt idx="130">
                  <c:v>-2.8999999999999959</c:v>
                </c:pt>
                <c:pt idx="131">
                  <c:v>-2.9299999999999957</c:v>
                </c:pt>
                <c:pt idx="132">
                  <c:v>-2.9599999999999955</c:v>
                </c:pt>
                <c:pt idx="133">
                  <c:v>-2.9899999999999953</c:v>
                </c:pt>
                <c:pt idx="134">
                  <c:v>-3.0199999999999951</c:v>
                </c:pt>
                <c:pt idx="135">
                  <c:v>-3.0499999999999949</c:v>
                </c:pt>
                <c:pt idx="136">
                  <c:v>-3.0799999999999947</c:v>
                </c:pt>
                <c:pt idx="137">
                  <c:v>-3.1099999999999945</c:v>
                </c:pt>
                <c:pt idx="138">
                  <c:v>-3.1399999999999944</c:v>
                </c:pt>
                <c:pt idx="139">
                  <c:v>-3.1699999999999942</c:v>
                </c:pt>
                <c:pt idx="140">
                  <c:v>-3.199999999999994</c:v>
                </c:pt>
                <c:pt idx="141">
                  <c:v>-3.2299999999999938</c:v>
                </c:pt>
                <c:pt idx="142">
                  <c:v>-3.2599999999999936</c:v>
                </c:pt>
                <c:pt idx="143">
                  <c:v>-3.2899999999999934</c:v>
                </c:pt>
                <c:pt idx="144">
                  <c:v>-3.3199999999999932</c:v>
                </c:pt>
                <c:pt idx="145">
                  <c:v>-3.349999999999993</c:v>
                </c:pt>
                <c:pt idx="146">
                  <c:v>-3.3799999999999928</c:v>
                </c:pt>
                <c:pt idx="147">
                  <c:v>-3.4099999999999926</c:v>
                </c:pt>
                <c:pt idx="148">
                  <c:v>-3.4399999999999924</c:v>
                </c:pt>
                <c:pt idx="149">
                  <c:v>-3.4699999999999922</c:v>
                </c:pt>
                <c:pt idx="150">
                  <c:v>-3.499999999999992</c:v>
                </c:pt>
                <c:pt idx="151">
                  <c:v>-3.5299999999999918</c:v>
                </c:pt>
                <c:pt idx="152">
                  <c:v>-3.5599999999999916</c:v>
                </c:pt>
                <c:pt idx="153">
                  <c:v>-3.5899999999999914</c:v>
                </c:pt>
                <c:pt idx="154">
                  <c:v>-3.6199999999999912</c:v>
                </c:pt>
                <c:pt idx="155">
                  <c:v>-3.649999999999991</c:v>
                </c:pt>
                <c:pt idx="156">
                  <c:v>-3.6799999999999908</c:v>
                </c:pt>
                <c:pt idx="157">
                  <c:v>-3.7099999999999906</c:v>
                </c:pt>
                <c:pt idx="158">
                  <c:v>-3.7399999999999904</c:v>
                </c:pt>
                <c:pt idx="159">
                  <c:v>-3.7699999999999902</c:v>
                </c:pt>
                <c:pt idx="160">
                  <c:v>-3.7999999999999901</c:v>
                </c:pt>
                <c:pt idx="161">
                  <c:v>-3.8299999999999899</c:v>
                </c:pt>
                <c:pt idx="162">
                  <c:v>-3.8599999999999897</c:v>
                </c:pt>
                <c:pt idx="163">
                  <c:v>-3.8899999999999895</c:v>
                </c:pt>
                <c:pt idx="164">
                  <c:v>-3.9199999999999893</c:v>
                </c:pt>
                <c:pt idx="165">
                  <c:v>-3.9499999999999891</c:v>
                </c:pt>
                <c:pt idx="166">
                  <c:v>-3.9799999999999889</c:v>
                </c:pt>
                <c:pt idx="167">
                  <c:v>-4.0099999999999891</c:v>
                </c:pt>
                <c:pt idx="168">
                  <c:v>-4.0399999999999894</c:v>
                </c:pt>
                <c:pt idx="169">
                  <c:v>-4.0699999999999896</c:v>
                </c:pt>
                <c:pt idx="170">
                  <c:v>-4.0999999999999899</c:v>
                </c:pt>
                <c:pt idx="171">
                  <c:v>-4.1299999999999901</c:v>
                </c:pt>
                <c:pt idx="172">
                  <c:v>-4.1599999999999904</c:v>
                </c:pt>
                <c:pt idx="173">
                  <c:v>-4.1899999999999906</c:v>
                </c:pt>
                <c:pt idx="174">
                  <c:v>-4.2199999999999909</c:v>
                </c:pt>
                <c:pt idx="175">
                  <c:v>-4.2499999999999911</c:v>
                </c:pt>
                <c:pt idx="176">
                  <c:v>-4.2799999999999914</c:v>
                </c:pt>
                <c:pt idx="177">
                  <c:v>-4.3099999999999916</c:v>
                </c:pt>
                <c:pt idx="178">
                  <c:v>-4.3399999999999919</c:v>
                </c:pt>
                <c:pt idx="179">
                  <c:v>-4.3699999999999921</c:v>
                </c:pt>
                <c:pt idx="180">
                  <c:v>-4.3999999999999924</c:v>
                </c:pt>
                <c:pt idx="181">
                  <c:v>-4.4299999999999926</c:v>
                </c:pt>
                <c:pt idx="182">
                  <c:v>-4.4599999999999929</c:v>
                </c:pt>
                <c:pt idx="183">
                  <c:v>-4.4899999999999931</c:v>
                </c:pt>
                <c:pt idx="184">
                  <c:v>-4.5199999999999934</c:v>
                </c:pt>
                <c:pt idx="185">
                  <c:v>-4.5499999999999936</c:v>
                </c:pt>
                <c:pt idx="186">
                  <c:v>-4.5799999999999939</c:v>
                </c:pt>
                <c:pt idx="187">
                  <c:v>-4.6099999999999941</c:v>
                </c:pt>
                <c:pt idx="188">
                  <c:v>-4.6399999999999944</c:v>
                </c:pt>
                <c:pt idx="189">
                  <c:v>-4.6699999999999946</c:v>
                </c:pt>
                <c:pt idx="190">
                  <c:v>-4.6999999999999948</c:v>
                </c:pt>
                <c:pt idx="191">
                  <c:v>-4.7299999999999951</c:v>
                </c:pt>
                <c:pt idx="192">
                  <c:v>-4.7599999999999953</c:v>
                </c:pt>
                <c:pt idx="193">
                  <c:v>-4.7899999999999956</c:v>
                </c:pt>
                <c:pt idx="194">
                  <c:v>-4.8199999999999958</c:v>
                </c:pt>
                <c:pt idx="195">
                  <c:v>-4.8499999999999961</c:v>
                </c:pt>
                <c:pt idx="196">
                  <c:v>-4.8799999999999963</c:v>
                </c:pt>
                <c:pt idx="197">
                  <c:v>-4.9099999999999966</c:v>
                </c:pt>
                <c:pt idx="198">
                  <c:v>-4.9399999999999968</c:v>
                </c:pt>
                <c:pt idx="199">
                  <c:v>-4.9699999999999971</c:v>
                </c:pt>
                <c:pt idx="200">
                  <c:v>-4.9999999999999973</c:v>
                </c:pt>
                <c:pt idx="201">
                  <c:v>-5.0299999999999976</c:v>
                </c:pt>
                <c:pt idx="202">
                  <c:v>-5.0599999999999978</c:v>
                </c:pt>
                <c:pt idx="203">
                  <c:v>-5.0899999999999981</c:v>
                </c:pt>
                <c:pt idx="204">
                  <c:v>-5.1199999999999983</c:v>
                </c:pt>
                <c:pt idx="205">
                  <c:v>-5.1499999999999986</c:v>
                </c:pt>
                <c:pt idx="206">
                  <c:v>-5.1799999999999988</c:v>
                </c:pt>
                <c:pt idx="207">
                  <c:v>-5.2099999999999991</c:v>
                </c:pt>
                <c:pt idx="208">
                  <c:v>-5.2399999999999993</c:v>
                </c:pt>
                <c:pt idx="209">
                  <c:v>-5.27</c:v>
                </c:pt>
                <c:pt idx="210">
                  <c:v>-5.3</c:v>
                </c:pt>
                <c:pt idx="211">
                  <c:v>-5.33</c:v>
                </c:pt>
                <c:pt idx="212">
                  <c:v>-5.36</c:v>
                </c:pt>
                <c:pt idx="213">
                  <c:v>-5.3900000000000006</c:v>
                </c:pt>
                <c:pt idx="214">
                  <c:v>-5.4200000000000008</c:v>
                </c:pt>
                <c:pt idx="215">
                  <c:v>-5.4500000000000011</c:v>
                </c:pt>
                <c:pt idx="216">
                  <c:v>-5.4800000000000013</c:v>
                </c:pt>
                <c:pt idx="217">
                  <c:v>-5.5100000000000016</c:v>
                </c:pt>
                <c:pt idx="218">
                  <c:v>-5.5400000000000018</c:v>
                </c:pt>
                <c:pt idx="219">
                  <c:v>-5.5700000000000021</c:v>
                </c:pt>
                <c:pt idx="220">
                  <c:v>-5.6000000000000023</c:v>
                </c:pt>
                <c:pt idx="221">
                  <c:v>-5.6300000000000026</c:v>
                </c:pt>
                <c:pt idx="222">
                  <c:v>-5.6600000000000028</c:v>
                </c:pt>
                <c:pt idx="223">
                  <c:v>-5.6900000000000031</c:v>
                </c:pt>
                <c:pt idx="224">
                  <c:v>-5.7200000000000033</c:v>
                </c:pt>
                <c:pt idx="225">
                  <c:v>-5.7500000000000036</c:v>
                </c:pt>
                <c:pt idx="226">
                  <c:v>-5.7800000000000038</c:v>
                </c:pt>
                <c:pt idx="227">
                  <c:v>-5.8100000000000041</c:v>
                </c:pt>
                <c:pt idx="228">
                  <c:v>-5.8400000000000043</c:v>
                </c:pt>
                <c:pt idx="229">
                  <c:v>-5.8700000000000045</c:v>
                </c:pt>
                <c:pt idx="230">
                  <c:v>-5.9000000000000048</c:v>
                </c:pt>
                <c:pt idx="231">
                  <c:v>-5.930000000000005</c:v>
                </c:pt>
                <c:pt idx="232">
                  <c:v>-5.9600000000000053</c:v>
                </c:pt>
                <c:pt idx="233">
                  <c:v>-5.9900000000000055</c:v>
                </c:pt>
                <c:pt idx="234">
                  <c:v>-6.0200000000000058</c:v>
                </c:pt>
                <c:pt idx="235">
                  <c:v>-6.050000000000006</c:v>
                </c:pt>
                <c:pt idx="236">
                  <c:v>-6.0800000000000063</c:v>
                </c:pt>
                <c:pt idx="237">
                  <c:v>-6.1100000000000065</c:v>
                </c:pt>
                <c:pt idx="238">
                  <c:v>-6.1400000000000068</c:v>
                </c:pt>
                <c:pt idx="239">
                  <c:v>-6.170000000000007</c:v>
                </c:pt>
                <c:pt idx="240">
                  <c:v>-6.2000000000000073</c:v>
                </c:pt>
                <c:pt idx="241">
                  <c:v>-6.2300000000000075</c:v>
                </c:pt>
                <c:pt idx="242">
                  <c:v>-6.2600000000000078</c:v>
                </c:pt>
                <c:pt idx="243">
                  <c:v>-6.290000000000008</c:v>
                </c:pt>
                <c:pt idx="244">
                  <c:v>-6.3200000000000083</c:v>
                </c:pt>
                <c:pt idx="245">
                  <c:v>-6.3500000000000085</c:v>
                </c:pt>
                <c:pt idx="246">
                  <c:v>-6.3800000000000088</c:v>
                </c:pt>
                <c:pt idx="247">
                  <c:v>-6.410000000000009</c:v>
                </c:pt>
                <c:pt idx="248">
                  <c:v>-6.4400000000000093</c:v>
                </c:pt>
                <c:pt idx="249">
                  <c:v>-6.4700000000000095</c:v>
                </c:pt>
                <c:pt idx="250">
                  <c:v>-6.5000000000000098</c:v>
                </c:pt>
                <c:pt idx="251">
                  <c:v>-6.53000000000001</c:v>
                </c:pt>
                <c:pt idx="252">
                  <c:v>-6.5600000000000103</c:v>
                </c:pt>
                <c:pt idx="253">
                  <c:v>-6.5900000000000105</c:v>
                </c:pt>
                <c:pt idx="254">
                  <c:v>-6.6200000000000108</c:v>
                </c:pt>
                <c:pt idx="255">
                  <c:v>-6.650000000000011</c:v>
                </c:pt>
                <c:pt idx="256">
                  <c:v>-6.6800000000000113</c:v>
                </c:pt>
                <c:pt idx="257">
                  <c:v>-6.7100000000000115</c:v>
                </c:pt>
                <c:pt idx="258">
                  <c:v>-6.7400000000000118</c:v>
                </c:pt>
                <c:pt idx="259">
                  <c:v>-6.770000000000012</c:v>
                </c:pt>
                <c:pt idx="260">
                  <c:v>-6.8000000000000123</c:v>
                </c:pt>
                <c:pt idx="261">
                  <c:v>-6.8300000000000125</c:v>
                </c:pt>
                <c:pt idx="262">
                  <c:v>-6.8600000000000128</c:v>
                </c:pt>
                <c:pt idx="263">
                  <c:v>-6.890000000000013</c:v>
                </c:pt>
                <c:pt idx="264">
                  <c:v>-6.9200000000000133</c:v>
                </c:pt>
                <c:pt idx="265">
                  <c:v>-6.9500000000000135</c:v>
                </c:pt>
                <c:pt idx="266">
                  <c:v>-6.9800000000000137</c:v>
                </c:pt>
                <c:pt idx="267">
                  <c:v>-7.010000000000014</c:v>
                </c:pt>
                <c:pt idx="268">
                  <c:v>-7.0400000000000142</c:v>
                </c:pt>
                <c:pt idx="269">
                  <c:v>-7.0700000000000145</c:v>
                </c:pt>
                <c:pt idx="270">
                  <c:v>-7.1000000000000147</c:v>
                </c:pt>
                <c:pt idx="271">
                  <c:v>-7.130000000000015</c:v>
                </c:pt>
                <c:pt idx="272">
                  <c:v>-7.1600000000000152</c:v>
                </c:pt>
                <c:pt idx="273">
                  <c:v>-7.1900000000000155</c:v>
                </c:pt>
                <c:pt idx="274">
                  <c:v>-7.2200000000000157</c:v>
                </c:pt>
                <c:pt idx="275">
                  <c:v>-7.250000000000016</c:v>
                </c:pt>
                <c:pt idx="276">
                  <c:v>-7.2800000000000162</c:v>
                </c:pt>
                <c:pt idx="277">
                  <c:v>-7.3100000000000165</c:v>
                </c:pt>
                <c:pt idx="278">
                  <c:v>-7.3400000000000167</c:v>
                </c:pt>
                <c:pt idx="279">
                  <c:v>-7.370000000000017</c:v>
                </c:pt>
                <c:pt idx="280">
                  <c:v>-7.4000000000000172</c:v>
                </c:pt>
                <c:pt idx="281">
                  <c:v>-7.4300000000000175</c:v>
                </c:pt>
                <c:pt idx="282">
                  <c:v>-7.4600000000000177</c:v>
                </c:pt>
                <c:pt idx="283">
                  <c:v>-7.490000000000018</c:v>
                </c:pt>
                <c:pt idx="284">
                  <c:v>-7.5200000000000182</c:v>
                </c:pt>
                <c:pt idx="285">
                  <c:v>-7.5500000000000185</c:v>
                </c:pt>
                <c:pt idx="286">
                  <c:v>-7.5800000000000187</c:v>
                </c:pt>
                <c:pt idx="287">
                  <c:v>-7.610000000000019</c:v>
                </c:pt>
              </c:numCache>
            </c:numRef>
          </c:val>
          <c:smooth val="0"/>
        </c:ser>
        <c:ser>
          <c:idx val="7"/>
          <c:order val="7"/>
          <c:tx>
            <c:strRef>
              <c:f>ChtLd!$I$1</c:f>
              <c:strCache>
                <c:ptCount val="1"/>
                <c:pt idx="0">
                  <c:v>Line 8</c:v>
                </c:pt>
              </c:strCache>
            </c:strRef>
          </c:tx>
          <c:spPr>
            <a:ln>
              <a:prstDash val="sysDash"/>
            </a:ln>
          </c:spPr>
          <c:marker>
            <c:symbol val="none"/>
          </c:marker>
          <c:cat>
            <c:numRef>
              <c:f>ChtLd!$A$2:$A$289</c:f>
              <c:numCache>
                <c:formatCode>h:mm;@</c:formatCode>
                <c:ptCount val="288"/>
                <c:pt idx="0">
                  <c:v>0</c:v>
                </c:pt>
                <c:pt idx="1">
                  <c:v>3.472222222222222E-3</c:v>
                </c:pt>
                <c:pt idx="2">
                  <c:v>6.9444444444444397E-3</c:v>
                </c:pt>
                <c:pt idx="3">
                  <c:v>1.0416666666666701E-2</c:v>
                </c:pt>
                <c:pt idx="4">
                  <c:v>1.38888888888889E-2</c:v>
                </c:pt>
                <c:pt idx="5">
                  <c:v>1.7361111111111101E-2</c:v>
                </c:pt>
                <c:pt idx="6">
                  <c:v>2.0833333333333301E-2</c:v>
                </c:pt>
                <c:pt idx="7">
                  <c:v>2.4305555555555601E-2</c:v>
                </c:pt>
                <c:pt idx="8">
                  <c:v>2.7777777777777801E-2</c:v>
                </c:pt>
                <c:pt idx="9">
                  <c:v>3.125E-2</c:v>
                </c:pt>
                <c:pt idx="10">
                  <c:v>3.4722222222222203E-2</c:v>
                </c:pt>
                <c:pt idx="11">
                  <c:v>3.8194444444444399E-2</c:v>
                </c:pt>
                <c:pt idx="12">
                  <c:v>4.1666666666666699E-2</c:v>
                </c:pt>
                <c:pt idx="13">
                  <c:v>4.5138888888888902E-2</c:v>
                </c:pt>
                <c:pt idx="14">
                  <c:v>4.8611111111111098E-2</c:v>
                </c:pt>
                <c:pt idx="15">
                  <c:v>5.2083333333333301E-2</c:v>
                </c:pt>
                <c:pt idx="16">
                  <c:v>5.5555555555555601E-2</c:v>
                </c:pt>
                <c:pt idx="17">
                  <c:v>5.9027777777777797E-2</c:v>
                </c:pt>
                <c:pt idx="18">
                  <c:v>6.25E-2</c:v>
                </c:pt>
                <c:pt idx="19">
                  <c:v>6.5972222222222196E-2</c:v>
                </c:pt>
                <c:pt idx="20">
                  <c:v>6.9444444444444406E-2</c:v>
                </c:pt>
                <c:pt idx="21">
                  <c:v>7.2916666666666699E-2</c:v>
                </c:pt>
                <c:pt idx="22">
                  <c:v>7.6388888888888895E-2</c:v>
                </c:pt>
                <c:pt idx="23">
                  <c:v>7.9861111111111105E-2</c:v>
                </c:pt>
                <c:pt idx="24">
                  <c:v>8.3333333333333301E-2</c:v>
                </c:pt>
                <c:pt idx="25">
                  <c:v>8.6805555555555594E-2</c:v>
                </c:pt>
                <c:pt idx="26">
                  <c:v>9.0277777777777804E-2</c:v>
                </c:pt>
                <c:pt idx="27">
                  <c:v>9.375E-2</c:v>
                </c:pt>
                <c:pt idx="28">
                  <c:v>9.7222222222222196E-2</c:v>
                </c:pt>
                <c:pt idx="29">
                  <c:v>0.100694444444444</c:v>
                </c:pt>
                <c:pt idx="30">
                  <c:v>0.104166666666667</c:v>
                </c:pt>
                <c:pt idx="31">
                  <c:v>0.10763888888888901</c:v>
                </c:pt>
                <c:pt idx="32">
                  <c:v>0.11111111111111099</c:v>
                </c:pt>
                <c:pt idx="33">
                  <c:v>0.114583333333333</c:v>
                </c:pt>
                <c:pt idx="34">
                  <c:v>0.118055555555556</c:v>
                </c:pt>
                <c:pt idx="35">
                  <c:v>0.121527777777778</c:v>
                </c:pt>
                <c:pt idx="36">
                  <c:v>0.125</c:v>
                </c:pt>
                <c:pt idx="37">
                  <c:v>0.12847222222222199</c:v>
                </c:pt>
                <c:pt idx="38">
                  <c:v>0.131944444444444</c:v>
                </c:pt>
                <c:pt idx="39">
                  <c:v>0.13541666666666699</c:v>
                </c:pt>
                <c:pt idx="40">
                  <c:v>0.13888888888888901</c:v>
                </c:pt>
                <c:pt idx="41">
                  <c:v>0.14236111111111099</c:v>
                </c:pt>
                <c:pt idx="42">
                  <c:v>0.14583333333333301</c:v>
                </c:pt>
                <c:pt idx="43">
                  <c:v>0.149305555555556</c:v>
                </c:pt>
                <c:pt idx="44">
                  <c:v>0.15277777777777801</c:v>
                </c:pt>
                <c:pt idx="45">
                  <c:v>0.15625</c:v>
                </c:pt>
                <c:pt idx="46">
                  <c:v>0.15972222222222199</c:v>
                </c:pt>
                <c:pt idx="47">
                  <c:v>0.163194444444444</c:v>
                </c:pt>
                <c:pt idx="48">
                  <c:v>0.16666666666666699</c:v>
                </c:pt>
                <c:pt idx="49">
                  <c:v>0.17013888888888901</c:v>
                </c:pt>
                <c:pt idx="50">
                  <c:v>0.17361111111111099</c:v>
                </c:pt>
                <c:pt idx="51">
                  <c:v>0.17708333333333301</c:v>
                </c:pt>
                <c:pt idx="52">
                  <c:v>0.180555555555556</c:v>
                </c:pt>
                <c:pt idx="53">
                  <c:v>0.18402777777777801</c:v>
                </c:pt>
                <c:pt idx="54">
                  <c:v>0.1875</c:v>
                </c:pt>
                <c:pt idx="55">
                  <c:v>0.19097222222222199</c:v>
                </c:pt>
                <c:pt idx="56">
                  <c:v>0.194444444444444</c:v>
                </c:pt>
                <c:pt idx="57">
                  <c:v>0.19791666666666699</c:v>
                </c:pt>
                <c:pt idx="58">
                  <c:v>0.20138888888888901</c:v>
                </c:pt>
                <c:pt idx="59">
                  <c:v>0.20486111111111099</c:v>
                </c:pt>
                <c:pt idx="60">
                  <c:v>0.20833333333333301</c:v>
                </c:pt>
                <c:pt idx="61">
                  <c:v>0.211805555555556</c:v>
                </c:pt>
                <c:pt idx="62">
                  <c:v>0.21527777777777801</c:v>
                </c:pt>
                <c:pt idx="63">
                  <c:v>0.21875</c:v>
                </c:pt>
                <c:pt idx="64">
                  <c:v>0.22222222222222199</c:v>
                </c:pt>
                <c:pt idx="65">
                  <c:v>0.225694444444444</c:v>
                </c:pt>
                <c:pt idx="66">
                  <c:v>0.22916666666666699</c:v>
                </c:pt>
                <c:pt idx="67">
                  <c:v>0.23263888888888901</c:v>
                </c:pt>
                <c:pt idx="68">
                  <c:v>0.23611111111111099</c:v>
                </c:pt>
                <c:pt idx="69">
                  <c:v>0.23958333333333301</c:v>
                </c:pt>
                <c:pt idx="70">
                  <c:v>0.243055555555556</c:v>
                </c:pt>
                <c:pt idx="71">
                  <c:v>0.24652777777777801</c:v>
                </c:pt>
                <c:pt idx="72">
                  <c:v>0.25</c:v>
                </c:pt>
                <c:pt idx="73">
                  <c:v>0.25347222222222199</c:v>
                </c:pt>
                <c:pt idx="74">
                  <c:v>0.25694444444444398</c:v>
                </c:pt>
                <c:pt idx="75">
                  <c:v>0.26041666666666702</c:v>
                </c:pt>
                <c:pt idx="76">
                  <c:v>0.26388888888888901</c:v>
                </c:pt>
                <c:pt idx="77">
                  <c:v>0.26736111111111099</c:v>
                </c:pt>
                <c:pt idx="78">
                  <c:v>0.27083333333333298</c:v>
                </c:pt>
                <c:pt idx="79">
                  <c:v>0.27430555555555602</c:v>
                </c:pt>
                <c:pt idx="80">
                  <c:v>0.27777777777777801</c:v>
                </c:pt>
                <c:pt idx="81">
                  <c:v>0.28125</c:v>
                </c:pt>
                <c:pt idx="82">
                  <c:v>0.28472222222222199</c:v>
                </c:pt>
                <c:pt idx="83">
                  <c:v>0.28819444444444398</c:v>
                </c:pt>
                <c:pt idx="84">
                  <c:v>0.29166666666666702</c:v>
                </c:pt>
                <c:pt idx="85">
                  <c:v>0.29513888888888901</c:v>
                </c:pt>
                <c:pt idx="86">
                  <c:v>0.29861111111111099</c:v>
                </c:pt>
                <c:pt idx="87">
                  <c:v>0.30208333333333298</c:v>
                </c:pt>
                <c:pt idx="88">
                  <c:v>0.30555555555555602</c:v>
                </c:pt>
                <c:pt idx="89">
                  <c:v>0.30902777777777801</c:v>
                </c:pt>
                <c:pt idx="90">
                  <c:v>0.3125</c:v>
                </c:pt>
                <c:pt idx="91">
                  <c:v>0.31597222222222199</c:v>
                </c:pt>
                <c:pt idx="92">
                  <c:v>0.31944444444444398</c:v>
                </c:pt>
                <c:pt idx="93">
                  <c:v>0.32291666666666702</c:v>
                </c:pt>
                <c:pt idx="94">
                  <c:v>0.32638888888888901</c:v>
                </c:pt>
                <c:pt idx="95">
                  <c:v>0.32986111111111099</c:v>
                </c:pt>
                <c:pt idx="96">
                  <c:v>0.33333333333333298</c:v>
                </c:pt>
                <c:pt idx="97">
                  <c:v>0.33680555555555602</c:v>
                </c:pt>
                <c:pt idx="98">
                  <c:v>0.34027777777777801</c:v>
                </c:pt>
                <c:pt idx="99">
                  <c:v>0.34375</c:v>
                </c:pt>
                <c:pt idx="100">
                  <c:v>0.34722222222222199</c:v>
                </c:pt>
                <c:pt idx="101">
                  <c:v>0.35069444444444398</c:v>
                </c:pt>
                <c:pt idx="102">
                  <c:v>0.35416666666666702</c:v>
                </c:pt>
                <c:pt idx="103">
                  <c:v>0.35763888888888901</c:v>
                </c:pt>
                <c:pt idx="104">
                  <c:v>0.36111111111111099</c:v>
                </c:pt>
                <c:pt idx="105">
                  <c:v>0.36458333333333298</c:v>
                </c:pt>
                <c:pt idx="106">
                  <c:v>0.36805555555555602</c:v>
                </c:pt>
                <c:pt idx="107">
                  <c:v>0.37152777777777801</c:v>
                </c:pt>
                <c:pt idx="108">
                  <c:v>0.375</c:v>
                </c:pt>
                <c:pt idx="109">
                  <c:v>0.37847222222222199</c:v>
                </c:pt>
                <c:pt idx="110">
                  <c:v>0.38194444444444398</c:v>
                </c:pt>
                <c:pt idx="111">
                  <c:v>0.38541666666666702</c:v>
                </c:pt>
                <c:pt idx="112">
                  <c:v>0.38888888888888901</c:v>
                </c:pt>
                <c:pt idx="113">
                  <c:v>0.39236111111111099</c:v>
                </c:pt>
                <c:pt idx="114">
                  <c:v>0.39583333333333298</c:v>
                </c:pt>
                <c:pt idx="115">
                  <c:v>0.39930555555555602</c:v>
                </c:pt>
                <c:pt idx="116">
                  <c:v>0.40277777777777801</c:v>
                </c:pt>
                <c:pt idx="117">
                  <c:v>0.40625</c:v>
                </c:pt>
                <c:pt idx="118">
                  <c:v>0.40972222222222199</c:v>
                </c:pt>
                <c:pt idx="119">
                  <c:v>0.41319444444444398</c:v>
                </c:pt>
                <c:pt idx="120">
                  <c:v>0.41666666666666702</c:v>
                </c:pt>
                <c:pt idx="121">
                  <c:v>0.42013888888888901</c:v>
                </c:pt>
                <c:pt idx="122">
                  <c:v>0.42361111111111099</c:v>
                </c:pt>
                <c:pt idx="123">
                  <c:v>0.42708333333333298</c:v>
                </c:pt>
                <c:pt idx="124">
                  <c:v>0.43055555555555602</c:v>
                </c:pt>
                <c:pt idx="125">
                  <c:v>0.43402777777777801</c:v>
                </c:pt>
                <c:pt idx="126">
                  <c:v>0.4375</c:v>
                </c:pt>
                <c:pt idx="127">
                  <c:v>0.44097222222222199</c:v>
                </c:pt>
                <c:pt idx="128">
                  <c:v>0.44444444444444398</c:v>
                </c:pt>
                <c:pt idx="129">
                  <c:v>0.44791666666666702</c:v>
                </c:pt>
                <c:pt idx="130">
                  <c:v>0.45138888888888901</c:v>
                </c:pt>
                <c:pt idx="131">
                  <c:v>0.45486111111111099</c:v>
                </c:pt>
                <c:pt idx="132">
                  <c:v>0.45833333333333298</c:v>
                </c:pt>
                <c:pt idx="133">
                  <c:v>0.46180555555555602</c:v>
                </c:pt>
                <c:pt idx="134">
                  <c:v>0.46527777777777801</c:v>
                </c:pt>
                <c:pt idx="135">
                  <c:v>0.46875</c:v>
                </c:pt>
                <c:pt idx="136">
                  <c:v>0.47222222222222199</c:v>
                </c:pt>
                <c:pt idx="137">
                  <c:v>0.47569444444444398</c:v>
                </c:pt>
                <c:pt idx="138">
                  <c:v>0.47916666666666702</c:v>
                </c:pt>
                <c:pt idx="139">
                  <c:v>0.48263888888888901</c:v>
                </c:pt>
                <c:pt idx="140">
                  <c:v>0.48611111111111099</c:v>
                </c:pt>
                <c:pt idx="141">
                  <c:v>0.48958333333333298</c:v>
                </c:pt>
                <c:pt idx="142">
                  <c:v>0.49305555555555602</c:v>
                </c:pt>
                <c:pt idx="143">
                  <c:v>0.49652777777777801</c:v>
                </c:pt>
                <c:pt idx="144">
                  <c:v>0.5</c:v>
                </c:pt>
                <c:pt idx="145">
                  <c:v>0.50347222222222199</c:v>
                </c:pt>
                <c:pt idx="146">
                  <c:v>0.50694444444444398</c:v>
                </c:pt>
                <c:pt idx="147">
                  <c:v>0.51041666666666696</c:v>
                </c:pt>
                <c:pt idx="148">
                  <c:v>0.51388888888888895</c:v>
                </c:pt>
                <c:pt idx="149">
                  <c:v>0.51736111111111105</c:v>
                </c:pt>
                <c:pt idx="150">
                  <c:v>0.52083333333333304</c:v>
                </c:pt>
                <c:pt idx="151">
                  <c:v>0.52430555555555602</c:v>
                </c:pt>
                <c:pt idx="152">
                  <c:v>0.52777777777777801</c:v>
                </c:pt>
                <c:pt idx="153">
                  <c:v>0.53125</c:v>
                </c:pt>
                <c:pt idx="154">
                  <c:v>0.53472222222222199</c:v>
                </c:pt>
                <c:pt idx="155">
                  <c:v>0.53819444444444398</c:v>
                </c:pt>
                <c:pt idx="156">
                  <c:v>0.54166666666666696</c:v>
                </c:pt>
                <c:pt idx="157">
                  <c:v>0.54513888888888895</c:v>
                </c:pt>
                <c:pt idx="158">
                  <c:v>0.54861111111111105</c:v>
                </c:pt>
                <c:pt idx="159">
                  <c:v>0.55208333333333304</c:v>
                </c:pt>
                <c:pt idx="160">
                  <c:v>0.55555555555555602</c:v>
                </c:pt>
                <c:pt idx="161">
                  <c:v>0.55902777777777801</c:v>
                </c:pt>
                <c:pt idx="162">
                  <c:v>0.5625</c:v>
                </c:pt>
                <c:pt idx="163">
                  <c:v>0.56597222222222199</c:v>
                </c:pt>
                <c:pt idx="164">
                  <c:v>0.56944444444444398</c:v>
                </c:pt>
                <c:pt idx="165">
                  <c:v>0.57291666666666696</c:v>
                </c:pt>
                <c:pt idx="166">
                  <c:v>0.57638888888888895</c:v>
                </c:pt>
                <c:pt idx="167">
                  <c:v>0.57986111111111105</c:v>
                </c:pt>
                <c:pt idx="168">
                  <c:v>0.58333333333333304</c:v>
                </c:pt>
                <c:pt idx="169">
                  <c:v>0.58680555555555503</c:v>
                </c:pt>
                <c:pt idx="170">
                  <c:v>0.59027777777777801</c:v>
                </c:pt>
                <c:pt idx="171">
                  <c:v>0.59375</c:v>
                </c:pt>
                <c:pt idx="172">
                  <c:v>0.59722222222222199</c:v>
                </c:pt>
                <c:pt idx="173">
                  <c:v>0.60069444444444398</c:v>
                </c:pt>
                <c:pt idx="174">
                  <c:v>0.60416666666666696</c:v>
                </c:pt>
                <c:pt idx="175">
                  <c:v>0.60763888888888895</c:v>
                </c:pt>
                <c:pt idx="176">
                  <c:v>0.61111111111111105</c:v>
                </c:pt>
                <c:pt idx="177">
                  <c:v>0.61458333333333304</c:v>
                </c:pt>
                <c:pt idx="178">
                  <c:v>0.61805555555555503</c:v>
                </c:pt>
                <c:pt idx="179">
                  <c:v>0.62152777777777801</c:v>
                </c:pt>
                <c:pt idx="180">
                  <c:v>0.625</c:v>
                </c:pt>
                <c:pt idx="181">
                  <c:v>0.62847222222222199</c:v>
                </c:pt>
                <c:pt idx="182">
                  <c:v>0.63194444444444398</c:v>
                </c:pt>
                <c:pt idx="183">
                  <c:v>0.63541666666666696</c:v>
                </c:pt>
                <c:pt idx="184">
                  <c:v>0.63888888888888895</c:v>
                </c:pt>
                <c:pt idx="185">
                  <c:v>0.64236111111111105</c:v>
                </c:pt>
                <c:pt idx="186">
                  <c:v>0.64583333333333304</c:v>
                </c:pt>
                <c:pt idx="187">
                  <c:v>0.64930555555555503</c:v>
                </c:pt>
                <c:pt idx="188">
                  <c:v>0.65277777777777801</c:v>
                </c:pt>
                <c:pt idx="189">
                  <c:v>0.65625</c:v>
                </c:pt>
                <c:pt idx="190">
                  <c:v>0.65972222222222199</c:v>
                </c:pt>
                <c:pt idx="191">
                  <c:v>0.66319444444444398</c:v>
                </c:pt>
                <c:pt idx="192">
                  <c:v>0.66666666666666696</c:v>
                </c:pt>
                <c:pt idx="193">
                  <c:v>0.67013888888888895</c:v>
                </c:pt>
                <c:pt idx="194">
                  <c:v>0.67361111111111105</c:v>
                </c:pt>
                <c:pt idx="195">
                  <c:v>0.67708333333333304</c:v>
                </c:pt>
                <c:pt idx="196">
                  <c:v>0.68055555555555503</c:v>
                </c:pt>
                <c:pt idx="197">
                  <c:v>0.68402777777777801</c:v>
                </c:pt>
                <c:pt idx="198">
                  <c:v>0.6875</c:v>
                </c:pt>
                <c:pt idx="199">
                  <c:v>0.69097222222222199</c:v>
                </c:pt>
                <c:pt idx="200">
                  <c:v>0.69444444444444398</c:v>
                </c:pt>
                <c:pt idx="201">
                  <c:v>0.69791666666666696</c:v>
                </c:pt>
                <c:pt idx="202">
                  <c:v>0.70138888888888895</c:v>
                </c:pt>
                <c:pt idx="203">
                  <c:v>0.70486111111111105</c:v>
                </c:pt>
                <c:pt idx="204">
                  <c:v>0.70833333333333304</c:v>
                </c:pt>
                <c:pt idx="205">
                  <c:v>0.71180555555555503</c:v>
                </c:pt>
                <c:pt idx="206">
                  <c:v>0.71527777777777801</c:v>
                </c:pt>
                <c:pt idx="207">
                  <c:v>0.71875</c:v>
                </c:pt>
                <c:pt idx="208">
                  <c:v>0.72222222222222199</c:v>
                </c:pt>
                <c:pt idx="209">
                  <c:v>0.72569444444444398</c:v>
                </c:pt>
                <c:pt idx="210">
                  <c:v>0.72916666666666696</c:v>
                </c:pt>
                <c:pt idx="211">
                  <c:v>0.73263888888888895</c:v>
                </c:pt>
                <c:pt idx="212">
                  <c:v>0.73611111111111105</c:v>
                </c:pt>
                <c:pt idx="213">
                  <c:v>0.73958333333333304</c:v>
                </c:pt>
                <c:pt idx="214">
                  <c:v>0.74305555555555503</c:v>
                </c:pt>
                <c:pt idx="215">
                  <c:v>0.74652777777777801</c:v>
                </c:pt>
                <c:pt idx="216">
                  <c:v>0.75</c:v>
                </c:pt>
                <c:pt idx="217">
                  <c:v>0.75347222222222199</c:v>
                </c:pt>
                <c:pt idx="218">
                  <c:v>0.75694444444444398</c:v>
                </c:pt>
                <c:pt idx="219">
                  <c:v>0.76041666666666696</c:v>
                </c:pt>
                <c:pt idx="220">
                  <c:v>0.76388888888888895</c:v>
                </c:pt>
                <c:pt idx="221">
                  <c:v>0.76736111111111105</c:v>
                </c:pt>
                <c:pt idx="222">
                  <c:v>0.77083333333333304</c:v>
                </c:pt>
                <c:pt idx="223">
                  <c:v>0.77430555555555503</c:v>
                </c:pt>
                <c:pt idx="224">
                  <c:v>0.77777777777777801</c:v>
                </c:pt>
                <c:pt idx="225">
                  <c:v>0.78125</c:v>
                </c:pt>
                <c:pt idx="226">
                  <c:v>0.78472222222222199</c:v>
                </c:pt>
                <c:pt idx="227">
                  <c:v>0.78819444444444398</c:v>
                </c:pt>
                <c:pt idx="228">
                  <c:v>0.79166666666666696</c:v>
                </c:pt>
                <c:pt idx="229">
                  <c:v>0.79513888888888895</c:v>
                </c:pt>
                <c:pt idx="230">
                  <c:v>0.79861111111111105</c:v>
                </c:pt>
                <c:pt idx="231">
                  <c:v>0.80208333333333304</c:v>
                </c:pt>
                <c:pt idx="232">
                  <c:v>0.80555555555555503</c:v>
                </c:pt>
                <c:pt idx="233">
                  <c:v>0.80902777777777801</c:v>
                </c:pt>
                <c:pt idx="234">
                  <c:v>0.8125</c:v>
                </c:pt>
                <c:pt idx="235">
                  <c:v>0.81597222222222199</c:v>
                </c:pt>
                <c:pt idx="236">
                  <c:v>0.81944444444444398</c:v>
                </c:pt>
                <c:pt idx="237">
                  <c:v>0.82291666666666696</c:v>
                </c:pt>
                <c:pt idx="238">
                  <c:v>0.82638888888888895</c:v>
                </c:pt>
                <c:pt idx="239">
                  <c:v>0.82986111111111105</c:v>
                </c:pt>
                <c:pt idx="240">
                  <c:v>0.83333333333333304</c:v>
                </c:pt>
                <c:pt idx="241">
                  <c:v>0.83680555555555503</c:v>
                </c:pt>
                <c:pt idx="242">
                  <c:v>0.84027777777777801</c:v>
                </c:pt>
                <c:pt idx="243">
                  <c:v>0.84375</c:v>
                </c:pt>
                <c:pt idx="244">
                  <c:v>0.84722222222222199</c:v>
                </c:pt>
                <c:pt idx="245">
                  <c:v>0.85069444444444398</c:v>
                </c:pt>
                <c:pt idx="246">
                  <c:v>0.85416666666666696</c:v>
                </c:pt>
                <c:pt idx="247">
                  <c:v>0.85763888888888895</c:v>
                </c:pt>
                <c:pt idx="248">
                  <c:v>0.86111111111111105</c:v>
                </c:pt>
                <c:pt idx="249">
                  <c:v>0.86458333333333304</c:v>
                </c:pt>
                <c:pt idx="250">
                  <c:v>0.86805555555555503</c:v>
                </c:pt>
                <c:pt idx="251">
                  <c:v>0.87152777777777801</c:v>
                </c:pt>
                <c:pt idx="252">
                  <c:v>0.875</c:v>
                </c:pt>
                <c:pt idx="253">
                  <c:v>0.87847222222222199</c:v>
                </c:pt>
                <c:pt idx="254">
                  <c:v>0.88194444444444398</c:v>
                </c:pt>
                <c:pt idx="255">
                  <c:v>0.88541666666666696</c:v>
                </c:pt>
                <c:pt idx="256">
                  <c:v>0.88888888888888895</c:v>
                </c:pt>
                <c:pt idx="257">
                  <c:v>0.89236111111111105</c:v>
                </c:pt>
                <c:pt idx="258">
                  <c:v>0.89583333333333304</c:v>
                </c:pt>
                <c:pt idx="259">
                  <c:v>0.89930555555555503</c:v>
                </c:pt>
                <c:pt idx="260">
                  <c:v>0.90277777777777801</c:v>
                </c:pt>
                <c:pt idx="261">
                  <c:v>0.90625</c:v>
                </c:pt>
                <c:pt idx="262">
                  <c:v>0.90972222222222199</c:v>
                </c:pt>
                <c:pt idx="263">
                  <c:v>0.91319444444444398</c:v>
                </c:pt>
                <c:pt idx="264">
                  <c:v>0.91666666666666696</c:v>
                </c:pt>
                <c:pt idx="265">
                  <c:v>0.92013888888888895</c:v>
                </c:pt>
                <c:pt idx="266">
                  <c:v>0.92361111111111105</c:v>
                </c:pt>
                <c:pt idx="267">
                  <c:v>0.92708333333333304</c:v>
                </c:pt>
                <c:pt idx="268">
                  <c:v>0.93055555555555503</c:v>
                </c:pt>
                <c:pt idx="269">
                  <c:v>0.93402777777777801</c:v>
                </c:pt>
                <c:pt idx="270">
                  <c:v>0.9375</c:v>
                </c:pt>
                <c:pt idx="271">
                  <c:v>0.94097222222222199</c:v>
                </c:pt>
                <c:pt idx="272">
                  <c:v>0.94444444444444398</c:v>
                </c:pt>
                <c:pt idx="273">
                  <c:v>0.94791666666666696</c:v>
                </c:pt>
                <c:pt idx="274">
                  <c:v>0.95138888888888895</c:v>
                </c:pt>
                <c:pt idx="275">
                  <c:v>0.95486111111111105</c:v>
                </c:pt>
                <c:pt idx="276">
                  <c:v>0.95833333333333304</c:v>
                </c:pt>
                <c:pt idx="277">
                  <c:v>0.96180555555555503</c:v>
                </c:pt>
                <c:pt idx="278">
                  <c:v>0.96527777777777801</c:v>
                </c:pt>
                <c:pt idx="279">
                  <c:v>0.96875</c:v>
                </c:pt>
                <c:pt idx="280">
                  <c:v>0.97222222222222199</c:v>
                </c:pt>
                <c:pt idx="281">
                  <c:v>0.97569444444444398</c:v>
                </c:pt>
                <c:pt idx="282">
                  <c:v>0.97916666666666696</c:v>
                </c:pt>
                <c:pt idx="283">
                  <c:v>0.98263888888888895</c:v>
                </c:pt>
                <c:pt idx="284">
                  <c:v>0.98611111111111105</c:v>
                </c:pt>
                <c:pt idx="285">
                  <c:v>0.98958333333333304</c:v>
                </c:pt>
                <c:pt idx="286">
                  <c:v>0.99305555555555503</c:v>
                </c:pt>
                <c:pt idx="287">
                  <c:v>0.99652777777777801</c:v>
                </c:pt>
              </c:numCache>
            </c:numRef>
          </c:cat>
          <c:val>
            <c:numRef>
              <c:f>ChtLd!$I$2:$I$289</c:f>
              <c:numCache>
                <c:formatCode>0.00</c:formatCode>
                <c:ptCount val="288"/>
                <c:pt idx="0" formatCode="0.0">
                  <c:v>2</c:v>
                </c:pt>
                <c:pt idx="1">
                  <c:v>1.98</c:v>
                </c:pt>
                <c:pt idx="2">
                  <c:v>1.96</c:v>
                </c:pt>
                <c:pt idx="3">
                  <c:v>1.94</c:v>
                </c:pt>
                <c:pt idx="4">
                  <c:v>1.92</c:v>
                </c:pt>
                <c:pt idx="5">
                  <c:v>1.9</c:v>
                </c:pt>
                <c:pt idx="6">
                  <c:v>1.88</c:v>
                </c:pt>
                <c:pt idx="7">
                  <c:v>1.8599999999999999</c:v>
                </c:pt>
                <c:pt idx="8">
                  <c:v>1.8399999999999999</c:v>
                </c:pt>
                <c:pt idx="9">
                  <c:v>1.8199999999999998</c:v>
                </c:pt>
                <c:pt idx="10">
                  <c:v>1.7999999999999998</c:v>
                </c:pt>
                <c:pt idx="11">
                  <c:v>1.7799999999999998</c:v>
                </c:pt>
                <c:pt idx="12">
                  <c:v>1.7599999999999998</c:v>
                </c:pt>
                <c:pt idx="13">
                  <c:v>1.7399999999999998</c:v>
                </c:pt>
                <c:pt idx="14">
                  <c:v>1.7199999999999998</c:v>
                </c:pt>
                <c:pt idx="15">
                  <c:v>1.6999999999999997</c:v>
                </c:pt>
                <c:pt idx="16">
                  <c:v>1.6799999999999997</c:v>
                </c:pt>
                <c:pt idx="17">
                  <c:v>1.6599999999999997</c:v>
                </c:pt>
                <c:pt idx="18">
                  <c:v>1.6399999999999997</c:v>
                </c:pt>
                <c:pt idx="19">
                  <c:v>1.6199999999999997</c:v>
                </c:pt>
                <c:pt idx="20">
                  <c:v>1.5999999999999996</c:v>
                </c:pt>
                <c:pt idx="21">
                  <c:v>1.5799999999999996</c:v>
                </c:pt>
                <c:pt idx="22">
                  <c:v>1.5599999999999996</c:v>
                </c:pt>
                <c:pt idx="23">
                  <c:v>1.5399999999999996</c:v>
                </c:pt>
                <c:pt idx="24">
                  <c:v>1.5199999999999996</c:v>
                </c:pt>
                <c:pt idx="25">
                  <c:v>1.4999999999999996</c:v>
                </c:pt>
                <c:pt idx="26">
                  <c:v>1.4799999999999995</c:v>
                </c:pt>
                <c:pt idx="27">
                  <c:v>1.4599999999999995</c:v>
                </c:pt>
                <c:pt idx="28">
                  <c:v>1.4399999999999995</c:v>
                </c:pt>
                <c:pt idx="29">
                  <c:v>1.4199999999999995</c:v>
                </c:pt>
                <c:pt idx="30">
                  <c:v>1.3999999999999995</c:v>
                </c:pt>
                <c:pt idx="31">
                  <c:v>1.3799999999999994</c:v>
                </c:pt>
                <c:pt idx="32">
                  <c:v>1.3599999999999994</c:v>
                </c:pt>
                <c:pt idx="33">
                  <c:v>1.3399999999999994</c:v>
                </c:pt>
                <c:pt idx="34">
                  <c:v>1.3199999999999994</c:v>
                </c:pt>
                <c:pt idx="35">
                  <c:v>1.2999999999999994</c:v>
                </c:pt>
                <c:pt idx="36">
                  <c:v>1.2799999999999994</c:v>
                </c:pt>
                <c:pt idx="37">
                  <c:v>1.2599999999999993</c:v>
                </c:pt>
                <c:pt idx="38">
                  <c:v>1.2399999999999993</c:v>
                </c:pt>
                <c:pt idx="39">
                  <c:v>1.2199999999999993</c:v>
                </c:pt>
                <c:pt idx="40">
                  <c:v>1.1999999999999993</c:v>
                </c:pt>
                <c:pt idx="41">
                  <c:v>1.1799999999999993</c:v>
                </c:pt>
                <c:pt idx="42">
                  <c:v>1.1599999999999993</c:v>
                </c:pt>
                <c:pt idx="43">
                  <c:v>1.1399999999999992</c:v>
                </c:pt>
                <c:pt idx="44">
                  <c:v>1.1199999999999992</c:v>
                </c:pt>
                <c:pt idx="45">
                  <c:v>1.0999999999999992</c:v>
                </c:pt>
                <c:pt idx="46">
                  <c:v>1.0799999999999992</c:v>
                </c:pt>
                <c:pt idx="47">
                  <c:v>1.0599999999999992</c:v>
                </c:pt>
                <c:pt idx="48">
                  <c:v>1.0399999999999991</c:v>
                </c:pt>
                <c:pt idx="49">
                  <c:v>1.0199999999999991</c:v>
                </c:pt>
                <c:pt idx="50">
                  <c:v>0.99999999999999911</c:v>
                </c:pt>
                <c:pt idx="51">
                  <c:v>0.97999999999999909</c:v>
                </c:pt>
                <c:pt idx="52">
                  <c:v>0.95999999999999908</c:v>
                </c:pt>
                <c:pt idx="53">
                  <c:v>0.93999999999999906</c:v>
                </c:pt>
                <c:pt idx="54">
                  <c:v>0.91999999999999904</c:v>
                </c:pt>
                <c:pt idx="55">
                  <c:v>0.89999999999999902</c:v>
                </c:pt>
                <c:pt idx="56">
                  <c:v>0.87999999999999901</c:v>
                </c:pt>
                <c:pt idx="57">
                  <c:v>0.85999999999999899</c:v>
                </c:pt>
                <c:pt idx="58">
                  <c:v>0.83999999999999897</c:v>
                </c:pt>
                <c:pt idx="59">
                  <c:v>0.81999999999999895</c:v>
                </c:pt>
                <c:pt idx="60">
                  <c:v>0.79999999999999893</c:v>
                </c:pt>
                <c:pt idx="61">
                  <c:v>0.77999999999999892</c:v>
                </c:pt>
                <c:pt idx="62">
                  <c:v>0.7599999999999989</c:v>
                </c:pt>
                <c:pt idx="63">
                  <c:v>0.73999999999999888</c:v>
                </c:pt>
                <c:pt idx="64">
                  <c:v>0.71999999999999886</c:v>
                </c:pt>
                <c:pt idx="65">
                  <c:v>0.69999999999999885</c:v>
                </c:pt>
                <c:pt idx="66">
                  <c:v>0.67999999999999883</c:v>
                </c:pt>
                <c:pt idx="67">
                  <c:v>0.65999999999999881</c:v>
                </c:pt>
                <c:pt idx="68">
                  <c:v>0.63999999999999879</c:v>
                </c:pt>
                <c:pt idx="69">
                  <c:v>0.61999999999999877</c:v>
                </c:pt>
                <c:pt idx="70">
                  <c:v>0.59999999999999876</c:v>
                </c:pt>
                <c:pt idx="71">
                  <c:v>0.57999999999999874</c:v>
                </c:pt>
                <c:pt idx="72">
                  <c:v>0.55999999999999872</c:v>
                </c:pt>
                <c:pt idx="73">
                  <c:v>0.5399999999999987</c:v>
                </c:pt>
                <c:pt idx="74">
                  <c:v>0.51999999999999869</c:v>
                </c:pt>
                <c:pt idx="75">
                  <c:v>0.49999999999999867</c:v>
                </c:pt>
                <c:pt idx="76">
                  <c:v>0.47999999999999865</c:v>
                </c:pt>
                <c:pt idx="77">
                  <c:v>0.45999999999999863</c:v>
                </c:pt>
                <c:pt idx="78">
                  <c:v>0.43999999999999861</c:v>
                </c:pt>
                <c:pt idx="79">
                  <c:v>0.4199999999999986</c:v>
                </c:pt>
                <c:pt idx="80">
                  <c:v>0.39999999999999858</c:v>
                </c:pt>
                <c:pt idx="81">
                  <c:v>0.37999999999999856</c:v>
                </c:pt>
                <c:pt idx="82">
                  <c:v>0.35999999999999854</c:v>
                </c:pt>
                <c:pt idx="83">
                  <c:v>0.33999999999999853</c:v>
                </c:pt>
                <c:pt idx="84">
                  <c:v>0.31999999999999851</c:v>
                </c:pt>
                <c:pt idx="85">
                  <c:v>0.29999999999999849</c:v>
                </c:pt>
                <c:pt idx="86">
                  <c:v>0.27999999999999847</c:v>
                </c:pt>
                <c:pt idx="87">
                  <c:v>0.25999999999999845</c:v>
                </c:pt>
                <c:pt idx="88">
                  <c:v>0.23999999999999846</c:v>
                </c:pt>
                <c:pt idx="89">
                  <c:v>0.21999999999999847</c:v>
                </c:pt>
                <c:pt idx="90">
                  <c:v>0.19999999999999848</c:v>
                </c:pt>
                <c:pt idx="91">
                  <c:v>0.17999999999999849</c:v>
                </c:pt>
                <c:pt idx="92">
                  <c:v>0.1599999999999985</c:v>
                </c:pt>
                <c:pt idx="93">
                  <c:v>0.13999999999999851</c:v>
                </c:pt>
                <c:pt idx="94">
                  <c:v>0.11999999999999851</c:v>
                </c:pt>
                <c:pt idx="95">
                  <c:v>9.9999999999998507E-2</c:v>
                </c:pt>
                <c:pt idx="96">
                  <c:v>7.9999999999998503E-2</c:v>
                </c:pt>
                <c:pt idx="97">
                  <c:v>5.9999999999998499E-2</c:v>
                </c:pt>
                <c:pt idx="98">
                  <c:v>3.9999999999998495E-2</c:v>
                </c:pt>
                <c:pt idx="99">
                  <c:v>1.9999999999998495E-2</c:v>
                </c:pt>
                <c:pt idx="100">
                  <c:v>-1.5057399771478686E-15</c:v>
                </c:pt>
                <c:pt idx="101">
                  <c:v>-2.0000000000001506E-2</c:v>
                </c:pt>
                <c:pt idx="102">
                  <c:v>-4.0000000000001507E-2</c:v>
                </c:pt>
                <c:pt idx="103">
                  <c:v>-6.000000000000151E-2</c:v>
                </c:pt>
                <c:pt idx="104">
                  <c:v>-8.0000000000001514E-2</c:v>
                </c:pt>
                <c:pt idx="105">
                  <c:v>-0.10000000000000152</c:v>
                </c:pt>
                <c:pt idx="106">
                  <c:v>-0.12000000000000152</c:v>
                </c:pt>
                <c:pt idx="107">
                  <c:v>-0.14000000000000151</c:v>
                </c:pt>
                <c:pt idx="108">
                  <c:v>-0.1600000000000015</c:v>
                </c:pt>
                <c:pt idx="109">
                  <c:v>-0.18000000000000149</c:v>
                </c:pt>
                <c:pt idx="110">
                  <c:v>-0.20000000000000148</c:v>
                </c:pt>
                <c:pt idx="111">
                  <c:v>-0.22000000000000147</c:v>
                </c:pt>
                <c:pt idx="112">
                  <c:v>-0.24000000000000146</c:v>
                </c:pt>
                <c:pt idx="113">
                  <c:v>-0.26000000000000145</c:v>
                </c:pt>
                <c:pt idx="114">
                  <c:v>-0.28000000000000147</c:v>
                </c:pt>
                <c:pt idx="115">
                  <c:v>-0.30000000000000149</c:v>
                </c:pt>
                <c:pt idx="116">
                  <c:v>-0.32000000000000151</c:v>
                </c:pt>
                <c:pt idx="117">
                  <c:v>-0.34000000000000152</c:v>
                </c:pt>
                <c:pt idx="118">
                  <c:v>-0.36000000000000154</c:v>
                </c:pt>
                <c:pt idx="119">
                  <c:v>-0.38000000000000156</c:v>
                </c:pt>
                <c:pt idx="120">
                  <c:v>-0.40000000000000158</c:v>
                </c:pt>
                <c:pt idx="121">
                  <c:v>-0.42000000000000159</c:v>
                </c:pt>
                <c:pt idx="122">
                  <c:v>-0.44000000000000161</c:v>
                </c:pt>
                <c:pt idx="123">
                  <c:v>-0.46000000000000163</c:v>
                </c:pt>
                <c:pt idx="124">
                  <c:v>-0.48000000000000165</c:v>
                </c:pt>
                <c:pt idx="125">
                  <c:v>-0.50000000000000167</c:v>
                </c:pt>
                <c:pt idx="126">
                  <c:v>-0.52000000000000168</c:v>
                </c:pt>
                <c:pt idx="127">
                  <c:v>-0.5400000000000017</c:v>
                </c:pt>
                <c:pt idx="128">
                  <c:v>-0.56000000000000172</c:v>
                </c:pt>
                <c:pt idx="129">
                  <c:v>-0.58000000000000174</c:v>
                </c:pt>
                <c:pt idx="130">
                  <c:v>-0.60000000000000175</c:v>
                </c:pt>
                <c:pt idx="131">
                  <c:v>-0.62000000000000177</c:v>
                </c:pt>
                <c:pt idx="132">
                  <c:v>-0.64000000000000179</c:v>
                </c:pt>
                <c:pt idx="133">
                  <c:v>-0.66000000000000181</c:v>
                </c:pt>
                <c:pt idx="134">
                  <c:v>-0.68000000000000183</c:v>
                </c:pt>
                <c:pt idx="135">
                  <c:v>-0.70000000000000184</c:v>
                </c:pt>
                <c:pt idx="136">
                  <c:v>-0.72000000000000186</c:v>
                </c:pt>
                <c:pt idx="137">
                  <c:v>-0.74000000000000188</c:v>
                </c:pt>
                <c:pt idx="138">
                  <c:v>-0.7600000000000019</c:v>
                </c:pt>
                <c:pt idx="139">
                  <c:v>-0.78000000000000191</c:v>
                </c:pt>
                <c:pt idx="140">
                  <c:v>-0.80000000000000193</c:v>
                </c:pt>
                <c:pt idx="141">
                  <c:v>-0.82000000000000195</c:v>
                </c:pt>
                <c:pt idx="142">
                  <c:v>-0.84000000000000197</c:v>
                </c:pt>
                <c:pt idx="143">
                  <c:v>-0.86000000000000199</c:v>
                </c:pt>
                <c:pt idx="144">
                  <c:v>-0.880000000000002</c:v>
                </c:pt>
                <c:pt idx="145">
                  <c:v>-0.90000000000000202</c:v>
                </c:pt>
                <c:pt idx="146">
                  <c:v>-0.92000000000000204</c:v>
                </c:pt>
                <c:pt idx="147">
                  <c:v>-0.94000000000000206</c:v>
                </c:pt>
                <c:pt idx="148">
                  <c:v>-0.96000000000000207</c:v>
                </c:pt>
                <c:pt idx="149">
                  <c:v>-0.98000000000000209</c:v>
                </c:pt>
                <c:pt idx="150">
                  <c:v>-1.000000000000002</c:v>
                </c:pt>
                <c:pt idx="151">
                  <c:v>-1.020000000000002</c:v>
                </c:pt>
                <c:pt idx="152">
                  <c:v>-1.040000000000002</c:v>
                </c:pt>
                <c:pt idx="153">
                  <c:v>-1.0600000000000021</c:v>
                </c:pt>
                <c:pt idx="154">
                  <c:v>-1.0800000000000021</c:v>
                </c:pt>
                <c:pt idx="155">
                  <c:v>-1.1000000000000021</c:v>
                </c:pt>
                <c:pt idx="156">
                  <c:v>-1.1200000000000021</c:v>
                </c:pt>
                <c:pt idx="157">
                  <c:v>-1.1400000000000021</c:v>
                </c:pt>
                <c:pt idx="158">
                  <c:v>-1.1600000000000021</c:v>
                </c:pt>
                <c:pt idx="159">
                  <c:v>-1.1800000000000022</c:v>
                </c:pt>
                <c:pt idx="160">
                  <c:v>-1.2000000000000022</c:v>
                </c:pt>
                <c:pt idx="161">
                  <c:v>-1.2200000000000022</c:v>
                </c:pt>
                <c:pt idx="162">
                  <c:v>-1.2400000000000022</c:v>
                </c:pt>
                <c:pt idx="163">
                  <c:v>-1.2600000000000022</c:v>
                </c:pt>
                <c:pt idx="164">
                  <c:v>-1.2800000000000022</c:v>
                </c:pt>
                <c:pt idx="165">
                  <c:v>-1.3000000000000023</c:v>
                </c:pt>
                <c:pt idx="166">
                  <c:v>-1.3200000000000023</c:v>
                </c:pt>
                <c:pt idx="167">
                  <c:v>-1.3400000000000023</c:v>
                </c:pt>
                <c:pt idx="168">
                  <c:v>-1.3600000000000023</c:v>
                </c:pt>
                <c:pt idx="169">
                  <c:v>-1.3800000000000023</c:v>
                </c:pt>
                <c:pt idx="170">
                  <c:v>-1.4000000000000024</c:v>
                </c:pt>
                <c:pt idx="171">
                  <c:v>-1.4200000000000024</c:v>
                </c:pt>
                <c:pt idx="172">
                  <c:v>-1.4400000000000024</c:v>
                </c:pt>
                <c:pt idx="173">
                  <c:v>-1.4600000000000024</c:v>
                </c:pt>
                <c:pt idx="174">
                  <c:v>-1.4800000000000024</c:v>
                </c:pt>
                <c:pt idx="175">
                  <c:v>-1.5000000000000024</c:v>
                </c:pt>
                <c:pt idx="176">
                  <c:v>-1.5200000000000025</c:v>
                </c:pt>
                <c:pt idx="177">
                  <c:v>-1.5400000000000025</c:v>
                </c:pt>
                <c:pt idx="178">
                  <c:v>-1.5600000000000025</c:v>
                </c:pt>
                <c:pt idx="179">
                  <c:v>-1.5800000000000025</c:v>
                </c:pt>
                <c:pt idx="180">
                  <c:v>-1.6000000000000025</c:v>
                </c:pt>
                <c:pt idx="181">
                  <c:v>-1.6200000000000025</c:v>
                </c:pt>
                <c:pt idx="182">
                  <c:v>-1.6400000000000026</c:v>
                </c:pt>
                <c:pt idx="183">
                  <c:v>-1.6600000000000026</c:v>
                </c:pt>
                <c:pt idx="184">
                  <c:v>-1.6800000000000026</c:v>
                </c:pt>
                <c:pt idx="185">
                  <c:v>-1.7000000000000026</c:v>
                </c:pt>
                <c:pt idx="186">
                  <c:v>-1.7200000000000026</c:v>
                </c:pt>
                <c:pt idx="187">
                  <c:v>-1.7400000000000027</c:v>
                </c:pt>
                <c:pt idx="188">
                  <c:v>-1.7600000000000027</c:v>
                </c:pt>
                <c:pt idx="189">
                  <c:v>-1.7800000000000027</c:v>
                </c:pt>
                <c:pt idx="190">
                  <c:v>-1.8000000000000027</c:v>
                </c:pt>
                <c:pt idx="191">
                  <c:v>-1.8200000000000027</c:v>
                </c:pt>
                <c:pt idx="192">
                  <c:v>-1.8400000000000027</c:v>
                </c:pt>
                <c:pt idx="193">
                  <c:v>-1.8600000000000028</c:v>
                </c:pt>
                <c:pt idx="194">
                  <c:v>-1.8800000000000028</c:v>
                </c:pt>
                <c:pt idx="195">
                  <c:v>-1.9000000000000028</c:v>
                </c:pt>
                <c:pt idx="196">
                  <c:v>-1.9200000000000028</c:v>
                </c:pt>
                <c:pt idx="197">
                  <c:v>-1.9400000000000028</c:v>
                </c:pt>
                <c:pt idx="198">
                  <c:v>-1.9600000000000029</c:v>
                </c:pt>
                <c:pt idx="199">
                  <c:v>-1.9800000000000029</c:v>
                </c:pt>
                <c:pt idx="200">
                  <c:v>-2.0000000000000027</c:v>
                </c:pt>
                <c:pt idx="201">
                  <c:v>-2.0200000000000027</c:v>
                </c:pt>
                <c:pt idx="202">
                  <c:v>-2.0400000000000027</c:v>
                </c:pt>
                <c:pt idx="203">
                  <c:v>-2.0600000000000027</c:v>
                </c:pt>
                <c:pt idx="204">
                  <c:v>-2.0800000000000027</c:v>
                </c:pt>
                <c:pt idx="205">
                  <c:v>-2.1000000000000028</c:v>
                </c:pt>
                <c:pt idx="206">
                  <c:v>-2.1200000000000028</c:v>
                </c:pt>
                <c:pt idx="207">
                  <c:v>-2.1400000000000028</c:v>
                </c:pt>
                <c:pt idx="208">
                  <c:v>-2.1600000000000028</c:v>
                </c:pt>
                <c:pt idx="209">
                  <c:v>-2.1800000000000028</c:v>
                </c:pt>
                <c:pt idx="210">
                  <c:v>-2.2000000000000028</c:v>
                </c:pt>
                <c:pt idx="211">
                  <c:v>-2.2200000000000029</c:v>
                </c:pt>
                <c:pt idx="212">
                  <c:v>-2.2400000000000029</c:v>
                </c:pt>
                <c:pt idx="213">
                  <c:v>-2.2600000000000029</c:v>
                </c:pt>
                <c:pt idx="214">
                  <c:v>-2.2800000000000029</c:v>
                </c:pt>
                <c:pt idx="215">
                  <c:v>-2.3000000000000029</c:v>
                </c:pt>
                <c:pt idx="216">
                  <c:v>-2.3200000000000029</c:v>
                </c:pt>
                <c:pt idx="217">
                  <c:v>-2.340000000000003</c:v>
                </c:pt>
                <c:pt idx="218">
                  <c:v>-2.360000000000003</c:v>
                </c:pt>
                <c:pt idx="219">
                  <c:v>-2.380000000000003</c:v>
                </c:pt>
                <c:pt idx="220">
                  <c:v>-2.400000000000003</c:v>
                </c:pt>
                <c:pt idx="221">
                  <c:v>-2.420000000000003</c:v>
                </c:pt>
                <c:pt idx="222">
                  <c:v>-2.4400000000000031</c:v>
                </c:pt>
                <c:pt idx="223">
                  <c:v>-2.4600000000000031</c:v>
                </c:pt>
                <c:pt idx="224">
                  <c:v>-2.4800000000000031</c:v>
                </c:pt>
                <c:pt idx="225">
                  <c:v>-2.5000000000000031</c:v>
                </c:pt>
                <c:pt idx="226">
                  <c:v>-2.5200000000000031</c:v>
                </c:pt>
                <c:pt idx="227">
                  <c:v>-2.5400000000000031</c:v>
                </c:pt>
                <c:pt idx="228">
                  <c:v>-2.5600000000000032</c:v>
                </c:pt>
                <c:pt idx="229">
                  <c:v>-2.5800000000000032</c:v>
                </c:pt>
                <c:pt idx="230">
                  <c:v>-2.6000000000000032</c:v>
                </c:pt>
                <c:pt idx="231">
                  <c:v>-2.6200000000000032</c:v>
                </c:pt>
                <c:pt idx="232">
                  <c:v>-2.6400000000000032</c:v>
                </c:pt>
                <c:pt idx="233">
                  <c:v>-2.6600000000000033</c:v>
                </c:pt>
                <c:pt idx="234">
                  <c:v>-2.6800000000000033</c:v>
                </c:pt>
                <c:pt idx="235">
                  <c:v>-2.7000000000000033</c:v>
                </c:pt>
                <c:pt idx="236">
                  <c:v>-2.7200000000000033</c:v>
                </c:pt>
                <c:pt idx="237">
                  <c:v>-2.7400000000000033</c:v>
                </c:pt>
                <c:pt idx="238">
                  <c:v>-2.7600000000000033</c:v>
                </c:pt>
                <c:pt idx="239">
                  <c:v>-2.7800000000000034</c:v>
                </c:pt>
                <c:pt idx="240">
                  <c:v>-2.8000000000000034</c:v>
                </c:pt>
                <c:pt idx="241">
                  <c:v>-2.8200000000000034</c:v>
                </c:pt>
                <c:pt idx="242">
                  <c:v>-2.8400000000000034</c:v>
                </c:pt>
                <c:pt idx="243">
                  <c:v>-2.8600000000000034</c:v>
                </c:pt>
                <c:pt idx="244">
                  <c:v>-2.8800000000000034</c:v>
                </c:pt>
                <c:pt idx="245">
                  <c:v>-2.9000000000000035</c:v>
                </c:pt>
                <c:pt idx="246">
                  <c:v>-2.9200000000000035</c:v>
                </c:pt>
                <c:pt idx="247">
                  <c:v>-2.9400000000000035</c:v>
                </c:pt>
                <c:pt idx="248">
                  <c:v>-2.9600000000000035</c:v>
                </c:pt>
                <c:pt idx="249">
                  <c:v>-2.9800000000000035</c:v>
                </c:pt>
                <c:pt idx="250">
                  <c:v>-3.0000000000000036</c:v>
                </c:pt>
                <c:pt idx="251">
                  <c:v>-3.0200000000000036</c:v>
                </c:pt>
                <c:pt idx="252">
                  <c:v>-3.0400000000000036</c:v>
                </c:pt>
                <c:pt idx="253">
                  <c:v>-3.0600000000000036</c:v>
                </c:pt>
                <c:pt idx="254">
                  <c:v>-3.0800000000000036</c:v>
                </c:pt>
                <c:pt idx="255">
                  <c:v>-3.1000000000000036</c:v>
                </c:pt>
                <c:pt idx="256">
                  <c:v>-3.1200000000000037</c:v>
                </c:pt>
                <c:pt idx="257">
                  <c:v>-3.1400000000000037</c:v>
                </c:pt>
                <c:pt idx="258">
                  <c:v>-3.1600000000000037</c:v>
                </c:pt>
                <c:pt idx="259">
                  <c:v>-3.1800000000000037</c:v>
                </c:pt>
                <c:pt idx="260">
                  <c:v>-3.2000000000000037</c:v>
                </c:pt>
                <c:pt idx="261">
                  <c:v>-3.2200000000000037</c:v>
                </c:pt>
                <c:pt idx="262">
                  <c:v>-3.2400000000000038</c:v>
                </c:pt>
                <c:pt idx="263">
                  <c:v>-3.2600000000000038</c:v>
                </c:pt>
                <c:pt idx="264">
                  <c:v>-3.2800000000000038</c:v>
                </c:pt>
                <c:pt idx="265">
                  <c:v>-3.3000000000000038</c:v>
                </c:pt>
                <c:pt idx="266">
                  <c:v>-3.3200000000000038</c:v>
                </c:pt>
                <c:pt idx="267">
                  <c:v>-3.3400000000000039</c:v>
                </c:pt>
                <c:pt idx="268">
                  <c:v>-3.3600000000000039</c:v>
                </c:pt>
                <c:pt idx="269">
                  <c:v>-3.3800000000000039</c:v>
                </c:pt>
                <c:pt idx="270">
                  <c:v>-3.4000000000000039</c:v>
                </c:pt>
                <c:pt idx="271">
                  <c:v>-3.4200000000000039</c:v>
                </c:pt>
                <c:pt idx="272">
                  <c:v>-3.4400000000000039</c:v>
                </c:pt>
                <c:pt idx="273">
                  <c:v>-3.460000000000004</c:v>
                </c:pt>
                <c:pt idx="274">
                  <c:v>-3.480000000000004</c:v>
                </c:pt>
                <c:pt idx="275">
                  <c:v>-3.500000000000004</c:v>
                </c:pt>
                <c:pt idx="276">
                  <c:v>-3.520000000000004</c:v>
                </c:pt>
                <c:pt idx="277">
                  <c:v>-3.540000000000004</c:v>
                </c:pt>
                <c:pt idx="278">
                  <c:v>-3.5600000000000041</c:v>
                </c:pt>
                <c:pt idx="279">
                  <c:v>-3.5800000000000041</c:v>
                </c:pt>
                <c:pt idx="280">
                  <c:v>-3.6000000000000041</c:v>
                </c:pt>
                <c:pt idx="281">
                  <c:v>-3.6200000000000041</c:v>
                </c:pt>
                <c:pt idx="282">
                  <c:v>-3.6400000000000041</c:v>
                </c:pt>
                <c:pt idx="283">
                  <c:v>-3.6600000000000041</c:v>
                </c:pt>
                <c:pt idx="284">
                  <c:v>-3.6800000000000042</c:v>
                </c:pt>
                <c:pt idx="285">
                  <c:v>-3.7000000000000042</c:v>
                </c:pt>
                <c:pt idx="286">
                  <c:v>-3.7200000000000042</c:v>
                </c:pt>
                <c:pt idx="287">
                  <c:v>-3.7400000000000042</c:v>
                </c:pt>
              </c:numCache>
            </c:numRef>
          </c:val>
          <c:smooth val="0"/>
        </c:ser>
        <c:ser>
          <c:idx val="8"/>
          <c:order val="8"/>
          <c:tx>
            <c:strRef>
              <c:f>ChtLd!$J$1</c:f>
              <c:strCache>
                <c:ptCount val="1"/>
                <c:pt idx="0">
                  <c:v>Line 9</c:v>
                </c:pt>
              </c:strCache>
            </c:strRef>
          </c:tx>
          <c:spPr>
            <a:ln>
              <a:prstDash val="sysDash"/>
            </a:ln>
          </c:spPr>
          <c:marker>
            <c:symbol val="none"/>
          </c:marker>
          <c:cat>
            <c:numRef>
              <c:f>ChtLd!$A$2:$A$289</c:f>
              <c:numCache>
                <c:formatCode>h:mm;@</c:formatCode>
                <c:ptCount val="288"/>
                <c:pt idx="0">
                  <c:v>0</c:v>
                </c:pt>
                <c:pt idx="1">
                  <c:v>3.472222222222222E-3</c:v>
                </c:pt>
                <c:pt idx="2">
                  <c:v>6.9444444444444397E-3</c:v>
                </c:pt>
                <c:pt idx="3">
                  <c:v>1.0416666666666701E-2</c:v>
                </c:pt>
                <c:pt idx="4">
                  <c:v>1.38888888888889E-2</c:v>
                </c:pt>
                <c:pt idx="5">
                  <c:v>1.7361111111111101E-2</c:v>
                </c:pt>
                <c:pt idx="6">
                  <c:v>2.0833333333333301E-2</c:v>
                </c:pt>
                <c:pt idx="7">
                  <c:v>2.4305555555555601E-2</c:v>
                </c:pt>
                <c:pt idx="8">
                  <c:v>2.7777777777777801E-2</c:v>
                </c:pt>
                <c:pt idx="9">
                  <c:v>3.125E-2</c:v>
                </c:pt>
                <c:pt idx="10">
                  <c:v>3.4722222222222203E-2</c:v>
                </c:pt>
                <c:pt idx="11">
                  <c:v>3.8194444444444399E-2</c:v>
                </c:pt>
                <c:pt idx="12">
                  <c:v>4.1666666666666699E-2</c:v>
                </c:pt>
                <c:pt idx="13">
                  <c:v>4.5138888888888902E-2</c:v>
                </c:pt>
                <c:pt idx="14">
                  <c:v>4.8611111111111098E-2</c:v>
                </c:pt>
                <c:pt idx="15">
                  <c:v>5.2083333333333301E-2</c:v>
                </c:pt>
                <c:pt idx="16">
                  <c:v>5.5555555555555601E-2</c:v>
                </c:pt>
                <c:pt idx="17">
                  <c:v>5.9027777777777797E-2</c:v>
                </c:pt>
                <c:pt idx="18">
                  <c:v>6.25E-2</c:v>
                </c:pt>
                <c:pt idx="19">
                  <c:v>6.5972222222222196E-2</c:v>
                </c:pt>
                <c:pt idx="20">
                  <c:v>6.9444444444444406E-2</c:v>
                </c:pt>
                <c:pt idx="21">
                  <c:v>7.2916666666666699E-2</c:v>
                </c:pt>
                <c:pt idx="22">
                  <c:v>7.6388888888888895E-2</c:v>
                </c:pt>
                <c:pt idx="23">
                  <c:v>7.9861111111111105E-2</c:v>
                </c:pt>
                <c:pt idx="24">
                  <c:v>8.3333333333333301E-2</c:v>
                </c:pt>
                <c:pt idx="25">
                  <c:v>8.6805555555555594E-2</c:v>
                </c:pt>
                <c:pt idx="26">
                  <c:v>9.0277777777777804E-2</c:v>
                </c:pt>
                <c:pt idx="27">
                  <c:v>9.375E-2</c:v>
                </c:pt>
                <c:pt idx="28">
                  <c:v>9.7222222222222196E-2</c:v>
                </c:pt>
                <c:pt idx="29">
                  <c:v>0.100694444444444</c:v>
                </c:pt>
                <c:pt idx="30">
                  <c:v>0.104166666666667</c:v>
                </c:pt>
                <c:pt idx="31">
                  <c:v>0.10763888888888901</c:v>
                </c:pt>
                <c:pt idx="32">
                  <c:v>0.11111111111111099</c:v>
                </c:pt>
                <c:pt idx="33">
                  <c:v>0.114583333333333</c:v>
                </c:pt>
                <c:pt idx="34">
                  <c:v>0.118055555555556</c:v>
                </c:pt>
                <c:pt idx="35">
                  <c:v>0.121527777777778</c:v>
                </c:pt>
                <c:pt idx="36">
                  <c:v>0.125</c:v>
                </c:pt>
                <c:pt idx="37">
                  <c:v>0.12847222222222199</c:v>
                </c:pt>
                <c:pt idx="38">
                  <c:v>0.131944444444444</c:v>
                </c:pt>
                <c:pt idx="39">
                  <c:v>0.13541666666666699</c:v>
                </c:pt>
                <c:pt idx="40">
                  <c:v>0.13888888888888901</c:v>
                </c:pt>
                <c:pt idx="41">
                  <c:v>0.14236111111111099</c:v>
                </c:pt>
                <c:pt idx="42">
                  <c:v>0.14583333333333301</c:v>
                </c:pt>
                <c:pt idx="43">
                  <c:v>0.149305555555556</c:v>
                </c:pt>
                <c:pt idx="44">
                  <c:v>0.15277777777777801</c:v>
                </c:pt>
                <c:pt idx="45">
                  <c:v>0.15625</c:v>
                </c:pt>
                <c:pt idx="46">
                  <c:v>0.15972222222222199</c:v>
                </c:pt>
                <c:pt idx="47">
                  <c:v>0.163194444444444</c:v>
                </c:pt>
                <c:pt idx="48">
                  <c:v>0.16666666666666699</c:v>
                </c:pt>
                <c:pt idx="49">
                  <c:v>0.17013888888888901</c:v>
                </c:pt>
                <c:pt idx="50">
                  <c:v>0.17361111111111099</c:v>
                </c:pt>
                <c:pt idx="51">
                  <c:v>0.17708333333333301</c:v>
                </c:pt>
                <c:pt idx="52">
                  <c:v>0.180555555555556</c:v>
                </c:pt>
                <c:pt idx="53">
                  <c:v>0.18402777777777801</c:v>
                </c:pt>
                <c:pt idx="54">
                  <c:v>0.1875</c:v>
                </c:pt>
                <c:pt idx="55">
                  <c:v>0.19097222222222199</c:v>
                </c:pt>
                <c:pt idx="56">
                  <c:v>0.194444444444444</c:v>
                </c:pt>
                <c:pt idx="57">
                  <c:v>0.19791666666666699</c:v>
                </c:pt>
                <c:pt idx="58">
                  <c:v>0.20138888888888901</c:v>
                </c:pt>
                <c:pt idx="59">
                  <c:v>0.20486111111111099</c:v>
                </c:pt>
                <c:pt idx="60">
                  <c:v>0.20833333333333301</c:v>
                </c:pt>
                <c:pt idx="61">
                  <c:v>0.211805555555556</c:v>
                </c:pt>
                <c:pt idx="62">
                  <c:v>0.21527777777777801</c:v>
                </c:pt>
                <c:pt idx="63">
                  <c:v>0.21875</c:v>
                </c:pt>
                <c:pt idx="64">
                  <c:v>0.22222222222222199</c:v>
                </c:pt>
                <c:pt idx="65">
                  <c:v>0.225694444444444</c:v>
                </c:pt>
                <c:pt idx="66">
                  <c:v>0.22916666666666699</c:v>
                </c:pt>
                <c:pt idx="67">
                  <c:v>0.23263888888888901</c:v>
                </c:pt>
                <c:pt idx="68">
                  <c:v>0.23611111111111099</c:v>
                </c:pt>
                <c:pt idx="69">
                  <c:v>0.23958333333333301</c:v>
                </c:pt>
                <c:pt idx="70">
                  <c:v>0.243055555555556</c:v>
                </c:pt>
                <c:pt idx="71">
                  <c:v>0.24652777777777801</c:v>
                </c:pt>
                <c:pt idx="72">
                  <c:v>0.25</c:v>
                </c:pt>
                <c:pt idx="73">
                  <c:v>0.25347222222222199</c:v>
                </c:pt>
                <c:pt idx="74">
                  <c:v>0.25694444444444398</c:v>
                </c:pt>
                <c:pt idx="75">
                  <c:v>0.26041666666666702</c:v>
                </c:pt>
                <c:pt idx="76">
                  <c:v>0.26388888888888901</c:v>
                </c:pt>
                <c:pt idx="77">
                  <c:v>0.26736111111111099</c:v>
                </c:pt>
                <c:pt idx="78">
                  <c:v>0.27083333333333298</c:v>
                </c:pt>
                <c:pt idx="79">
                  <c:v>0.27430555555555602</c:v>
                </c:pt>
                <c:pt idx="80">
                  <c:v>0.27777777777777801</c:v>
                </c:pt>
                <c:pt idx="81">
                  <c:v>0.28125</c:v>
                </c:pt>
                <c:pt idx="82">
                  <c:v>0.28472222222222199</c:v>
                </c:pt>
                <c:pt idx="83">
                  <c:v>0.28819444444444398</c:v>
                </c:pt>
                <c:pt idx="84">
                  <c:v>0.29166666666666702</c:v>
                </c:pt>
                <c:pt idx="85">
                  <c:v>0.29513888888888901</c:v>
                </c:pt>
                <c:pt idx="86">
                  <c:v>0.29861111111111099</c:v>
                </c:pt>
                <c:pt idx="87">
                  <c:v>0.30208333333333298</c:v>
                </c:pt>
                <c:pt idx="88">
                  <c:v>0.30555555555555602</c:v>
                </c:pt>
                <c:pt idx="89">
                  <c:v>0.30902777777777801</c:v>
                </c:pt>
                <c:pt idx="90">
                  <c:v>0.3125</c:v>
                </c:pt>
                <c:pt idx="91">
                  <c:v>0.31597222222222199</c:v>
                </c:pt>
                <c:pt idx="92">
                  <c:v>0.31944444444444398</c:v>
                </c:pt>
                <c:pt idx="93">
                  <c:v>0.32291666666666702</c:v>
                </c:pt>
                <c:pt idx="94">
                  <c:v>0.32638888888888901</c:v>
                </c:pt>
                <c:pt idx="95">
                  <c:v>0.32986111111111099</c:v>
                </c:pt>
                <c:pt idx="96">
                  <c:v>0.33333333333333298</c:v>
                </c:pt>
                <c:pt idx="97">
                  <c:v>0.33680555555555602</c:v>
                </c:pt>
                <c:pt idx="98">
                  <c:v>0.34027777777777801</c:v>
                </c:pt>
                <c:pt idx="99">
                  <c:v>0.34375</c:v>
                </c:pt>
                <c:pt idx="100">
                  <c:v>0.34722222222222199</c:v>
                </c:pt>
                <c:pt idx="101">
                  <c:v>0.35069444444444398</c:v>
                </c:pt>
                <c:pt idx="102">
                  <c:v>0.35416666666666702</c:v>
                </c:pt>
                <c:pt idx="103">
                  <c:v>0.35763888888888901</c:v>
                </c:pt>
                <c:pt idx="104">
                  <c:v>0.36111111111111099</c:v>
                </c:pt>
                <c:pt idx="105">
                  <c:v>0.36458333333333298</c:v>
                </c:pt>
                <c:pt idx="106">
                  <c:v>0.36805555555555602</c:v>
                </c:pt>
                <c:pt idx="107">
                  <c:v>0.37152777777777801</c:v>
                </c:pt>
                <c:pt idx="108">
                  <c:v>0.375</c:v>
                </c:pt>
                <c:pt idx="109">
                  <c:v>0.37847222222222199</c:v>
                </c:pt>
                <c:pt idx="110">
                  <c:v>0.38194444444444398</c:v>
                </c:pt>
                <c:pt idx="111">
                  <c:v>0.38541666666666702</c:v>
                </c:pt>
                <c:pt idx="112">
                  <c:v>0.38888888888888901</c:v>
                </c:pt>
                <c:pt idx="113">
                  <c:v>0.39236111111111099</c:v>
                </c:pt>
                <c:pt idx="114">
                  <c:v>0.39583333333333298</c:v>
                </c:pt>
                <c:pt idx="115">
                  <c:v>0.39930555555555602</c:v>
                </c:pt>
                <c:pt idx="116">
                  <c:v>0.40277777777777801</c:v>
                </c:pt>
                <c:pt idx="117">
                  <c:v>0.40625</c:v>
                </c:pt>
                <c:pt idx="118">
                  <c:v>0.40972222222222199</c:v>
                </c:pt>
                <c:pt idx="119">
                  <c:v>0.41319444444444398</c:v>
                </c:pt>
                <c:pt idx="120">
                  <c:v>0.41666666666666702</c:v>
                </c:pt>
                <c:pt idx="121">
                  <c:v>0.42013888888888901</c:v>
                </c:pt>
                <c:pt idx="122">
                  <c:v>0.42361111111111099</c:v>
                </c:pt>
                <c:pt idx="123">
                  <c:v>0.42708333333333298</c:v>
                </c:pt>
                <c:pt idx="124">
                  <c:v>0.43055555555555602</c:v>
                </c:pt>
                <c:pt idx="125">
                  <c:v>0.43402777777777801</c:v>
                </c:pt>
                <c:pt idx="126">
                  <c:v>0.4375</c:v>
                </c:pt>
                <c:pt idx="127">
                  <c:v>0.44097222222222199</c:v>
                </c:pt>
                <c:pt idx="128">
                  <c:v>0.44444444444444398</c:v>
                </c:pt>
                <c:pt idx="129">
                  <c:v>0.44791666666666702</c:v>
                </c:pt>
                <c:pt idx="130">
                  <c:v>0.45138888888888901</c:v>
                </c:pt>
                <c:pt idx="131">
                  <c:v>0.45486111111111099</c:v>
                </c:pt>
                <c:pt idx="132">
                  <c:v>0.45833333333333298</c:v>
                </c:pt>
                <c:pt idx="133">
                  <c:v>0.46180555555555602</c:v>
                </c:pt>
                <c:pt idx="134">
                  <c:v>0.46527777777777801</c:v>
                </c:pt>
                <c:pt idx="135">
                  <c:v>0.46875</c:v>
                </c:pt>
                <c:pt idx="136">
                  <c:v>0.47222222222222199</c:v>
                </c:pt>
                <c:pt idx="137">
                  <c:v>0.47569444444444398</c:v>
                </c:pt>
                <c:pt idx="138">
                  <c:v>0.47916666666666702</c:v>
                </c:pt>
                <c:pt idx="139">
                  <c:v>0.48263888888888901</c:v>
                </c:pt>
                <c:pt idx="140">
                  <c:v>0.48611111111111099</c:v>
                </c:pt>
                <c:pt idx="141">
                  <c:v>0.48958333333333298</c:v>
                </c:pt>
                <c:pt idx="142">
                  <c:v>0.49305555555555602</c:v>
                </c:pt>
                <c:pt idx="143">
                  <c:v>0.49652777777777801</c:v>
                </c:pt>
                <c:pt idx="144">
                  <c:v>0.5</c:v>
                </c:pt>
                <c:pt idx="145">
                  <c:v>0.50347222222222199</c:v>
                </c:pt>
                <c:pt idx="146">
                  <c:v>0.50694444444444398</c:v>
                </c:pt>
                <c:pt idx="147">
                  <c:v>0.51041666666666696</c:v>
                </c:pt>
                <c:pt idx="148">
                  <c:v>0.51388888888888895</c:v>
                </c:pt>
                <c:pt idx="149">
                  <c:v>0.51736111111111105</c:v>
                </c:pt>
                <c:pt idx="150">
                  <c:v>0.52083333333333304</c:v>
                </c:pt>
                <c:pt idx="151">
                  <c:v>0.52430555555555602</c:v>
                </c:pt>
                <c:pt idx="152">
                  <c:v>0.52777777777777801</c:v>
                </c:pt>
                <c:pt idx="153">
                  <c:v>0.53125</c:v>
                </c:pt>
                <c:pt idx="154">
                  <c:v>0.53472222222222199</c:v>
                </c:pt>
                <c:pt idx="155">
                  <c:v>0.53819444444444398</c:v>
                </c:pt>
                <c:pt idx="156">
                  <c:v>0.54166666666666696</c:v>
                </c:pt>
                <c:pt idx="157">
                  <c:v>0.54513888888888895</c:v>
                </c:pt>
                <c:pt idx="158">
                  <c:v>0.54861111111111105</c:v>
                </c:pt>
                <c:pt idx="159">
                  <c:v>0.55208333333333304</c:v>
                </c:pt>
                <c:pt idx="160">
                  <c:v>0.55555555555555602</c:v>
                </c:pt>
                <c:pt idx="161">
                  <c:v>0.55902777777777801</c:v>
                </c:pt>
                <c:pt idx="162">
                  <c:v>0.5625</c:v>
                </c:pt>
                <c:pt idx="163">
                  <c:v>0.56597222222222199</c:v>
                </c:pt>
                <c:pt idx="164">
                  <c:v>0.56944444444444398</c:v>
                </c:pt>
                <c:pt idx="165">
                  <c:v>0.57291666666666696</c:v>
                </c:pt>
                <c:pt idx="166">
                  <c:v>0.57638888888888895</c:v>
                </c:pt>
                <c:pt idx="167">
                  <c:v>0.57986111111111105</c:v>
                </c:pt>
                <c:pt idx="168">
                  <c:v>0.58333333333333304</c:v>
                </c:pt>
                <c:pt idx="169">
                  <c:v>0.58680555555555503</c:v>
                </c:pt>
                <c:pt idx="170">
                  <c:v>0.59027777777777801</c:v>
                </c:pt>
                <c:pt idx="171">
                  <c:v>0.59375</c:v>
                </c:pt>
                <c:pt idx="172">
                  <c:v>0.59722222222222199</c:v>
                </c:pt>
                <c:pt idx="173">
                  <c:v>0.60069444444444398</c:v>
                </c:pt>
                <c:pt idx="174">
                  <c:v>0.60416666666666696</c:v>
                </c:pt>
                <c:pt idx="175">
                  <c:v>0.60763888888888895</c:v>
                </c:pt>
                <c:pt idx="176">
                  <c:v>0.61111111111111105</c:v>
                </c:pt>
                <c:pt idx="177">
                  <c:v>0.61458333333333304</c:v>
                </c:pt>
                <c:pt idx="178">
                  <c:v>0.61805555555555503</c:v>
                </c:pt>
                <c:pt idx="179">
                  <c:v>0.62152777777777801</c:v>
                </c:pt>
                <c:pt idx="180">
                  <c:v>0.625</c:v>
                </c:pt>
                <c:pt idx="181">
                  <c:v>0.62847222222222199</c:v>
                </c:pt>
                <c:pt idx="182">
                  <c:v>0.63194444444444398</c:v>
                </c:pt>
                <c:pt idx="183">
                  <c:v>0.63541666666666696</c:v>
                </c:pt>
                <c:pt idx="184">
                  <c:v>0.63888888888888895</c:v>
                </c:pt>
                <c:pt idx="185">
                  <c:v>0.64236111111111105</c:v>
                </c:pt>
                <c:pt idx="186">
                  <c:v>0.64583333333333304</c:v>
                </c:pt>
                <c:pt idx="187">
                  <c:v>0.64930555555555503</c:v>
                </c:pt>
                <c:pt idx="188">
                  <c:v>0.65277777777777801</c:v>
                </c:pt>
                <c:pt idx="189">
                  <c:v>0.65625</c:v>
                </c:pt>
                <c:pt idx="190">
                  <c:v>0.65972222222222199</c:v>
                </c:pt>
                <c:pt idx="191">
                  <c:v>0.66319444444444398</c:v>
                </c:pt>
                <c:pt idx="192">
                  <c:v>0.66666666666666696</c:v>
                </c:pt>
                <c:pt idx="193">
                  <c:v>0.67013888888888895</c:v>
                </c:pt>
                <c:pt idx="194">
                  <c:v>0.67361111111111105</c:v>
                </c:pt>
                <c:pt idx="195">
                  <c:v>0.67708333333333304</c:v>
                </c:pt>
                <c:pt idx="196">
                  <c:v>0.68055555555555503</c:v>
                </c:pt>
                <c:pt idx="197">
                  <c:v>0.68402777777777801</c:v>
                </c:pt>
                <c:pt idx="198">
                  <c:v>0.6875</c:v>
                </c:pt>
                <c:pt idx="199">
                  <c:v>0.69097222222222199</c:v>
                </c:pt>
                <c:pt idx="200">
                  <c:v>0.69444444444444398</c:v>
                </c:pt>
                <c:pt idx="201">
                  <c:v>0.69791666666666696</c:v>
                </c:pt>
                <c:pt idx="202">
                  <c:v>0.70138888888888895</c:v>
                </c:pt>
                <c:pt idx="203">
                  <c:v>0.70486111111111105</c:v>
                </c:pt>
                <c:pt idx="204">
                  <c:v>0.70833333333333304</c:v>
                </c:pt>
                <c:pt idx="205">
                  <c:v>0.71180555555555503</c:v>
                </c:pt>
                <c:pt idx="206">
                  <c:v>0.71527777777777801</c:v>
                </c:pt>
                <c:pt idx="207">
                  <c:v>0.71875</c:v>
                </c:pt>
                <c:pt idx="208">
                  <c:v>0.72222222222222199</c:v>
                </c:pt>
                <c:pt idx="209">
                  <c:v>0.72569444444444398</c:v>
                </c:pt>
                <c:pt idx="210">
                  <c:v>0.72916666666666696</c:v>
                </c:pt>
                <c:pt idx="211">
                  <c:v>0.73263888888888895</c:v>
                </c:pt>
                <c:pt idx="212">
                  <c:v>0.73611111111111105</c:v>
                </c:pt>
                <c:pt idx="213">
                  <c:v>0.73958333333333304</c:v>
                </c:pt>
                <c:pt idx="214">
                  <c:v>0.74305555555555503</c:v>
                </c:pt>
                <c:pt idx="215">
                  <c:v>0.74652777777777801</c:v>
                </c:pt>
                <c:pt idx="216">
                  <c:v>0.75</c:v>
                </c:pt>
                <c:pt idx="217">
                  <c:v>0.75347222222222199</c:v>
                </c:pt>
                <c:pt idx="218">
                  <c:v>0.75694444444444398</c:v>
                </c:pt>
                <c:pt idx="219">
                  <c:v>0.76041666666666696</c:v>
                </c:pt>
                <c:pt idx="220">
                  <c:v>0.76388888888888895</c:v>
                </c:pt>
                <c:pt idx="221">
                  <c:v>0.76736111111111105</c:v>
                </c:pt>
                <c:pt idx="222">
                  <c:v>0.77083333333333304</c:v>
                </c:pt>
                <c:pt idx="223">
                  <c:v>0.77430555555555503</c:v>
                </c:pt>
                <c:pt idx="224">
                  <c:v>0.77777777777777801</c:v>
                </c:pt>
                <c:pt idx="225">
                  <c:v>0.78125</c:v>
                </c:pt>
                <c:pt idx="226">
                  <c:v>0.78472222222222199</c:v>
                </c:pt>
                <c:pt idx="227">
                  <c:v>0.78819444444444398</c:v>
                </c:pt>
                <c:pt idx="228">
                  <c:v>0.79166666666666696</c:v>
                </c:pt>
                <c:pt idx="229">
                  <c:v>0.79513888888888895</c:v>
                </c:pt>
                <c:pt idx="230">
                  <c:v>0.79861111111111105</c:v>
                </c:pt>
                <c:pt idx="231">
                  <c:v>0.80208333333333304</c:v>
                </c:pt>
                <c:pt idx="232">
                  <c:v>0.80555555555555503</c:v>
                </c:pt>
                <c:pt idx="233">
                  <c:v>0.80902777777777801</c:v>
                </c:pt>
                <c:pt idx="234">
                  <c:v>0.8125</c:v>
                </c:pt>
                <c:pt idx="235">
                  <c:v>0.81597222222222199</c:v>
                </c:pt>
                <c:pt idx="236">
                  <c:v>0.81944444444444398</c:v>
                </c:pt>
                <c:pt idx="237">
                  <c:v>0.82291666666666696</c:v>
                </c:pt>
                <c:pt idx="238">
                  <c:v>0.82638888888888895</c:v>
                </c:pt>
                <c:pt idx="239">
                  <c:v>0.82986111111111105</c:v>
                </c:pt>
                <c:pt idx="240">
                  <c:v>0.83333333333333304</c:v>
                </c:pt>
                <c:pt idx="241">
                  <c:v>0.83680555555555503</c:v>
                </c:pt>
                <c:pt idx="242">
                  <c:v>0.84027777777777801</c:v>
                </c:pt>
                <c:pt idx="243">
                  <c:v>0.84375</c:v>
                </c:pt>
                <c:pt idx="244">
                  <c:v>0.84722222222222199</c:v>
                </c:pt>
                <c:pt idx="245">
                  <c:v>0.85069444444444398</c:v>
                </c:pt>
                <c:pt idx="246">
                  <c:v>0.85416666666666696</c:v>
                </c:pt>
                <c:pt idx="247">
                  <c:v>0.85763888888888895</c:v>
                </c:pt>
                <c:pt idx="248">
                  <c:v>0.86111111111111105</c:v>
                </c:pt>
                <c:pt idx="249">
                  <c:v>0.86458333333333304</c:v>
                </c:pt>
                <c:pt idx="250">
                  <c:v>0.86805555555555503</c:v>
                </c:pt>
                <c:pt idx="251">
                  <c:v>0.87152777777777801</c:v>
                </c:pt>
                <c:pt idx="252">
                  <c:v>0.875</c:v>
                </c:pt>
                <c:pt idx="253">
                  <c:v>0.87847222222222199</c:v>
                </c:pt>
                <c:pt idx="254">
                  <c:v>0.88194444444444398</c:v>
                </c:pt>
                <c:pt idx="255">
                  <c:v>0.88541666666666696</c:v>
                </c:pt>
                <c:pt idx="256">
                  <c:v>0.88888888888888895</c:v>
                </c:pt>
                <c:pt idx="257">
                  <c:v>0.89236111111111105</c:v>
                </c:pt>
                <c:pt idx="258">
                  <c:v>0.89583333333333304</c:v>
                </c:pt>
                <c:pt idx="259">
                  <c:v>0.89930555555555503</c:v>
                </c:pt>
                <c:pt idx="260">
                  <c:v>0.90277777777777801</c:v>
                </c:pt>
                <c:pt idx="261">
                  <c:v>0.90625</c:v>
                </c:pt>
                <c:pt idx="262">
                  <c:v>0.90972222222222199</c:v>
                </c:pt>
                <c:pt idx="263">
                  <c:v>0.91319444444444398</c:v>
                </c:pt>
                <c:pt idx="264">
                  <c:v>0.91666666666666696</c:v>
                </c:pt>
                <c:pt idx="265">
                  <c:v>0.92013888888888895</c:v>
                </c:pt>
                <c:pt idx="266">
                  <c:v>0.92361111111111105</c:v>
                </c:pt>
                <c:pt idx="267">
                  <c:v>0.92708333333333304</c:v>
                </c:pt>
                <c:pt idx="268">
                  <c:v>0.93055555555555503</c:v>
                </c:pt>
                <c:pt idx="269">
                  <c:v>0.93402777777777801</c:v>
                </c:pt>
                <c:pt idx="270">
                  <c:v>0.9375</c:v>
                </c:pt>
                <c:pt idx="271">
                  <c:v>0.94097222222222199</c:v>
                </c:pt>
                <c:pt idx="272">
                  <c:v>0.94444444444444398</c:v>
                </c:pt>
                <c:pt idx="273">
                  <c:v>0.94791666666666696</c:v>
                </c:pt>
                <c:pt idx="274">
                  <c:v>0.95138888888888895</c:v>
                </c:pt>
                <c:pt idx="275">
                  <c:v>0.95486111111111105</c:v>
                </c:pt>
                <c:pt idx="276">
                  <c:v>0.95833333333333304</c:v>
                </c:pt>
                <c:pt idx="277">
                  <c:v>0.96180555555555503</c:v>
                </c:pt>
                <c:pt idx="278">
                  <c:v>0.96527777777777801</c:v>
                </c:pt>
                <c:pt idx="279">
                  <c:v>0.96875</c:v>
                </c:pt>
                <c:pt idx="280">
                  <c:v>0.97222222222222199</c:v>
                </c:pt>
                <c:pt idx="281">
                  <c:v>0.97569444444444398</c:v>
                </c:pt>
                <c:pt idx="282">
                  <c:v>0.97916666666666696</c:v>
                </c:pt>
                <c:pt idx="283">
                  <c:v>0.98263888888888895</c:v>
                </c:pt>
                <c:pt idx="284">
                  <c:v>0.98611111111111105</c:v>
                </c:pt>
                <c:pt idx="285">
                  <c:v>0.98958333333333304</c:v>
                </c:pt>
                <c:pt idx="286">
                  <c:v>0.99305555555555503</c:v>
                </c:pt>
                <c:pt idx="287">
                  <c:v>0.99652777777777801</c:v>
                </c:pt>
              </c:numCache>
            </c:numRef>
          </c:cat>
          <c:val>
            <c:numRef>
              <c:f>ChtLd!$J$2:$J$289</c:f>
              <c:numCache>
                <c:formatCode>0.00</c:formatCode>
                <c:ptCount val="288"/>
                <c:pt idx="0" formatCode="0.0">
                  <c:v>3</c:v>
                </c:pt>
                <c:pt idx="1">
                  <c:v>2.99</c:v>
                </c:pt>
                <c:pt idx="2">
                  <c:v>2.9800000000000004</c:v>
                </c:pt>
                <c:pt idx="3">
                  <c:v>2.9700000000000006</c:v>
                </c:pt>
                <c:pt idx="4">
                  <c:v>2.9600000000000009</c:v>
                </c:pt>
                <c:pt idx="5">
                  <c:v>2.9500000000000011</c:v>
                </c:pt>
                <c:pt idx="6">
                  <c:v>2.9400000000000013</c:v>
                </c:pt>
                <c:pt idx="7">
                  <c:v>2.9300000000000015</c:v>
                </c:pt>
                <c:pt idx="8">
                  <c:v>2.9200000000000017</c:v>
                </c:pt>
                <c:pt idx="9">
                  <c:v>2.9100000000000019</c:v>
                </c:pt>
                <c:pt idx="10">
                  <c:v>2.9000000000000021</c:v>
                </c:pt>
                <c:pt idx="11">
                  <c:v>2.8900000000000023</c:v>
                </c:pt>
                <c:pt idx="12">
                  <c:v>2.8800000000000026</c:v>
                </c:pt>
                <c:pt idx="13">
                  <c:v>2.8700000000000028</c:v>
                </c:pt>
                <c:pt idx="14">
                  <c:v>2.860000000000003</c:v>
                </c:pt>
                <c:pt idx="15">
                  <c:v>2.8500000000000032</c:v>
                </c:pt>
                <c:pt idx="16">
                  <c:v>2.8400000000000034</c:v>
                </c:pt>
                <c:pt idx="17">
                  <c:v>2.8300000000000036</c:v>
                </c:pt>
                <c:pt idx="18">
                  <c:v>2.8200000000000038</c:v>
                </c:pt>
                <c:pt idx="19">
                  <c:v>2.8100000000000041</c:v>
                </c:pt>
                <c:pt idx="20">
                  <c:v>2.8000000000000043</c:v>
                </c:pt>
                <c:pt idx="21">
                  <c:v>2.7900000000000045</c:v>
                </c:pt>
                <c:pt idx="22">
                  <c:v>2.7800000000000047</c:v>
                </c:pt>
                <c:pt idx="23">
                  <c:v>2.7700000000000049</c:v>
                </c:pt>
                <c:pt idx="24">
                  <c:v>2.7600000000000051</c:v>
                </c:pt>
                <c:pt idx="25">
                  <c:v>2.7500000000000053</c:v>
                </c:pt>
                <c:pt idx="26">
                  <c:v>2.7400000000000055</c:v>
                </c:pt>
                <c:pt idx="27">
                  <c:v>2.7300000000000058</c:v>
                </c:pt>
                <c:pt idx="28">
                  <c:v>2.720000000000006</c:v>
                </c:pt>
                <c:pt idx="29">
                  <c:v>2.7100000000000062</c:v>
                </c:pt>
                <c:pt idx="30">
                  <c:v>2.7000000000000064</c:v>
                </c:pt>
                <c:pt idx="31">
                  <c:v>2.6900000000000066</c:v>
                </c:pt>
                <c:pt idx="32">
                  <c:v>2.6800000000000068</c:v>
                </c:pt>
                <c:pt idx="33">
                  <c:v>2.670000000000007</c:v>
                </c:pt>
                <c:pt idx="34">
                  <c:v>2.6600000000000072</c:v>
                </c:pt>
                <c:pt idx="35">
                  <c:v>2.6500000000000075</c:v>
                </c:pt>
                <c:pt idx="36">
                  <c:v>2.6400000000000077</c:v>
                </c:pt>
                <c:pt idx="37">
                  <c:v>2.6300000000000079</c:v>
                </c:pt>
                <c:pt idx="38">
                  <c:v>2.6200000000000081</c:v>
                </c:pt>
                <c:pt idx="39">
                  <c:v>2.6100000000000083</c:v>
                </c:pt>
                <c:pt idx="40">
                  <c:v>2.6000000000000085</c:v>
                </c:pt>
                <c:pt idx="41">
                  <c:v>2.5900000000000087</c:v>
                </c:pt>
                <c:pt idx="42">
                  <c:v>2.580000000000009</c:v>
                </c:pt>
                <c:pt idx="43">
                  <c:v>2.5700000000000092</c:v>
                </c:pt>
                <c:pt idx="44">
                  <c:v>2.5600000000000094</c:v>
                </c:pt>
                <c:pt idx="45">
                  <c:v>2.5500000000000096</c:v>
                </c:pt>
                <c:pt idx="46">
                  <c:v>2.5400000000000098</c:v>
                </c:pt>
                <c:pt idx="47">
                  <c:v>2.53000000000001</c:v>
                </c:pt>
                <c:pt idx="48">
                  <c:v>2.5200000000000102</c:v>
                </c:pt>
                <c:pt idx="49">
                  <c:v>2.5100000000000104</c:v>
                </c:pt>
                <c:pt idx="50">
                  <c:v>2.5000000000000107</c:v>
                </c:pt>
                <c:pt idx="51">
                  <c:v>2.4900000000000109</c:v>
                </c:pt>
                <c:pt idx="52">
                  <c:v>2.4800000000000111</c:v>
                </c:pt>
                <c:pt idx="53">
                  <c:v>2.4700000000000113</c:v>
                </c:pt>
                <c:pt idx="54">
                  <c:v>2.4600000000000115</c:v>
                </c:pt>
                <c:pt idx="55">
                  <c:v>2.4500000000000117</c:v>
                </c:pt>
                <c:pt idx="56">
                  <c:v>2.4400000000000119</c:v>
                </c:pt>
                <c:pt idx="57">
                  <c:v>2.4300000000000122</c:v>
                </c:pt>
                <c:pt idx="58">
                  <c:v>2.4200000000000124</c:v>
                </c:pt>
                <c:pt idx="59">
                  <c:v>2.4100000000000126</c:v>
                </c:pt>
                <c:pt idx="60">
                  <c:v>2.4000000000000128</c:v>
                </c:pt>
                <c:pt idx="61">
                  <c:v>2.390000000000013</c:v>
                </c:pt>
                <c:pt idx="62">
                  <c:v>2.3800000000000132</c:v>
                </c:pt>
                <c:pt idx="63">
                  <c:v>2.3700000000000134</c:v>
                </c:pt>
                <c:pt idx="64">
                  <c:v>2.3600000000000136</c:v>
                </c:pt>
                <c:pt idx="65">
                  <c:v>2.3500000000000139</c:v>
                </c:pt>
                <c:pt idx="66">
                  <c:v>2.3400000000000141</c:v>
                </c:pt>
                <c:pt idx="67">
                  <c:v>2.3300000000000143</c:v>
                </c:pt>
                <c:pt idx="68">
                  <c:v>2.3200000000000145</c:v>
                </c:pt>
                <c:pt idx="69">
                  <c:v>2.3100000000000147</c:v>
                </c:pt>
                <c:pt idx="70">
                  <c:v>2.3000000000000149</c:v>
                </c:pt>
                <c:pt idx="71">
                  <c:v>2.2900000000000151</c:v>
                </c:pt>
                <c:pt idx="72">
                  <c:v>2.2800000000000153</c:v>
                </c:pt>
                <c:pt idx="73">
                  <c:v>2.2700000000000156</c:v>
                </c:pt>
                <c:pt idx="74">
                  <c:v>2.2600000000000158</c:v>
                </c:pt>
                <c:pt idx="75">
                  <c:v>2.250000000000016</c:v>
                </c:pt>
                <c:pt idx="76">
                  <c:v>2.2400000000000162</c:v>
                </c:pt>
                <c:pt idx="77">
                  <c:v>2.2300000000000164</c:v>
                </c:pt>
                <c:pt idx="78">
                  <c:v>2.2200000000000166</c:v>
                </c:pt>
                <c:pt idx="79">
                  <c:v>2.2100000000000168</c:v>
                </c:pt>
                <c:pt idx="80">
                  <c:v>2.2000000000000171</c:v>
                </c:pt>
                <c:pt idx="81">
                  <c:v>2.1900000000000173</c:v>
                </c:pt>
                <c:pt idx="82">
                  <c:v>2.1800000000000175</c:v>
                </c:pt>
                <c:pt idx="83">
                  <c:v>2.1700000000000177</c:v>
                </c:pt>
                <c:pt idx="84">
                  <c:v>2.1600000000000179</c:v>
                </c:pt>
                <c:pt idx="85">
                  <c:v>2.1500000000000181</c:v>
                </c:pt>
                <c:pt idx="86">
                  <c:v>2.1400000000000183</c:v>
                </c:pt>
                <c:pt idx="87">
                  <c:v>2.1300000000000185</c:v>
                </c:pt>
                <c:pt idx="88">
                  <c:v>2.1200000000000188</c:v>
                </c:pt>
                <c:pt idx="89">
                  <c:v>2.110000000000019</c:v>
                </c:pt>
                <c:pt idx="90">
                  <c:v>2.1000000000000192</c:v>
                </c:pt>
                <c:pt idx="91">
                  <c:v>2.0900000000000194</c:v>
                </c:pt>
                <c:pt idx="92">
                  <c:v>2.0800000000000196</c:v>
                </c:pt>
                <c:pt idx="93">
                  <c:v>2.0700000000000198</c:v>
                </c:pt>
                <c:pt idx="94">
                  <c:v>2.06000000000002</c:v>
                </c:pt>
                <c:pt idx="95">
                  <c:v>2.0500000000000203</c:v>
                </c:pt>
                <c:pt idx="96">
                  <c:v>2.0400000000000205</c:v>
                </c:pt>
                <c:pt idx="97">
                  <c:v>2.0300000000000207</c:v>
                </c:pt>
                <c:pt idx="98">
                  <c:v>2.0200000000000209</c:v>
                </c:pt>
                <c:pt idx="99">
                  <c:v>2.0100000000000211</c:v>
                </c:pt>
                <c:pt idx="100">
                  <c:v>2.0000000000000213</c:v>
                </c:pt>
                <c:pt idx="101">
                  <c:v>1.9900000000000213</c:v>
                </c:pt>
                <c:pt idx="102">
                  <c:v>1.9800000000000213</c:v>
                </c:pt>
                <c:pt idx="103">
                  <c:v>1.9700000000000213</c:v>
                </c:pt>
                <c:pt idx="104">
                  <c:v>1.9600000000000213</c:v>
                </c:pt>
                <c:pt idx="105">
                  <c:v>1.9500000000000213</c:v>
                </c:pt>
                <c:pt idx="106">
                  <c:v>1.9400000000000213</c:v>
                </c:pt>
                <c:pt idx="107">
                  <c:v>1.9300000000000213</c:v>
                </c:pt>
                <c:pt idx="108">
                  <c:v>1.9200000000000212</c:v>
                </c:pt>
                <c:pt idx="109">
                  <c:v>1.9100000000000212</c:v>
                </c:pt>
                <c:pt idx="110">
                  <c:v>1.9000000000000212</c:v>
                </c:pt>
                <c:pt idx="111">
                  <c:v>1.8900000000000212</c:v>
                </c:pt>
                <c:pt idx="112">
                  <c:v>1.8800000000000212</c:v>
                </c:pt>
                <c:pt idx="113">
                  <c:v>1.8700000000000212</c:v>
                </c:pt>
                <c:pt idx="114">
                  <c:v>1.8600000000000212</c:v>
                </c:pt>
                <c:pt idx="115">
                  <c:v>1.8500000000000212</c:v>
                </c:pt>
                <c:pt idx="116">
                  <c:v>1.8400000000000212</c:v>
                </c:pt>
                <c:pt idx="117">
                  <c:v>1.8300000000000212</c:v>
                </c:pt>
                <c:pt idx="118">
                  <c:v>1.8200000000000212</c:v>
                </c:pt>
                <c:pt idx="119">
                  <c:v>1.8100000000000211</c:v>
                </c:pt>
                <c:pt idx="120">
                  <c:v>1.8000000000000211</c:v>
                </c:pt>
                <c:pt idx="121">
                  <c:v>1.7900000000000211</c:v>
                </c:pt>
                <c:pt idx="122">
                  <c:v>1.7800000000000211</c:v>
                </c:pt>
                <c:pt idx="123">
                  <c:v>1.7700000000000211</c:v>
                </c:pt>
                <c:pt idx="124">
                  <c:v>1.7600000000000211</c:v>
                </c:pt>
                <c:pt idx="125">
                  <c:v>1.7500000000000211</c:v>
                </c:pt>
                <c:pt idx="126">
                  <c:v>1.7400000000000211</c:v>
                </c:pt>
                <c:pt idx="127">
                  <c:v>1.7300000000000211</c:v>
                </c:pt>
                <c:pt idx="128">
                  <c:v>1.7200000000000211</c:v>
                </c:pt>
                <c:pt idx="129">
                  <c:v>1.7100000000000211</c:v>
                </c:pt>
                <c:pt idx="130">
                  <c:v>1.700000000000021</c:v>
                </c:pt>
                <c:pt idx="131">
                  <c:v>1.690000000000021</c:v>
                </c:pt>
                <c:pt idx="132">
                  <c:v>1.680000000000021</c:v>
                </c:pt>
                <c:pt idx="133">
                  <c:v>1.670000000000021</c:v>
                </c:pt>
                <c:pt idx="134">
                  <c:v>1.660000000000021</c:v>
                </c:pt>
                <c:pt idx="135">
                  <c:v>1.650000000000021</c:v>
                </c:pt>
                <c:pt idx="136">
                  <c:v>1.640000000000021</c:v>
                </c:pt>
                <c:pt idx="137">
                  <c:v>1.630000000000021</c:v>
                </c:pt>
                <c:pt idx="138">
                  <c:v>1.620000000000021</c:v>
                </c:pt>
                <c:pt idx="139">
                  <c:v>1.610000000000021</c:v>
                </c:pt>
                <c:pt idx="140">
                  <c:v>1.600000000000021</c:v>
                </c:pt>
                <c:pt idx="141">
                  <c:v>1.590000000000021</c:v>
                </c:pt>
                <c:pt idx="142">
                  <c:v>1.5800000000000209</c:v>
                </c:pt>
                <c:pt idx="143">
                  <c:v>1.5700000000000209</c:v>
                </c:pt>
                <c:pt idx="144">
                  <c:v>1.5600000000000209</c:v>
                </c:pt>
                <c:pt idx="145">
                  <c:v>1.5500000000000209</c:v>
                </c:pt>
                <c:pt idx="146">
                  <c:v>1.5400000000000209</c:v>
                </c:pt>
                <c:pt idx="147">
                  <c:v>1.5300000000000209</c:v>
                </c:pt>
                <c:pt idx="148">
                  <c:v>1.5200000000000209</c:v>
                </c:pt>
                <c:pt idx="149">
                  <c:v>1.5100000000000209</c:v>
                </c:pt>
                <c:pt idx="150">
                  <c:v>1.5000000000000209</c:v>
                </c:pt>
                <c:pt idx="151">
                  <c:v>1.4900000000000209</c:v>
                </c:pt>
                <c:pt idx="152">
                  <c:v>1.4800000000000209</c:v>
                </c:pt>
                <c:pt idx="153">
                  <c:v>1.4700000000000208</c:v>
                </c:pt>
                <c:pt idx="154">
                  <c:v>1.4600000000000208</c:v>
                </c:pt>
                <c:pt idx="155">
                  <c:v>1.4500000000000208</c:v>
                </c:pt>
                <c:pt idx="156">
                  <c:v>1.4400000000000208</c:v>
                </c:pt>
                <c:pt idx="157">
                  <c:v>1.4300000000000208</c:v>
                </c:pt>
                <c:pt idx="158">
                  <c:v>1.4200000000000208</c:v>
                </c:pt>
                <c:pt idx="159">
                  <c:v>1.4100000000000208</c:v>
                </c:pt>
                <c:pt idx="160">
                  <c:v>1.4000000000000208</c:v>
                </c:pt>
                <c:pt idx="161">
                  <c:v>1.3900000000000208</c:v>
                </c:pt>
                <c:pt idx="162">
                  <c:v>1.3800000000000208</c:v>
                </c:pt>
                <c:pt idx="163">
                  <c:v>1.3700000000000208</c:v>
                </c:pt>
                <c:pt idx="164">
                  <c:v>1.3600000000000207</c:v>
                </c:pt>
                <c:pt idx="165">
                  <c:v>1.3500000000000207</c:v>
                </c:pt>
                <c:pt idx="166">
                  <c:v>1.3400000000000207</c:v>
                </c:pt>
                <c:pt idx="167">
                  <c:v>1.3300000000000207</c:v>
                </c:pt>
                <c:pt idx="168">
                  <c:v>1.3200000000000207</c:v>
                </c:pt>
                <c:pt idx="169">
                  <c:v>1.3100000000000207</c:v>
                </c:pt>
                <c:pt idx="170">
                  <c:v>1.3000000000000207</c:v>
                </c:pt>
                <c:pt idx="171">
                  <c:v>1.2900000000000207</c:v>
                </c:pt>
                <c:pt idx="172">
                  <c:v>1.2800000000000207</c:v>
                </c:pt>
                <c:pt idx="173">
                  <c:v>1.2700000000000207</c:v>
                </c:pt>
                <c:pt idx="174">
                  <c:v>1.2600000000000207</c:v>
                </c:pt>
                <c:pt idx="175">
                  <c:v>1.2500000000000207</c:v>
                </c:pt>
                <c:pt idx="176">
                  <c:v>1.2400000000000206</c:v>
                </c:pt>
                <c:pt idx="177">
                  <c:v>1.2300000000000206</c:v>
                </c:pt>
                <c:pt idx="178">
                  <c:v>1.2200000000000206</c:v>
                </c:pt>
                <c:pt idx="179">
                  <c:v>1.2100000000000206</c:v>
                </c:pt>
                <c:pt idx="180">
                  <c:v>1.2000000000000206</c:v>
                </c:pt>
                <c:pt idx="181">
                  <c:v>1.1900000000000206</c:v>
                </c:pt>
                <c:pt idx="182">
                  <c:v>1.1800000000000206</c:v>
                </c:pt>
                <c:pt idx="183">
                  <c:v>1.1700000000000206</c:v>
                </c:pt>
                <c:pt idx="184">
                  <c:v>1.1600000000000206</c:v>
                </c:pt>
                <c:pt idx="185">
                  <c:v>1.1500000000000206</c:v>
                </c:pt>
                <c:pt idx="186">
                  <c:v>1.1400000000000206</c:v>
                </c:pt>
                <c:pt idx="187">
                  <c:v>1.1300000000000205</c:v>
                </c:pt>
                <c:pt idx="188">
                  <c:v>1.1200000000000205</c:v>
                </c:pt>
                <c:pt idx="189">
                  <c:v>1.1100000000000205</c:v>
                </c:pt>
                <c:pt idx="190">
                  <c:v>1.1000000000000205</c:v>
                </c:pt>
                <c:pt idx="191">
                  <c:v>1.0900000000000205</c:v>
                </c:pt>
                <c:pt idx="192">
                  <c:v>1.0800000000000205</c:v>
                </c:pt>
                <c:pt idx="193">
                  <c:v>1.0700000000000205</c:v>
                </c:pt>
                <c:pt idx="194">
                  <c:v>1.0600000000000205</c:v>
                </c:pt>
                <c:pt idx="195">
                  <c:v>1.0500000000000205</c:v>
                </c:pt>
                <c:pt idx="196">
                  <c:v>1.0400000000000205</c:v>
                </c:pt>
                <c:pt idx="197">
                  <c:v>1.0300000000000205</c:v>
                </c:pt>
                <c:pt idx="198">
                  <c:v>1.0200000000000204</c:v>
                </c:pt>
                <c:pt idx="199">
                  <c:v>1.0100000000000204</c:v>
                </c:pt>
                <c:pt idx="200">
                  <c:v>1.0000000000000204</c:v>
                </c:pt>
                <c:pt idx="201">
                  <c:v>0.99000000000002042</c:v>
                </c:pt>
                <c:pt idx="202">
                  <c:v>0.98000000000002041</c:v>
                </c:pt>
                <c:pt idx="203">
                  <c:v>0.9700000000000204</c:v>
                </c:pt>
                <c:pt idx="204">
                  <c:v>0.96000000000002039</c:v>
                </c:pt>
                <c:pt idx="205">
                  <c:v>0.95000000000002038</c:v>
                </c:pt>
                <c:pt idx="206">
                  <c:v>0.94000000000002037</c:v>
                </c:pt>
                <c:pt idx="207">
                  <c:v>0.93000000000002037</c:v>
                </c:pt>
                <c:pt idx="208">
                  <c:v>0.92000000000002036</c:v>
                </c:pt>
                <c:pt idx="209">
                  <c:v>0.91000000000002035</c:v>
                </c:pt>
                <c:pt idx="210">
                  <c:v>0.90000000000002034</c:v>
                </c:pt>
                <c:pt idx="211">
                  <c:v>0.89000000000002033</c:v>
                </c:pt>
                <c:pt idx="212">
                  <c:v>0.88000000000002032</c:v>
                </c:pt>
                <c:pt idx="213">
                  <c:v>0.87000000000002031</c:v>
                </c:pt>
                <c:pt idx="214">
                  <c:v>0.8600000000000203</c:v>
                </c:pt>
                <c:pt idx="215">
                  <c:v>0.85000000000002029</c:v>
                </c:pt>
                <c:pt idx="216">
                  <c:v>0.84000000000002029</c:v>
                </c:pt>
                <c:pt idx="217">
                  <c:v>0.83000000000002028</c:v>
                </c:pt>
                <c:pt idx="218">
                  <c:v>0.82000000000002027</c:v>
                </c:pt>
                <c:pt idx="219">
                  <c:v>0.81000000000002026</c:v>
                </c:pt>
                <c:pt idx="220">
                  <c:v>0.80000000000002025</c:v>
                </c:pt>
                <c:pt idx="221">
                  <c:v>0.79000000000002024</c:v>
                </c:pt>
                <c:pt idx="222">
                  <c:v>0.78000000000002023</c:v>
                </c:pt>
                <c:pt idx="223">
                  <c:v>0.77000000000002022</c:v>
                </c:pt>
                <c:pt idx="224">
                  <c:v>0.76000000000002021</c:v>
                </c:pt>
                <c:pt idx="225">
                  <c:v>0.75000000000002021</c:v>
                </c:pt>
                <c:pt idx="226">
                  <c:v>0.7400000000000202</c:v>
                </c:pt>
                <c:pt idx="227">
                  <c:v>0.73000000000002019</c:v>
                </c:pt>
                <c:pt idx="228">
                  <c:v>0.72000000000002018</c:v>
                </c:pt>
                <c:pt idx="229">
                  <c:v>0.71000000000002017</c:v>
                </c:pt>
                <c:pt idx="230">
                  <c:v>0.70000000000002016</c:v>
                </c:pt>
                <c:pt idx="231">
                  <c:v>0.69000000000002015</c:v>
                </c:pt>
                <c:pt idx="232">
                  <c:v>0.68000000000002014</c:v>
                </c:pt>
                <c:pt idx="233">
                  <c:v>0.67000000000002014</c:v>
                </c:pt>
                <c:pt idx="234">
                  <c:v>0.66000000000002013</c:v>
                </c:pt>
                <c:pt idx="235">
                  <c:v>0.65000000000002012</c:v>
                </c:pt>
                <c:pt idx="236">
                  <c:v>0.64000000000002011</c:v>
                </c:pt>
                <c:pt idx="237">
                  <c:v>0.6300000000000201</c:v>
                </c:pt>
                <c:pt idx="238">
                  <c:v>0.62000000000002009</c:v>
                </c:pt>
                <c:pt idx="239">
                  <c:v>0.61000000000002008</c:v>
                </c:pt>
                <c:pt idx="240">
                  <c:v>0.60000000000002007</c:v>
                </c:pt>
                <c:pt idx="241">
                  <c:v>0.59000000000002006</c:v>
                </c:pt>
                <c:pt idx="242">
                  <c:v>0.58000000000002006</c:v>
                </c:pt>
                <c:pt idx="243">
                  <c:v>0.57000000000002005</c:v>
                </c:pt>
                <c:pt idx="244">
                  <c:v>0.56000000000002004</c:v>
                </c:pt>
                <c:pt idx="245">
                  <c:v>0.55000000000002003</c:v>
                </c:pt>
                <c:pt idx="246">
                  <c:v>0.54000000000002002</c:v>
                </c:pt>
                <c:pt idx="247">
                  <c:v>0.53000000000002001</c:v>
                </c:pt>
                <c:pt idx="248">
                  <c:v>0.52000000000002</c:v>
                </c:pt>
                <c:pt idx="249">
                  <c:v>0.51000000000001999</c:v>
                </c:pt>
                <c:pt idx="250">
                  <c:v>0.50000000000001998</c:v>
                </c:pt>
                <c:pt idx="251">
                  <c:v>0.49000000000001998</c:v>
                </c:pt>
                <c:pt idx="252">
                  <c:v>0.48000000000001997</c:v>
                </c:pt>
                <c:pt idx="253">
                  <c:v>0.47000000000001996</c:v>
                </c:pt>
                <c:pt idx="254">
                  <c:v>0.46000000000001995</c:v>
                </c:pt>
                <c:pt idx="255">
                  <c:v>0.45000000000001994</c:v>
                </c:pt>
                <c:pt idx="256">
                  <c:v>0.44000000000001993</c:v>
                </c:pt>
                <c:pt idx="257">
                  <c:v>0.43000000000001992</c:v>
                </c:pt>
                <c:pt idx="258">
                  <c:v>0.42000000000001991</c:v>
                </c:pt>
                <c:pt idx="259">
                  <c:v>0.4100000000000199</c:v>
                </c:pt>
                <c:pt idx="260">
                  <c:v>0.4000000000000199</c:v>
                </c:pt>
                <c:pt idx="261">
                  <c:v>0.39000000000001989</c:v>
                </c:pt>
                <c:pt idx="262">
                  <c:v>0.38000000000001988</c:v>
                </c:pt>
                <c:pt idx="263">
                  <c:v>0.37000000000001987</c:v>
                </c:pt>
                <c:pt idx="264">
                  <c:v>0.36000000000001986</c:v>
                </c:pt>
                <c:pt idx="265">
                  <c:v>0.35000000000001985</c:v>
                </c:pt>
                <c:pt idx="266">
                  <c:v>0.34000000000001984</c:v>
                </c:pt>
                <c:pt idx="267">
                  <c:v>0.33000000000001983</c:v>
                </c:pt>
                <c:pt idx="268">
                  <c:v>0.32000000000001982</c:v>
                </c:pt>
                <c:pt idx="269">
                  <c:v>0.31000000000001982</c:v>
                </c:pt>
                <c:pt idx="270">
                  <c:v>0.30000000000001981</c:v>
                </c:pt>
                <c:pt idx="271">
                  <c:v>0.2900000000000198</c:v>
                </c:pt>
                <c:pt idx="272">
                  <c:v>0.28000000000001979</c:v>
                </c:pt>
                <c:pt idx="273">
                  <c:v>0.27000000000001978</c:v>
                </c:pt>
                <c:pt idx="274">
                  <c:v>0.26000000000001977</c:v>
                </c:pt>
                <c:pt idx="275">
                  <c:v>0.25000000000001976</c:v>
                </c:pt>
                <c:pt idx="276">
                  <c:v>0.24000000000001975</c:v>
                </c:pt>
                <c:pt idx="277">
                  <c:v>0.23000000000001974</c:v>
                </c:pt>
                <c:pt idx="278">
                  <c:v>0.22000000000001974</c:v>
                </c:pt>
                <c:pt idx="279">
                  <c:v>0.21000000000001973</c:v>
                </c:pt>
                <c:pt idx="280">
                  <c:v>0.20000000000001972</c:v>
                </c:pt>
                <c:pt idx="281">
                  <c:v>0.19000000000001971</c:v>
                </c:pt>
                <c:pt idx="282">
                  <c:v>0.1800000000000197</c:v>
                </c:pt>
                <c:pt idx="283">
                  <c:v>0.17000000000001969</c:v>
                </c:pt>
                <c:pt idx="284">
                  <c:v>0.16000000000001968</c:v>
                </c:pt>
                <c:pt idx="285">
                  <c:v>0.15000000000001967</c:v>
                </c:pt>
                <c:pt idx="286">
                  <c:v>0.14000000000001966</c:v>
                </c:pt>
                <c:pt idx="287">
                  <c:v>0.13000000000001966</c:v>
                </c:pt>
              </c:numCache>
            </c:numRef>
          </c:val>
          <c:smooth val="0"/>
        </c:ser>
        <c:dLbls>
          <c:showLegendKey val="0"/>
          <c:showVal val="0"/>
          <c:showCatName val="0"/>
          <c:showSerName val="0"/>
          <c:showPercent val="0"/>
          <c:showBubbleSize val="0"/>
        </c:dLbls>
        <c:marker val="1"/>
        <c:smooth val="0"/>
        <c:axId val="151401216"/>
        <c:axId val="151394944"/>
      </c:lineChart>
      <c:catAx>
        <c:axId val="150846080"/>
        <c:scaling>
          <c:orientation val="minMax"/>
        </c:scaling>
        <c:delete val="0"/>
        <c:axPos val="b"/>
        <c:title>
          <c:tx>
            <c:rich>
              <a:bodyPr/>
              <a:lstStyle/>
              <a:p>
                <a:pPr>
                  <a:defRPr sz="1600">
                    <a:latin typeface="+mj-lt"/>
                  </a:defRPr>
                </a:pPr>
                <a:r>
                  <a:rPr lang="en-US" sz="1600">
                    <a:latin typeface="+mj-lt"/>
                  </a:rPr>
                  <a:t>X-axis Label</a:t>
                </a:r>
              </a:p>
            </c:rich>
          </c:tx>
          <c:overlay val="0"/>
        </c:title>
        <c:numFmt formatCode="h:mm;@" sourceLinked="1"/>
        <c:majorTickMark val="out"/>
        <c:minorTickMark val="none"/>
        <c:tickLblPos val="nextTo"/>
        <c:txPr>
          <a:bodyPr rot="-5400000" vert="horz"/>
          <a:lstStyle/>
          <a:p>
            <a:pPr>
              <a:defRPr sz="1200" b="1">
                <a:latin typeface="+mj-lt"/>
              </a:defRPr>
            </a:pPr>
            <a:endParaRPr lang="en-US"/>
          </a:p>
        </c:txPr>
        <c:crossAx val="151393024"/>
        <c:crosses val="autoZero"/>
        <c:auto val="1"/>
        <c:lblAlgn val="ctr"/>
        <c:lblOffset val="100"/>
        <c:tickLblSkip val="12"/>
        <c:tickMarkSkip val="12"/>
        <c:noMultiLvlLbl val="0"/>
      </c:catAx>
      <c:valAx>
        <c:axId val="151393024"/>
        <c:scaling>
          <c:orientation val="minMax"/>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sz="1600">
                    <a:latin typeface="+mj-lt"/>
                  </a:rPr>
                  <a:t>Primary</a:t>
                </a:r>
                <a:r>
                  <a:rPr lang="en-US" sz="1600" baseline="0">
                    <a:latin typeface="+mj-lt"/>
                  </a:rPr>
                  <a:t> Y-axis Label</a:t>
                </a:r>
                <a:endParaRPr lang="en-US" sz="1600">
                  <a:latin typeface="+mj-lt"/>
                </a:endParaRPr>
              </a:p>
            </c:rich>
          </c:tx>
          <c:overlay val="0"/>
        </c:title>
        <c:numFmt formatCode="0" sourceLinked="0"/>
        <c:majorTickMark val="out"/>
        <c:minorTickMark val="none"/>
        <c:tickLblPos val="nextTo"/>
        <c:txPr>
          <a:bodyPr/>
          <a:lstStyle/>
          <a:p>
            <a:pPr>
              <a:defRPr sz="1400" b="1">
                <a:latin typeface="+mj-lt"/>
              </a:defRPr>
            </a:pPr>
            <a:endParaRPr lang="en-US"/>
          </a:p>
        </c:txPr>
        <c:crossAx val="150846080"/>
        <c:crosses val="autoZero"/>
        <c:crossBetween val="between"/>
      </c:valAx>
      <c:valAx>
        <c:axId val="151394944"/>
        <c:scaling>
          <c:orientation val="minMax"/>
          <c:max val="8"/>
          <c:min val="-10"/>
        </c:scaling>
        <c:delete val="0"/>
        <c:axPos val="r"/>
        <c:title>
          <c:tx>
            <c:rich>
              <a:bodyPr rot="-5400000" vert="horz"/>
              <a:lstStyle/>
              <a:p>
                <a:pPr>
                  <a:defRPr sz="1600">
                    <a:latin typeface="+mj-lt"/>
                  </a:defRPr>
                </a:pPr>
                <a:r>
                  <a:rPr lang="en-US" sz="1600">
                    <a:latin typeface="+mj-lt"/>
                  </a:rPr>
                  <a:t>Secondary Y-axis Label</a:t>
                </a:r>
              </a:p>
            </c:rich>
          </c:tx>
          <c:overlay val="0"/>
        </c:title>
        <c:numFmt formatCode="0" sourceLinked="0"/>
        <c:majorTickMark val="out"/>
        <c:minorTickMark val="none"/>
        <c:tickLblPos val="nextTo"/>
        <c:txPr>
          <a:bodyPr/>
          <a:lstStyle/>
          <a:p>
            <a:pPr>
              <a:defRPr sz="1400" b="1">
                <a:latin typeface="+mj-lt"/>
              </a:defRPr>
            </a:pPr>
            <a:endParaRPr lang="en-US"/>
          </a:p>
        </c:txPr>
        <c:crossAx val="151401216"/>
        <c:crosses val="max"/>
        <c:crossBetween val="between"/>
      </c:valAx>
      <c:catAx>
        <c:axId val="151401216"/>
        <c:scaling>
          <c:orientation val="minMax"/>
        </c:scaling>
        <c:delete val="1"/>
        <c:axPos val="b"/>
        <c:numFmt formatCode="h:mm;@" sourceLinked="1"/>
        <c:majorTickMark val="out"/>
        <c:minorTickMark val="none"/>
        <c:tickLblPos val="none"/>
        <c:crossAx val="151394944"/>
        <c:crosses val="autoZero"/>
        <c:auto val="1"/>
        <c:lblAlgn val="ctr"/>
        <c:lblOffset val="100"/>
        <c:noMultiLvlLbl val="0"/>
      </c:catAx>
      <c:spPr>
        <a:ln w="19050">
          <a:solidFill>
            <a:schemeClr val="tx1"/>
          </a:solidFill>
        </a:ln>
      </c:spPr>
    </c:plotArea>
    <c:legend>
      <c:legendPos val="b"/>
      <c:layout>
        <c:manualLayout>
          <c:xMode val="edge"/>
          <c:yMode val="edge"/>
          <c:x val="0.10874507874015751"/>
          <c:y val="0.8944079490063741"/>
          <c:w val="0.77209303915135619"/>
          <c:h val="9.1306336707911509E-2"/>
        </c:manualLayout>
      </c:layout>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ChtLMd!$B$1</c:f>
              <c:strCache>
                <c:ptCount val="1"/>
                <c:pt idx="0">
                  <c:v>Line 1</c:v>
                </c:pt>
              </c:strCache>
            </c:strRef>
          </c:tx>
          <c:marker>
            <c:symbol val="square"/>
            <c:size val="5"/>
          </c:marker>
          <c:cat>
            <c:numRef>
              <c:f>ChtLMd!$A$2:$A$25</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0.749999999999999</c:v>
                </c:pt>
                <c:pt idx="19">
                  <c:v>0.79166666666666496</c:v>
                </c:pt>
                <c:pt idx="20">
                  <c:v>0.83333333333333104</c:v>
                </c:pt>
                <c:pt idx="21">
                  <c:v>0.874999999999997</c:v>
                </c:pt>
                <c:pt idx="22">
                  <c:v>0.91666666666666297</c:v>
                </c:pt>
                <c:pt idx="23">
                  <c:v>0.95833333333332904</c:v>
                </c:pt>
              </c:numCache>
            </c:numRef>
          </c:cat>
          <c:val>
            <c:numRef>
              <c:f>ChtLMd!$B$2:$B$25</c:f>
              <c:numCache>
                <c:formatCode>0.0</c:formatCode>
                <c:ptCount val="24"/>
                <c:pt idx="0">
                  <c:v>35</c:v>
                </c:pt>
                <c:pt idx="1">
                  <c:v>36.299999999999997</c:v>
                </c:pt>
                <c:pt idx="2">
                  <c:v>37.599999999999994</c:v>
                </c:pt>
                <c:pt idx="3">
                  <c:v>38.899999999999991</c:v>
                </c:pt>
                <c:pt idx="4">
                  <c:v>40.199999999999989</c:v>
                </c:pt>
                <c:pt idx="5">
                  <c:v>41.499999999999986</c:v>
                </c:pt>
                <c:pt idx="6">
                  <c:v>42.799999999999983</c:v>
                </c:pt>
                <c:pt idx="7">
                  <c:v>44.09999999999998</c:v>
                </c:pt>
                <c:pt idx="8">
                  <c:v>45.399999999999977</c:v>
                </c:pt>
                <c:pt idx="9">
                  <c:v>46.699999999999974</c:v>
                </c:pt>
                <c:pt idx="10">
                  <c:v>47.999999999999972</c:v>
                </c:pt>
                <c:pt idx="11">
                  <c:v>49.299999999999969</c:v>
                </c:pt>
                <c:pt idx="12">
                  <c:v>50.599999999999966</c:v>
                </c:pt>
                <c:pt idx="13">
                  <c:v>51.899999999999963</c:v>
                </c:pt>
                <c:pt idx="14">
                  <c:v>53.19999999999996</c:v>
                </c:pt>
                <c:pt idx="15">
                  <c:v>54.499999999999957</c:v>
                </c:pt>
                <c:pt idx="16">
                  <c:v>55.799999999999955</c:v>
                </c:pt>
                <c:pt idx="17">
                  <c:v>57.099999999999952</c:v>
                </c:pt>
                <c:pt idx="18">
                  <c:v>58.399999999999949</c:v>
                </c:pt>
                <c:pt idx="19">
                  <c:v>59.699999999999946</c:v>
                </c:pt>
                <c:pt idx="20">
                  <c:v>60.999999999999943</c:v>
                </c:pt>
                <c:pt idx="21">
                  <c:v>62.29999999999994</c:v>
                </c:pt>
                <c:pt idx="22">
                  <c:v>63.599999999999937</c:v>
                </c:pt>
                <c:pt idx="23">
                  <c:v>64.899999999999935</c:v>
                </c:pt>
              </c:numCache>
            </c:numRef>
          </c:val>
          <c:smooth val="0"/>
        </c:ser>
        <c:ser>
          <c:idx val="1"/>
          <c:order val="1"/>
          <c:tx>
            <c:strRef>
              <c:f>ChtLMd!$C$1</c:f>
              <c:strCache>
                <c:ptCount val="1"/>
                <c:pt idx="0">
                  <c:v>Line 2</c:v>
                </c:pt>
              </c:strCache>
            </c:strRef>
          </c:tx>
          <c:marker>
            <c:symbol val="circle"/>
            <c:size val="6"/>
          </c:marker>
          <c:cat>
            <c:numRef>
              <c:f>ChtLMd!$A$2:$A$25</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0.749999999999999</c:v>
                </c:pt>
                <c:pt idx="19">
                  <c:v>0.79166666666666496</c:v>
                </c:pt>
                <c:pt idx="20">
                  <c:v>0.83333333333333104</c:v>
                </c:pt>
                <c:pt idx="21">
                  <c:v>0.874999999999997</c:v>
                </c:pt>
                <c:pt idx="22">
                  <c:v>0.91666666666666297</c:v>
                </c:pt>
                <c:pt idx="23">
                  <c:v>0.95833333333332904</c:v>
                </c:pt>
              </c:numCache>
            </c:numRef>
          </c:cat>
          <c:val>
            <c:numRef>
              <c:f>ChtLMd!$C$2:$C$25</c:f>
              <c:numCache>
                <c:formatCode>0.0</c:formatCode>
                <c:ptCount val="24"/>
                <c:pt idx="0">
                  <c:v>40</c:v>
                </c:pt>
                <c:pt idx="1">
                  <c:v>41.3</c:v>
                </c:pt>
                <c:pt idx="2">
                  <c:v>42.599999999999994</c:v>
                </c:pt>
                <c:pt idx="3">
                  <c:v>43.899999999999991</c:v>
                </c:pt>
                <c:pt idx="4">
                  <c:v>45.199999999999989</c:v>
                </c:pt>
                <c:pt idx="5">
                  <c:v>46.499999999999986</c:v>
                </c:pt>
                <c:pt idx="6">
                  <c:v>47.799999999999983</c:v>
                </c:pt>
                <c:pt idx="7">
                  <c:v>49.09999999999998</c:v>
                </c:pt>
                <c:pt idx="8">
                  <c:v>50.399999999999977</c:v>
                </c:pt>
                <c:pt idx="9">
                  <c:v>51.699999999999974</c:v>
                </c:pt>
                <c:pt idx="10">
                  <c:v>52.999999999999972</c:v>
                </c:pt>
                <c:pt idx="11">
                  <c:v>54.299999999999969</c:v>
                </c:pt>
                <c:pt idx="12">
                  <c:v>55.599999999999966</c:v>
                </c:pt>
                <c:pt idx="13">
                  <c:v>56.899999999999963</c:v>
                </c:pt>
                <c:pt idx="14">
                  <c:v>58.19999999999996</c:v>
                </c:pt>
                <c:pt idx="15">
                  <c:v>59.499999999999957</c:v>
                </c:pt>
                <c:pt idx="16">
                  <c:v>60.799999999999955</c:v>
                </c:pt>
                <c:pt idx="17">
                  <c:v>62.099999999999952</c:v>
                </c:pt>
                <c:pt idx="18">
                  <c:v>63.399999999999949</c:v>
                </c:pt>
                <c:pt idx="19">
                  <c:v>64.699999999999946</c:v>
                </c:pt>
                <c:pt idx="20">
                  <c:v>65.999999999999943</c:v>
                </c:pt>
                <c:pt idx="21">
                  <c:v>67.29999999999994</c:v>
                </c:pt>
                <c:pt idx="22">
                  <c:v>68.599999999999937</c:v>
                </c:pt>
                <c:pt idx="23">
                  <c:v>69.899999999999935</c:v>
                </c:pt>
              </c:numCache>
            </c:numRef>
          </c:val>
          <c:smooth val="0"/>
        </c:ser>
        <c:ser>
          <c:idx val="2"/>
          <c:order val="2"/>
          <c:tx>
            <c:strRef>
              <c:f>ChtLMd!$D$1</c:f>
              <c:strCache>
                <c:ptCount val="1"/>
                <c:pt idx="0">
                  <c:v>Line 3</c:v>
                </c:pt>
              </c:strCache>
            </c:strRef>
          </c:tx>
          <c:marker>
            <c:symbol val="diamond"/>
            <c:size val="7"/>
          </c:marker>
          <c:cat>
            <c:numRef>
              <c:f>ChtLMd!$A$2:$A$25</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0.749999999999999</c:v>
                </c:pt>
                <c:pt idx="19">
                  <c:v>0.79166666666666496</c:v>
                </c:pt>
                <c:pt idx="20">
                  <c:v>0.83333333333333104</c:v>
                </c:pt>
                <c:pt idx="21">
                  <c:v>0.874999999999997</c:v>
                </c:pt>
                <c:pt idx="22">
                  <c:v>0.91666666666666297</c:v>
                </c:pt>
                <c:pt idx="23">
                  <c:v>0.95833333333332904</c:v>
                </c:pt>
              </c:numCache>
            </c:numRef>
          </c:cat>
          <c:val>
            <c:numRef>
              <c:f>ChtLMd!$D$2:$D$25</c:f>
              <c:numCache>
                <c:formatCode>0.0</c:formatCode>
                <c:ptCount val="24"/>
                <c:pt idx="0">
                  <c:v>45</c:v>
                </c:pt>
                <c:pt idx="1">
                  <c:v>46.3</c:v>
                </c:pt>
                <c:pt idx="2">
                  <c:v>47.599999999999994</c:v>
                </c:pt>
                <c:pt idx="3">
                  <c:v>48.899999999999991</c:v>
                </c:pt>
                <c:pt idx="4">
                  <c:v>50.199999999999989</c:v>
                </c:pt>
                <c:pt idx="5">
                  <c:v>51.499999999999986</c:v>
                </c:pt>
                <c:pt idx="6">
                  <c:v>52.799999999999983</c:v>
                </c:pt>
                <c:pt idx="7">
                  <c:v>54.09999999999998</c:v>
                </c:pt>
                <c:pt idx="8">
                  <c:v>55.399999999999977</c:v>
                </c:pt>
                <c:pt idx="9">
                  <c:v>56.699999999999974</c:v>
                </c:pt>
                <c:pt idx="10">
                  <c:v>57.999999999999972</c:v>
                </c:pt>
                <c:pt idx="11">
                  <c:v>59.299999999999969</c:v>
                </c:pt>
                <c:pt idx="12">
                  <c:v>60.599999999999966</c:v>
                </c:pt>
                <c:pt idx="13">
                  <c:v>61.899999999999963</c:v>
                </c:pt>
                <c:pt idx="14">
                  <c:v>63.19999999999996</c:v>
                </c:pt>
                <c:pt idx="15">
                  <c:v>64.499999999999957</c:v>
                </c:pt>
                <c:pt idx="16">
                  <c:v>65.799999999999955</c:v>
                </c:pt>
                <c:pt idx="17">
                  <c:v>67.099999999999952</c:v>
                </c:pt>
                <c:pt idx="18">
                  <c:v>68.399999999999949</c:v>
                </c:pt>
                <c:pt idx="19">
                  <c:v>69.699999999999946</c:v>
                </c:pt>
                <c:pt idx="20">
                  <c:v>70.999999999999943</c:v>
                </c:pt>
                <c:pt idx="21">
                  <c:v>72.29999999999994</c:v>
                </c:pt>
                <c:pt idx="22">
                  <c:v>73.599999999999937</c:v>
                </c:pt>
                <c:pt idx="23">
                  <c:v>74.899999999999935</c:v>
                </c:pt>
              </c:numCache>
            </c:numRef>
          </c:val>
          <c:smooth val="0"/>
        </c:ser>
        <c:ser>
          <c:idx val="3"/>
          <c:order val="3"/>
          <c:tx>
            <c:strRef>
              <c:f>ChtLMd!$E$1</c:f>
              <c:strCache>
                <c:ptCount val="1"/>
                <c:pt idx="0">
                  <c:v>Line 4</c:v>
                </c:pt>
              </c:strCache>
            </c:strRef>
          </c:tx>
          <c:marker>
            <c:symbol val="square"/>
            <c:size val="5"/>
          </c:marker>
          <c:cat>
            <c:numRef>
              <c:f>ChtLMd!$A$2:$A$25</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0.749999999999999</c:v>
                </c:pt>
                <c:pt idx="19">
                  <c:v>0.79166666666666496</c:v>
                </c:pt>
                <c:pt idx="20">
                  <c:v>0.83333333333333104</c:v>
                </c:pt>
                <c:pt idx="21">
                  <c:v>0.874999999999997</c:v>
                </c:pt>
                <c:pt idx="22">
                  <c:v>0.91666666666666297</c:v>
                </c:pt>
                <c:pt idx="23">
                  <c:v>0.95833333333332904</c:v>
                </c:pt>
              </c:numCache>
            </c:numRef>
          </c:cat>
          <c:val>
            <c:numRef>
              <c:f>ChtLMd!$E$2:$E$25</c:f>
              <c:numCache>
                <c:formatCode>0.0</c:formatCode>
                <c:ptCount val="24"/>
                <c:pt idx="0">
                  <c:v>50</c:v>
                </c:pt>
                <c:pt idx="1">
                  <c:v>51.3</c:v>
                </c:pt>
                <c:pt idx="2">
                  <c:v>52.599999999999994</c:v>
                </c:pt>
                <c:pt idx="3">
                  <c:v>53.899999999999991</c:v>
                </c:pt>
                <c:pt idx="4">
                  <c:v>55.199999999999989</c:v>
                </c:pt>
                <c:pt idx="5">
                  <c:v>56.499999999999986</c:v>
                </c:pt>
                <c:pt idx="6">
                  <c:v>57.799999999999983</c:v>
                </c:pt>
                <c:pt idx="7">
                  <c:v>59.09999999999998</c:v>
                </c:pt>
                <c:pt idx="8">
                  <c:v>60.399999999999977</c:v>
                </c:pt>
                <c:pt idx="9">
                  <c:v>61.699999999999974</c:v>
                </c:pt>
                <c:pt idx="10">
                  <c:v>62.999999999999972</c:v>
                </c:pt>
                <c:pt idx="11">
                  <c:v>64.299999999999969</c:v>
                </c:pt>
                <c:pt idx="12">
                  <c:v>65.599999999999966</c:v>
                </c:pt>
                <c:pt idx="13">
                  <c:v>66.899999999999963</c:v>
                </c:pt>
                <c:pt idx="14">
                  <c:v>68.19999999999996</c:v>
                </c:pt>
                <c:pt idx="15">
                  <c:v>69.499999999999957</c:v>
                </c:pt>
                <c:pt idx="16">
                  <c:v>70.799999999999955</c:v>
                </c:pt>
                <c:pt idx="17">
                  <c:v>72.099999999999952</c:v>
                </c:pt>
                <c:pt idx="18">
                  <c:v>73.399999999999949</c:v>
                </c:pt>
                <c:pt idx="19">
                  <c:v>74.699999999999946</c:v>
                </c:pt>
                <c:pt idx="20">
                  <c:v>75.999999999999943</c:v>
                </c:pt>
                <c:pt idx="21">
                  <c:v>77.29999999999994</c:v>
                </c:pt>
                <c:pt idx="22">
                  <c:v>78.599999999999937</c:v>
                </c:pt>
                <c:pt idx="23">
                  <c:v>79.899999999999935</c:v>
                </c:pt>
              </c:numCache>
            </c:numRef>
          </c:val>
          <c:smooth val="0"/>
        </c:ser>
        <c:ser>
          <c:idx val="4"/>
          <c:order val="4"/>
          <c:tx>
            <c:strRef>
              <c:f>ChtLMd!$F$1</c:f>
              <c:strCache>
                <c:ptCount val="1"/>
                <c:pt idx="0">
                  <c:v>Line 5</c:v>
                </c:pt>
              </c:strCache>
            </c:strRef>
          </c:tx>
          <c:marker>
            <c:symbol val="circle"/>
            <c:size val="6"/>
          </c:marker>
          <c:cat>
            <c:numRef>
              <c:f>ChtLMd!$A$2:$A$25</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0.749999999999999</c:v>
                </c:pt>
                <c:pt idx="19">
                  <c:v>0.79166666666666496</c:v>
                </c:pt>
                <c:pt idx="20">
                  <c:v>0.83333333333333104</c:v>
                </c:pt>
                <c:pt idx="21">
                  <c:v>0.874999999999997</c:v>
                </c:pt>
                <c:pt idx="22">
                  <c:v>0.91666666666666297</c:v>
                </c:pt>
                <c:pt idx="23">
                  <c:v>0.95833333333332904</c:v>
                </c:pt>
              </c:numCache>
            </c:numRef>
          </c:cat>
          <c:val>
            <c:numRef>
              <c:f>ChtLMd!$F$2:$F$25</c:f>
              <c:numCache>
                <c:formatCode>0.0</c:formatCode>
                <c:ptCount val="24"/>
                <c:pt idx="0">
                  <c:v>60</c:v>
                </c:pt>
                <c:pt idx="1">
                  <c:v>61.3</c:v>
                </c:pt>
                <c:pt idx="2">
                  <c:v>62.599999999999994</c:v>
                </c:pt>
                <c:pt idx="3">
                  <c:v>63.899999999999991</c:v>
                </c:pt>
                <c:pt idx="4">
                  <c:v>65.199999999999989</c:v>
                </c:pt>
                <c:pt idx="5">
                  <c:v>66.499999999999986</c:v>
                </c:pt>
                <c:pt idx="6">
                  <c:v>67.799999999999983</c:v>
                </c:pt>
                <c:pt idx="7">
                  <c:v>69.09999999999998</c:v>
                </c:pt>
                <c:pt idx="8">
                  <c:v>70.399999999999977</c:v>
                </c:pt>
                <c:pt idx="9">
                  <c:v>71.699999999999974</c:v>
                </c:pt>
                <c:pt idx="10">
                  <c:v>72.999999999999972</c:v>
                </c:pt>
                <c:pt idx="11">
                  <c:v>74.299999999999969</c:v>
                </c:pt>
                <c:pt idx="12">
                  <c:v>75.599999999999966</c:v>
                </c:pt>
                <c:pt idx="13">
                  <c:v>76.899999999999963</c:v>
                </c:pt>
                <c:pt idx="14">
                  <c:v>78.19999999999996</c:v>
                </c:pt>
                <c:pt idx="15">
                  <c:v>79.499999999999957</c:v>
                </c:pt>
                <c:pt idx="16">
                  <c:v>80.799999999999955</c:v>
                </c:pt>
                <c:pt idx="17">
                  <c:v>82.099999999999952</c:v>
                </c:pt>
                <c:pt idx="18">
                  <c:v>83.399999999999949</c:v>
                </c:pt>
                <c:pt idx="19">
                  <c:v>84.699999999999946</c:v>
                </c:pt>
                <c:pt idx="20">
                  <c:v>85.999999999999943</c:v>
                </c:pt>
                <c:pt idx="21">
                  <c:v>87.29999999999994</c:v>
                </c:pt>
                <c:pt idx="22">
                  <c:v>88.599999999999937</c:v>
                </c:pt>
                <c:pt idx="23">
                  <c:v>89.899999999999935</c:v>
                </c:pt>
              </c:numCache>
            </c:numRef>
          </c:val>
          <c:smooth val="0"/>
        </c:ser>
        <c:dLbls>
          <c:showLegendKey val="0"/>
          <c:showVal val="0"/>
          <c:showCatName val="0"/>
          <c:showSerName val="0"/>
          <c:showPercent val="0"/>
          <c:showBubbleSize val="0"/>
        </c:dLbls>
        <c:marker val="1"/>
        <c:smooth val="0"/>
        <c:axId val="151825024"/>
        <c:axId val="151835392"/>
      </c:lineChart>
      <c:lineChart>
        <c:grouping val="standard"/>
        <c:varyColors val="0"/>
        <c:ser>
          <c:idx val="5"/>
          <c:order val="5"/>
          <c:tx>
            <c:strRef>
              <c:f>ChtLMd!$G$1</c:f>
              <c:strCache>
                <c:ptCount val="1"/>
                <c:pt idx="0">
                  <c:v>Line 6</c:v>
                </c:pt>
              </c:strCache>
            </c:strRef>
          </c:tx>
          <c:spPr>
            <a:ln>
              <a:prstDash val="sysDash"/>
            </a:ln>
          </c:spPr>
          <c:marker>
            <c:symbol val="diamond"/>
            <c:size val="7"/>
          </c:marker>
          <c:cat>
            <c:numRef>
              <c:f>ChtLMd!$A$2:$A$25</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0.749999999999999</c:v>
                </c:pt>
                <c:pt idx="19">
                  <c:v>0.79166666666666496</c:v>
                </c:pt>
                <c:pt idx="20">
                  <c:v>0.83333333333333104</c:v>
                </c:pt>
                <c:pt idx="21">
                  <c:v>0.874999999999997</c:v>
                </c:pt>
                <c:pt idx="22">
                  <c:v>0.91666666666666297</c:v>
                </c:pt>
                <c:pt idx="23">
                  <c:v>0.95833333333332904</c:v>
                </c:pt>
              </c:numCache>
            </c:numRef>
          </c:cat>
          <c:val>
            <c:numRef>
              <c:f>ChtLMd!$G$2:$G$25</c:f>
              <c:numCache>
                <c:formatCode>0%</c:formatCode>
                <c:ptCount val="24"/>
                <c:pt idx="0">
                  <c:v>0.1</c:v>
                </c:pt>
                <c:pt idx="1">
                  <c:v>0.1</c:v>
                </c:pt>
                <c:pt idx="2">
                  <c:v>0.1</c:v>
                </c:pt>
                <c:pt idx="3">
                  <c:v>0.1</c:v>
                </c:pt>
                <c:pt idx="4">
                  <c:v>0.25</c:v>
                </c:pt>
                <c:pt idx="5">
                  <c:v>0.25</c:v>
                </c:pt>
                <c:pt idx="6">
                  <c:v>0.25</c:v>
                </c:pt>
                <c:pt idx="7">
                  <c:v>0.25</c:v>
                </c:pt>
                <c:pt idx="8">
                  <c:v>0.33</c:v>
                </c:pt>
                <c:pt idx="9">
                  <c:v>0.33</c:v>
                </c:pt>
                <c:pt idx="10">
                  <c:v>0.33</c:v>
                </c:pt>
                <c:pt idx="11">
                  <c:v>0.33</c:v>
                </c:pt>
                <c:pt idx="12">
                  <c:v>0.75</c:v>
                </c:pt>
                <c:pt idx="13">
                  <c:v>0.75</c:v>
                </c:pt>
                <c:pt idx="14">
                  <c:v>0.75</c:v>
                </c:pt>
                <c:pt idx="15">
                  <c:v>0.75</c:v>
                </c:pt>
                <c:pt idx="16">
                  <c:v>0.67</c:v>
                </c:pt>
                <c:pt idx="17">
                  <c:v>0.67</c:v>
                </c:pt>
                <c:pt idx="18">
                  <c:v>0.67</c:v>
                </c:pt>
                <c:pt idx="19">
                  <c:v>0.67</c:v>
                </c:pt>
                <c:pt idx="20">
                  <c:v>0.5</c:v>
                </c:pt>
                <c:pt idx="21">
                  <c:v>0.5</c:v>
                </c:pt>
                <c:pt idx="22">
                  <c:v>0.5</c:v>
                </c:pt>
                <c:pt idx="23">
                  <c:v>0.5</c:v>
                </c:pt>
              </c:numCache>
            </c:numRef>
          </c:val>
          <c:smooth val="0"/>
        </c:ser>
        <c:ser>
          <c:idx val="6"/>
          <c:order val="6"/>
          <c:tx>
            <c:strRef>
              <c:f>ChtLMd!$H$1</c:f>
              <c:strCache>
                <c:ptCount val="1"/>
                <c:pt idx="0">
                  <c:v>Line 7</c:v>
                </c:pt>
              </c:strCache>
            </c:strRef>
          </c:tx>
          <c:spPr>
            <a:ln>
              <a:prstDash val="sysDash"/>
            </a:ln>
          </c:spPr>
          <c:marker>
            <c:symbol val="square"/>
            <c:size val="5"/>
          </c:marker>
          <c:cat>
            <c:numRef>
              <c:f>ChtLMd!$A$2:$A$25</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0.749999999999999</c:v>
                </c:pt>
                <c:pt idx="19">
                  <c:v>0.79166666666666496</c:v>
                </c:pt>
                <c:pt idx="20">
                  <c:v>0.83333333333333104</c:v>
                </c:pt>
                <c:pt idx="21">
                  <c:v>0.874999999999997</c:v>
                </c:pt>
                <c:pt idx="22">
                  <c:v>0.91666666666666297</c:v>
                </c:pt>
                <c:pt idx="23">
                  <c:v>0.95833333333332904</c:v>
                </c:pt>
              </c:numCache>
            </c:numRef>
          </c:cat>
          <c:val>
            <c:numRef>
              <c:f>ChtLMd!$H$2:$H$25</c:f>
              <c:numCache>
                <c:formatCode>0%</c:formatCode>
                <c:ptCount val="24"/>
                <c:pt idx="0">
                  <c:v>0.9</c:v>
                </c:pt>
                <c:pt idx="1">
                  <c:v>0.9</c:v>
                </c:pt>
                <c:pt idx="2">
                  <c:v>0.9</c:v>
                </c:pt>
                <c:pt idx="3">
                  <c:v>0.9</c:v>
                </c:pt>
                <c:pt idx="4">
                  <c:v>0.75</c:v>
                </c:pt>
                <c:pt idx="5">
                  <c:v>0.75</c:v>
                </c:pt>
                <c:pt idx="6">
                  <c:v>0.75</c:v>
                </c:pt>
                <c:pt idx="7">
                  <c:v>0.75</c:v>
                </c:pt>
                <c:pt idx="8">
                  <c:v>0.66999999999999993</c:v>
                </c:pt>
                <c:pt idx="9">
                  <c:v>0.66999999999999993</c:v>
                </c:pt>
                <c:pt idx="10">
                  <c:v>0.66999999999999993</c:v>
                </c:pt>
                <c:pt idx="11">
                  <c:v>0.66999999999999993</c:v>
                </c:pt>
                <c:pt idx="12">
                  <c:v>0.25</c:v>
                </c:pt>
                <c:pt idx="13">
                  <c:v>0.25</c:v>
                </c:pt>
                <c:pt idx="14">
                  <c:v>0.25</c:v>
                </c:pt>
                <c:pt idx="15">
                  <c:v>0.25</c:v>
                </c:pt>
                <c:pt idx="16">
                  <c:v>0.32999999999999996</c:v>
                </c:pt>
                <c:pt idx="17">
                  <c:v>0.32999999999999996</c:v>
                </c:pt>
                <c:pt idx="18">
                  <c:v>0.32999999999999996</c:v>
                </c:pt>
                <c:pt idx="19">
                  <c:v>0.32999999999999996</c:v>
                </c:pt>
                <c:pt idx="20">
                  <c:v>0.5</c:v>
                </c:pt>
                <c:pt idx="21">
                  <c:v>0.5</c:v>
                </c:pt>
                <c:pt idx="22">
                  <c:v>0.5</c:v>
                </c:pt>
                <c:pt idx="23">
                  <c:v>0.5</c:v>
                </c:pt>
              </c:numCache>
            </c:numRef>
          </c:val>
          <c:smooth val="0"/>
        </c:ser>
        <c:ser>
          <c:idx val="7"/>
          <c:order val="7"/>
          <c:tx>
            <c:strRef>
              <c:f>ChtLMd!$I$1</c:f>
              <c:strCache>
                <c:ptCount val="1"/>
                <c:pt idx="0">
                  <c:v>Line 8</c:v>
                </c:pt>
              </c:strCache>
            </c:strRef>
          </c:tx>
          <c:spPr>
            <a:ln>
              <a:prstDash val="sysDash"/>
            </a:ln>
          </c:spPr>
          <c:marker>
            <c:symbol val="circle"/>
            <c:size val="6"/>
          </c:marker>
          <c:cat>
            <c:numRef>
              <c:f>ChtLMd!$A$2:$A$25</c:f>
              <c:numCache>
                <c:formatCode>h:mm</c:formatCode>
                <c:ptCount val="24"/>
                <c:pt idx="0">
                  <c:v>0</c:v>
                </c:pt>
                <c:pt idx="1">
                  <c:v>4.1666666666666699E-2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0.749999999999999</c:v>
                </c:pt>
                <c:pt idx="19">
                  <c:v>0.79166666666666496</c:v>
                </c:pt>
                <c:pt idx="20">
                  <c:v>0.83333333333333104</c:v>
                </c:pt>
                <c:pt idx="21">
                  <c:v>0.874999999999997</c:v>
                </c:pt>
                <c:pt idx="22">
                  <c:v>0.91666666666666297</c:v>
                </c:pt>
                <c:pt idx="23">
                  <c:v>0.95833333333332904</c:v>
                </c:pt>
              </c:numCache>
            </c:numRef>
          </c:cat>
          <c:val>
            <c:numRef>
              <c:f>ChtLMd!$I$2:$I$25</c:f>
              <c:numCache>
                <c:formatCode>0%</c:formatCode>
                <c:ptCount val="24"/>
                <c:pt idx="0">
                  <c:v>0.25</c:v>
                </c:pt>
                <c:pt idx="1">
                  <c:v>0.25</c:v>
                </c:pt>
                <c:pt idx="2">
                  <c:v>0.25</c:v>
                </c:pt>
                <c:pt idx="3">
                  <c:v>0.25</c:v>
                </c:pt>
                <c:pt idx="4">
                  <c:v>0.25</c:v>
                </c:pt>
                <c:pt idx="5">
                  <c:v>0.25</c:v>
                </c:pt>
                <c:pt idx="6">
                  <c:v>0.25</c:v>
                </c:pt>
                <c:pt idx="7">
                  <c:v>0.25</c:v>
                </c:pt>
                <c:pt idx="8">
                  <c:v>0.25</c:v>
                </c:pt>
                <c:pt idx="9">
                  <c:v>0.35</c:v>
                </c:pt>
                <c:pt idx="10">
                  <c:v>0.55000000000000004</c:v>
                </c:pt>
                <c:pt idx="11">
                  <c:v>0.75</c:v>
                </c:pt>
                <c:pt idx="12">
                  <c:v>0.9</c:v>
                </c:pt>
                <c:pt idx="13">
                  <c:v>0.99</c:v>
                </c:pt>
                <c:pt idx="14">
                  <c:v>1</c:v>
                </c:pt>
                <c:pt idx="15">
                  <c:v>0.76</c:v>
                </c:pt>
                <c:pt idx="16">
                  <c:v>0.46</c:v>
                </c:pt>
                <c:pt idx="17">
                  <c:v>0.25</c:v>
                </c:pt>
                <c:pt idx="18">
                  <c:v>0.25</c:v>
                </c:pt>
                <c:pt idx="19">
                  <c:v>0.25</c:v>
                </c:pt>
                <c:pt idx="20">
                  <c:v>0.25</c:v>
                </c:pt>
                <c:pt idx="21">
                  <c:v>0.25</c:v>
                </c:pt>
                <c:pt idx="22">
                  <c:v>0.25</c:v>
                </c:pt>
                <c:pt idx="23">
                  <c:v>0.25</c:v>
                </c:pt>
              </c:numCache>
            </c:numRef>
          </c:val>
          <c:smooth val="0"/>
        </c:ser>
        <c:dLbls>
          <c:showLegendKey val="0"/>
          <c:showVal val="0"/>
          <c:showCatName val="0"/>
          <c:showSerName val="0"/>
          <c:showPercent val="0"/>
          <c:showBubbleSize val="0"/>
        </c:dLbls>
        <c:marker val="1"/>
        <c:smooth val="0"/>
        <c:axId val="151863680"/>
        <c:axId val="151837312"/>
      </c:lineChart>
      <c:catAx>
        <c:axId val="151825024"/>
        <c:scaling>
          <c:orientation val="minMax"/>
        </c:scaling>
        <c:delete val="0"/>
        <c:axPos val="b"/>
        <c:title>
          <c:tx>
            <c:rich>
              <a:bodyPr/>
              <a:lstStyle/>
              <a:p>
                <a:pPr>
                  <a:defRPr sz="1600">
                    <a:latin typeface="+mj-lt"/>
                  </a:defRPr>
                </a:pPr>
                <a:r>
                  <a:rPr lang="en-US" sz="1600">
                    <a:latin typeface="+mj-lt"/>
                  </a:rPr>
                  <a:t>X-axis Label</a:t>
                </a:r>
              </a:p>
            </c:rich>
          </c:tx>
          <c:overlay val="0"/>
        </c:title>
        <c:numFmt formatCode="h:mm" sourceLinked="1"/>
        <c:majorTickMark val="out"/>
        <c:minorTickMark val="none"/>
        <c:tickLblPos val="nextTo"/>
        <c:txPr>
          <a:bodyPr rot="-5400000" vert="horz"/>
          <a:lstStyle/>
          <a:p>
            <a:pPr>
              <a:defRPr sz="1200" b="1">
                <a:latin typeface="+mj-lt"/>
              </a:defRPr>
            </a:pPr>
            <a:endParaRPr lang="en-US"/>
          </a:p>
        </c:txPr>
        <c:crossAx val="151835392"/>
        <c:crosses val="autoZero"/>
        <c:auto val="1"/>
        <c:lblAlgn val="ctr"/>
        <c:lblOffset val="100"/>
        <c:tickLblSkip val="1"/>
        <c:tickMarkSkip val="1"/>
        <c:noMultiLvlLbl val="0"/>
      </c:catAx>
      <c:valAx>
        <c:axId val="151835392"/>
        <c:scaling>
          <c:orientation val="minMax"/>
          <c:max val="100"/>
          <c:min val="30"/>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sz="1600">
                    <a:latin typeface="+mj-lt"/>
                  </a:rPr>
                  <a:t>Primary Y-axis Label</a:t>
                </a:r>
              </a:p>
            </c:rich>
          </c:tx>
          <c:overlay val="0"/>
        </c:title>
        <c:numFmt formatCode="0.0" sourceLinked="1"/>
        <c:majorTickMark val="out"/>
        <c:minorTickMark val="none"/>
        <c:tickLblPos val="nextTo"/>
        <c:txPr>
          <a:bodyPr/>
          <a:lstStyle/>
          <a:p>
            <a:pPr>
              <a:defRPr sz="1400" b="1">
                <a:latin typeface="+mj-lt"/>
              </a:defRPr>
            </a:pPr>
            <a:endParaRPr lang="en-US"/>
          </a:p>
        </c:txPr>
        <c:crossAx val="151825024"/>
        <c:crosses val="autoZero"/>
        <c:crossBetween val="between"/>
      </c:valAx>
      <c:valAx>
        <c:axId val="151837312"/>
        <c:scaling>
          <c:orientation val="minMax"/>
          <c:max val="1.2"/>
          <c:min val="-0.2"/>
        </c:scaling>
        <c:delete val="0"/>
        <c:axPos val="r"/>
        <c:numFmt formatCode="0%" sourceLinked="1"/>
        <c:majorTickMark val="out"/>
        <c:minorTickMark val="none"/>
        <c:tickLblPos val="nextTo"/>
        <c:txPr>
          <a:bodyPr/>
          <a:lstStyle/>
          <a:p>
            <a:pPr>
              <a:defRPr sz="1400" b="1">
                <a:latin typeface="+mj-lt"/>
              </a:defRPr>
            </a:pPr>
            <a:endParaRPr lang="en-US"/>
          </a:p>
        </c:txPr>
        <c:crossAx val="151863680"/>
        <c:crosses val="max"/>
        <c:crossBetween val="between"/>
      </c:valAx>
      <c:catAx>
        <c:axId val="151863680"/>
        <c:scaling>
          <c:orientation val="minMax"/>
        </c:scaling>
        <c:delete val="1"/>
        <c:axPos val="b"/>
        <c:numFmt formatCode="h:mm" sourceLinked="1"/>
        <c:majorTickMark val="out"/>
        <c:minorTickMark val="none"/>
        <c:tickLblPos val="none"/>
        <c:crossAx val="151837312"/>
        <c:crosses val="autoZero"/>
        <c:auto val="1"/>
        <c:lblAlgn val="ctr"/>
        <c:lblOffset val="100"/>
        <c:noMultiLvlLbl val="0"/>
      </c:catAx>
      <c:spPr>
        <a:ln w="19050">
          <a:solidFill>
            <a:schemeClr val="tx1"/>
          </a:solidFill>
        </a:ln>
      </c:spPr>
    </c:plotArea>
    <c:legend>
      <c:legendPos val="b"/>
      <c:layout>
        <c:manualLayout>
          <c:xMode val="edge"/>
          <c:yMode val="edge"/>
          <c:x val="0.12588500656167978"/>
          <c:y val="0.8944079490063741"/>
          <c:w val="0.7742716535433074"/>
          <c:h val="9.1306336707911509E-2"/>
        </c:manualLayout>
      </c:layout>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ChtCCd!$A$2</c:f>
              <c:strCache>
                <c:ptCount val="1"/>
                <c:pt idx="0">
                  <c:v>Column 1</c:v>
                </c:pt>
              </c:strCache>
            </c:strRef>
          </c:tx>
          <c:invertIfNegative val="0"/>
          <c:dLbls>
            <c:txPr>
              <a:bodyPr rot="-5400000" vert="horz"/>
              <a:lstStyle/>
              <a:p>
                <a:pPr>
                  <a:defRPr sz="1200" b="1">
                    <a:latin typeface="+mj-lt"/>
                  </a:defRPr>
                </a:pPr>
                <a:endParaRPr lang="en-US"/>
              </a:p>
            </c:txPr>
            <c:showLegendKey val="0"/>
            <c:showVal val="1"/>
            <c:showCatName val="0"/>
            <c:showSerName val="0"/>
            <c:showPercent val="0"/>
            <c:showBubbleSize val="0"/>
            <c:showLeaderLines val="0"/>
          </c:dLbls>
          <c:cat>
            <c:strRef>
              <c:f>ChtCCd!$B$1:$G$1</c:f>
              <c:strCache>
                <c:ptCount val="6"/>
                <c:pt idx="0">
                  <c:v>Cluster 1</c:v>
                </c:pt>
                <c:pt idx="1">
                  <c:v>Cluster 2</c:v>
                </c:pt>
                <c:pt idx="2">
                  <c:v>Cluster 3</c:v>
                </c:pt>
                <c:pt idx="3">
                  <c:v>Cluster 4</c:v>
                </c:pt>
                <c:pt idx="4">
                  <c:v>Cluster 5</c:v>
                </c:pt>
                <c:pt idx="5">
                  <c:v>Cluster 6</c:v>
                </c:pt>
              </c:strCache>
            </c:strRef>
          </c:cat>
          <c:val>
            <c:numRef>
              <c:f>ChtCCd!$B$2:$G$2</c:f>
              <c:numCache>
                <c:formatCode>_(* #,##0_);_(* \(#,##0\);_(* "-"??_);_(@_)</c:formatCode>
                <c:ptCount val="6"/>
                <c:pt idx="0">
                  <c:v>102</c:v>
                </c:pt>
                <c:pt idx="1">
                  <c:v>128</c:v>
                </c:pt>
                <c:pt idx="2">
                  <c:v>187</c:v>
                </c:pt>
                <c:pt idx="3">
                  <c:v>66</c:v>
                </c:pt>
                <c:pt idx="4">
                  <c:v>97</c:v>
                </c:pt>
                <c:pt idx="5">
                  <c:v>196</c:v>
                </c:pt>
              </c:numCache>
            </c:numRef>
          </c:val>
        </c:ser>
        <c:ser>
          <c:idx val="1"/>
          <c:order val="1"/>
          <c:tx>
            <c:strRef>
              <c:f>ChtCCd!$A$3</c:f>
              <c:strCache>
                <c:ptCount val="1"/>
                <c:pt idx="0">
                  <c:v>Column 2</c:v>
                </c:pt>
              </c:strCache>
            </c:strRef>
          </c:tx>
          <c:invertIfNegative val="0"/>
          <c:dLbls>
            <c:txPr>
              <a:bodyPr rot="-5400000" vert="horz"/>
              <a:lstStyle/>
              <a:p>
                <a:pPr>
                  <a:defRPr sz="1200" b="1">
                    <a:latin typeface="+mj-lt"/>
                  </a:defRPr>
                </a:pPr>
                <a:endParaRPr lang="en-US"/>
              </a:p>
            </c:txPr>
            <c:showLegendKey val="0"/>
            <c:showVal val="1"/>
            <c:showCatName val="0"/>
            <c:showSerName val="0"/>
            <c:showPercent val="0"/>
            <c:showBubbleSize val="0"/>
            <c:showLeaderLines val="0"/>
          </c:dLbls>
          <c:cat>
            <c:strRef>
              <c:f>ChtCCd!$B$1:$G$1</c:f>
              <c:strCache>
                <c:ptCount val="6"/>
                <c:pt idx="0">
                  <c:v>Cluster 1</c:v>
                </c:pt>
                <c:pt idx="1">
                  <c:v>Cluster 2</c:v>
                </c:pt>
                <c:pt idx="2">
                  <c:v>Cluster 3</c:v>
                </c:pt>
                <c:pt idx="3">
                  <c:v>Cluster 4</c:v>
                </c:pt>
                <c:pt idx="4">
                  <c:v>Cluster 5</c:v>
                </c:pt>
                <c:pt idx="5">
                  <c:v>Cluster 6</c:v>
                </c:pt>
              </c:strCache>
            </c:strRef>
          </c:cat>
          <c:val>
            <c:numRef>
              <c:f>ChtCCd!$B$3:$G$3</c:f>
              <c:numCache>
                <c:formatCode>_(* #,##0_);_(* \(#,##0\);_(* "-"??_);_(@_)</c:formatCode>
                <c:ptCount val="6"/>
                <c:pt idx="0">
                  <c:v>127</c:v>
                </c:pt>
                <c:pt idx="1">
                  <c:v>184</c:v>
                </c:pt>
                <c:pt idx="2">
                  <c:v>179</c:v>
                </c:pt>
                <c:pt idx="3">
                  <c:v>96</c:v>
                </c:pt>
                <c:pt idx="4">
                  <c:v>127</c:v>
                </c:pt>
                <c:pt idx="5">
                  <c:v>189</c:v>
                </c:pt>
              </c:numCache>
            </c:numRef>
          </c:val>
        </c:ser>
        <c:ser>
          <c:idx val="2"/>
          <c:order val="2"/>
          <c:tx>
            <c:strRef>
              <c:f>ChtCCd!$A$4</c:f>
              <c:strCache>
                <c:ptCount val="1"/>
                <c:pt idx="0">
                  <c:v>Column 3</c:v>
                </c:pt>
              </c:strCache>
            </c:strRef>
          </c:tx>
          <c:invertIfNegative val="0"/>
          <c:dLbls>
            <c:txPr>
              <a:bodyPr rot="-5400000" vert="horz"/>
              <a:lstStyle/>
              <a:p>
                <a:pPr>
                  <a:defRPr sz="1200" b="1">
                    <a:latin typeface="+mj-lt"/>
                  </a:defRPr>
                </a:pPr>
                <a:endParaRPr lang="en-US"/>
              </a:p>
            </c:txPr>
            <c:showLegendKey val="0"/>
            <c:showVal val="1"/>
            <c:showCatName val="0"/>
            <c:showSerName val="0"/>
            <c:showPercent val="0"/>
            <c:showBubbleSize val="0"/>
            <c:showLeaderLines val="0"/>
          </c:dLbls>
          <c:cat>
            <c:strRef>
              <c:f>ChtCCd!$B$1:$G$1</c:f>
              <c:strCache>
                <c:ptCount val="6"/>
                <c:pt idx="0">
                  <c:v>Cluster 1</c:v>
                </c:pt>
                <c:pt idx="1">
                  <c:v>Cluster 2</c:v>
                </c:pt>
                <c:pt idx="2">
                  <c:v>Cluster 3</c:v>
                </c:pt>
                <c:pt idx="3">
                  <c:v>Cluster 4</c:v>
                </c:pt>
                <c:pt idx="4">
                  <c:v>Cluster 5</c:v>
                </c:pt>
                <c:pt idx="5">
                  <c:v>Cluster 6</c:v>
                </c:pt>
              </c:strCache>
            </c:strRef>
          </c:cat>
          <c:val>
            <c:numRef>
              <c:f>ChtCCd!$B$4:$G$4</c:f>
              <c:numCache>
                <c:formatCode>_(* #,##0_);_(* \(#,##0\);_(* "-"??_);_(@_)</c:formatCode>
                <c:ptCount val="6"/>
                <c:pt idx="0">
                  <c:v>169</c:v>
                </c:pt>
                <c:pt idx="1">
                  <c:v>113</c:v>
                </c:pt>
                <c:pt idx="2">
                  <c:v>86</c:v>
                </c:pt>
                <c:pt idx="3">
                  <c:v>117</c:v>
                </c:pt>
                <c:pt idx="4">
                  <c:v>163</c:v>
                </c:pt>
                <c:pt idx="5">
                  <c:v>83</c:v>
                </c:pt>
              </c:numCache>
            </c:numRef>
          </c:val>
        </c:ser>
        <c:ser>
          <c:idx val="3"/>
          <c:order val="3"/>
          <c:tx>
            <c:strRef>
              <c:f>ChtCCd!$A$5</c:f>
              <c:strCache>
                <c:ptCount val="1"/>
                <c:pt idx="0">
                  <c:v>Column 4</c:v>
                </c:pt>
              </c:strCache>
            </c:strRef>
          </c:tx>
          <c:invertIfNegative val="0"/>
          <c:dLbls>
            <c:txPr>
              <a:bodyPr rot="-5400000" vert="horz"/>
              <a:lstStyle/>
              <a:p>
                <a:pPr>
                  <a:defRPr sz="1200" b="1" baseline="0">
                    <a:latin typeface="+mj-lt"/>
                  </a:defRPr>
                </a:pPr>
                <a:endParaRPr lang="en-US"/>
              </a:p>
            </c:txPr>
            <c:showLegendKey val="0"/>
            <c:showVal val="1"/>
            <c:showCatName val="0"/>
            <c:showSerName val="0"/>
            <c:showPercent val="0"/>
            <c:showBubbleSize val="0"/>
            <c:showLeaderLines val="0"/>
          </c:dLbls>
          <c:cat>
            <c:strRef>
              <c:f>ChtCCd!$B$1:$G$1</c:f>
              <c:strCache>
                <c:ptCount val="6"/>
                <c:pt idx="0">
                  <c:v>Cluster 1</c:v>
                </c:pt>
                <c:pt idx="1">
                  <c:v>Cluster 2</c:v>
                </c:pt>
                <c:pt idx="2">
                  <c:v>Cluster 3</c:v>
                </c:pt>
                <c:pt idx="3">
                  <c:v>Cluster 4</c:v>
                </c:pt>
                <c:pt idx="4">
                  <c:v>Cluster 5</c:v>
                </c:pt>
                <c:pt idx="5">
                  <c:v>Cluster 6</c:v>
                </c:pt>
              </c:strCache>
            </c:strRef>
          </c:cat>
          <c:val>
            <c:numRef>
              <c:f>ChtCCd!$B$5:$G$5</c:f>
              <c:numCache>
                <c:formatCode>_(* #,##0_);_(* \(#,##0\);_(* "-"??_);_(@_)</c:formatCode>
                <c:ptCount val="6"/>
                <c:pt idx="0">
                  <c:v>127</c:v>
                </c:pt>
                <c:pt idx="1">
                  <c:v>73</c:v>
                </c:pt>
                <c:pt idx="2">
                  <c:v>168</c:v>
                </c:pt>
                <c:pt idx="3">
                  <c:v>62</c:v>
                </c:pt>
                <c:pt idx="4">
                  <c:v>113</c:v>
                </c:pt>
                <c:pt idx="5">
                  <c:v>168</c:v>
                </c:pt>
              </c:numCache>
            </c:numRef>
          </c:val>
        </c:ser>
        <c:ser>
          <c:idx val="4"/>
          <c:order val="4"/>
          <c:tx>
            <c:strRef>
              <c:f>ChtCCd!$A$6</c:f>
              <c:strCache>
                <c:ptCount val="1"/>
                <c:pt idx="0">
                  <c:v>Column 5</c:v>
                </c:pt>
              </c:strCache>
            </c:strRef>
          </c:tx>
          <c:invertIfNegative val="0"/>
          <c:dLbls>
            <c:txPr>
              <a:bodyPr rot="-5400000" vert="horz"/>
              <a:lstStyle/>
              <a:p>
                <a:pPr>
                  <a:defRPr sz="1200" b="1">
                    <a:latin typeface="+mj-lt"/>
                  </a:defRPr>
                </a:pPr>
                <a:endParaRPr lang="en-US"/>
              </a:p>
            </c:txPr>
            <c:showLegendKey val="0"/>
            <c:showVal val="1"/>
            <c:showCatName val="0"/>
            <c:showSerName val="0"/>
            <c:showPercent val="0"/>
            <c:showBubbleSize val="0"/>
            <c:showLeaderLines val="0"/>
          </c:dLbls>
          <c:cat>
            <c:strRef>
              <c:f>ChtCCd!$B$1:$G$1</c:f>
              <c:strCache>
                <c:ptCount val="6"/>
                <c:pt idx="0">
                  <c:v>Cluster 1</c:v>
                </c:pt>
                <c:pt idx="1">
                  <c:v>Cluster 2</c:v>
                </c:pt>
                <c:pt idx="2">
                  <c:v>Cluster 3</c:v>
                </c:pt>
                <c:pt idx="3">
                  <c:v>Cluster 4</c:v>
                </c:pt>
                <c:pt idx="4">
                  <c:v>Cluster 5</c:v>
                </c:pt>
                <c:pt idx="5">
                  <c:v>Cluster 6</c:v>
                </c:pt>
              </c:strCache>
            </c:strRef>
          </c:cat>
          <c:val>
            <c:numRef>
              <c:f>ChtCCd!$B$6:$G$6</c:f>
              <c:numCache>
                <c:formatCode>_(* #,##0_);_(* \(#,##0\);_(* "-"??_);_(@_)</c:formatCode>
                <c:ptCount val="6"/>
                <c:pt idx="0">
                  <c:v>197</c:v>
                </c:pt>
                <c:pt idx="1">
                  <c:v>125</c:v>
                </c:pt>
                <c:pt idx="2">
                  <c:v>158</c:v>
                </c:pt>
                <c:pt idx="3">
                  <c:v>52</c:v>
                </c:pt>
                <c:pt idx="4">
                  <c:v>153</c:v>
                </c:pt>
                <c:pt idx="5">
                  <c:v>193</c:v>
                </c:pt>
              </c:numCache>
            </c:numRef>
          </c:val>
        </c:ser>
        <c:dLbls>
          <c:showLegendKey val="0"/>
          <c:showVal val="1"/>
          <c:showCatName val="0"/>
          <c:showSerName val="0"/>
          <c:showPercent val="0"/>
          <c:showBubbleSize val="0"/>
        </c:dLbls>
        <c:gapWidth val="150"/>
        <c:axId val="151621632"/>
        <c:axId val="151623168"/>
      </c:barChart>
      <c:catAx>
        <c:axId val="151621632"/>
        <c:scaling>
          <c:orientation val="minMax"/>
        </c:scaling>
        <c:delete val="0"/>
        <c:axPos val="b"/>
        <c:majorTickMark val="out"/>
        <c:minorTickMark val="none"/>
        <c:tickLblPos val="nextTo"/>
        <c:txPr>
          <a:bodyPr/>
          <a:lstStyle/>
          <a:p>
            <a:pPr>
              <a:defRPr sz="1400" b="1">
                <a:latin typeface="+mj-lt"/>
              </a:defRPr>
            </a:pPr>
            <a:endParaRPr lang="en-US"/>
          </a:p>
        </c:txPr>
        <c:crossAx val="151623168"/>
        <c:crosses val="autoZero"/>
        <c:auto val="1"/>
        <c:lblAlgn val="ctr"/>
        <c:lblOffset val="100"/>
        <c:noMultiLvlLbl val="0"/>
      </c:catAx>
      <c:valAx>
        <c:axId val="151623168"/>
        <c:scaling>
          <c:orientation val="minMax"/>
        </c:scaling>
        <c:delete val="0"/>
        <c:axPos val="l"/>
        <c:majorGridlines>
          <c:spPr>
            <a:ln w="9525">
              <a:solidFill>
                <a:schemeClr val="tx1">
                  <a:lumMod val="50000"/>
                  <a:lumOff val="50000"/>
                </a:schemeClr>
              </a:solidFill>
            </a:ln>
          </c:spPr>
        </c:majorGridlines>
        <c:title>
          <c:overlay val="0"/>
          <c:txPr>
            <a:bodyPr rot="-5400000" vert="horz"/>
            <a:lstStyle/>
            <a:p>
              <a:pPr>
                <a:defRPr sz="1600">
                  <a:latin typeface="+mj-lt"/>
                </a:defRPr>
              </a:pPr>
              <a:endParaRPr lang="en-US"/>
            </a:p>
          </c:txPr>
        </c:title>
        <c:numFmt formatCode="_(* #,##0_);_(* \(#,##0\);_(* &quot;-&quot;??_);_(@_)" sourceLinked="1"/>
        <c:majorTickMark val="out"/>
        <c:minorTickMark val="none"/>
        <c:tickLblPos val="nextTo"/>
        <c:txPr>
          <a:bodyPr/>
          <a:lstStyle/>
          <a:p>
            <a:pPr>
              <a:defRPr sz="1400" b="1">
                <a:latin typeface="+mj-lt"/>
              </a:defRPr>
            </a:pPr>
            <a:endParaRPr lang="en-US"/>
          </a:p>
        </c:txPr>
        <c:crossAx val="151621632"/>
        <c:crosses val="autoZero"/>
        <c:crossBetween val="between"/>
      </c:val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ChtSCd!$A$2</c:f>
              <c:strCache>
                <c:ptCount val="1"/>
                <c:pt idx="0">
                  <c:v>Portion 1</c:v>
                </c:pt>
              </c:strCache>
            </c:strRef>
          </c:tx>
          <c:invertIfNegative val="0"/>
          <c:dLbls>
            <c:txPr>
              <a:bodyPr rot="-5400000" vert="horz"/>
              <a:lstStyle/>
              <a:p>
                <a:pPr>
                  <a:defRPr sz="1200" b="1">
                    <a:solidFill>
                      <a:schemeClr val="bg1"/>
                    </a:solidFill>
                    <a:latin typeface="+mj-lt"/>
                  </a:defRPr>
                </a:pPr>
                <a:endParaRPr lang="en-US"/>
              </a:p>
            </c:txPr>
            <c:showLegendKey val="0"/>
            <c:showVal val="1"/>
            <c:showCatName val="0"/>
            <c:showSerName val="0"/>
            <c:showPercent val="0"/>
            <c:showBubbleSize val="0"/>
            <c:showLeaderLines val="0"/>
          </c:dLbls>
          <c:cat>
            <c:strRef>
              <c:f>ChtSCd!$B$1:$P$1</c:f>
              <c:strCache>
                <c:ptCount val="15"/>
                <c:pt idx="0">
                  <c:v>Col 1</c:v>
                </c:pt>
                <c:pt idx="1">
                  <c:v>Col 2</c:v>
                </c:pt>
                <c:pt idx="2">
                  <c:v>Col 3</c:v>
                </c:pt>
                <c:pt idx="3">
                  <c:v>Col 4</c:v>
                </c:pt>
                <c:pt idx="4">
                  <c:v>Col 5</c:v>
                </c:pt>
                <c:pt idx="5">
                  <c:v>Col 6</c:v>
                </c:pt>
                <c:pt idx="6">
                  <c:v>Col 7</c:v>
                </c:pt>
                <c:pt idx="7">
                  <c:v>Col 8</c:v>
                </c:pt>
                <c:pt idx="8">
                  <c:v>Col 9</c:v>
                </c:pt>
                <c:pt idx="9">
                  <c:v>Col 10</c:v>
                </c:pt>
                <c:pt idx="10">
                  <c:v>Col 11</c:v>
                </c:pt>
                <c:pt idx="11">
                  <c:v>Col 12</c:v>
                </c:pt>
                <c:pt idx="12">
                  <c:v>Col 13</c:v>
                </c:pt>
                <c:pt idx="13">
                  <c:v>Col 14</c:v>
                </c:pt>
                <c:pt idx="14">
                  <c:v>Col 15</c:v>
                </c:pt>
              </c:strCache>
            </c:strRef>
          </c:cat>
          <c:val>
            <c:numRef>
              <c:f>ChtSCd!$B$2:$P$2</c:f>
              <c:numCache>
                <c:formatCode>_(* #,##0_);_(* \(#,##0\);_(* "-"??_);_(@_)</c:formatCode>
                <c:ptCount val="15"/>
                <c:pt idx="0">
                  <c:v>50</c:v>
                </c:pt>
                <c:pt idx="1">
                  <c:v>52.5</c:v>
                </c:pt>
                <c:pt idx="2">
                  <c:v>55.125</c:v>
                </c:pt>
                <c:pt idx="3">
                  <c:v>57.881250000000001</c:v>
                </c:pt>
                <c:pt idx="4">
                  <c:v>60.775312500000005</c:v>
                </c:pt>
                <c:pt idx="5">
                  <c:v>63.814078125000009</c:v>
                </c:pt>
                <c:pt idx="6">
                  <c:v>67.004782031250016</c:v>
                </c:pt>
                <c:pt idx="7">
                  <c:v>70.355021132812524</c:v>
                </c:pt>
                <c:pt idx="8">
                  <c:v>73.872772189453158</c:v>
                </c:pt>
                <c:pt idx="9">
                  <c:v>77.566410798925816</c:v>
                </c:pt>
                <c:pt idx="10">
                  <c:v>81.444731338872103</c:v>
                </c:pt>
                <c:pt idx="11">
                  <c:v>85.516967905815719</c:v>
                </c:pt>
                <c:pt idx="12">
                  <c:v>89.792816301106512</c:v>
                </c:pt>
                <c:pt idx="13">
                  <c:v>94.282457116161837</c:v>
                </c:pt>
                <c:pt idx="14">
                  <c:v>98.996579971969936</c:v>
                </c:pt>
              </c:numCache>
            </c:numRef>
          </c:val>
        </c:ser>
        <c:ser>
          <c:idx val="1"/>
          <c:order val="1"/>
          <c:tx>
            <c:strRef>
              <c:f>ChtSCd!$A$3</c:f>
              <c:strCache>
                <c:ptCount val="1"/>
                <c:pt idx="0">
                  <c:v>Portion 2</c:v>
                </c:pt>
              </c:strCache>
            </c:strRef>
          </c:tx>
          <c:invertIfNegative val="0"/>
          <c:dLbls>
            <c:txPr>
              <a:bodyPr rot="-5400000" vert="horz"/>
              <a:lstStyle/>
              <a:p>
                <a:pPr>
                  <a:defRPr sz="1200" b="1">
                    <a:solidFill>
                      <a:schemeClr val="bg1"/>
                    </a:solidFill>
                    <a:latin typeface="+mj-lt"/>
                  </a:defRPr>
                </a:pPr>
                <a:endParaRPr lang="en-US"/>
              </a:p>
            </c:txPr>
            <c:showLegendKey val="0"/>
            <c:showVal val="1"/>
            <c:showCatName val="0"/>
            <c:showSerName val="0"/>
            <c:showPercent val="0"/>
            <c:showBubbleSize val="0"/>
            <c:showLeaderLines val="0"/>
          </c:dLbls>
          <c:cat>
            <c:strRef>
              <c:f>ChtSCd!$B$1:$P$1</c:f>
              <c:strCache>
                <c:ptCount val="15"/>
                <c:pt idx="0">
                  <c:v>Col 1</c:v>
                </c:pt>
                <c:pt idx="1">
                  <c:v>Col 2</c:v>
                </c:pt>
                <c:pt idx="2">
                  <c:v>Col 3</c:v>
                </c:pt>
                <c:pt idx="3">
                  <c:v>Col 4</c:v>
                </c:pt>
                <c:pt idx="4">
                  <c:v>Col 5</c:v>
                </c:pt>
                <c:pt idx="5">
                  <c:v>Col 6</c:v>
                </c:pt>
                <c:pt idx="6">
                  <c:v>Col 7</c:v>
                </c:pt>
                <c:pt idx="7">
                  <c:v>Col 8</c:v>
                </c:pt>
                <c:pt idx="8">
                  <c:v>Col 9</c:v>
                </c:pt>
                <c:pt idx="9">
                  <c:v>Col 10</c:v>
                </c:pt>
                <c:pt idx="10">
                  <c:v>Col 11</c:v>
                </c:pt>
                <c:pt idx="11">
                  <c:v>Col 12</c:v>
                </c:pt>
                <c:pt idx="12">
                  <c:v>Col 13</c:v>
                </c:pt>
                <c:pt idx="13">
                  <c:v>Col 14</c:v>
                </c:pt>
                <c:pt idx="14">
                  <c:v>Col 15</c:v>
                </c:pt>
              </c:strCache>
            </c:strRef>
          </c:cat>
          <c:val>
            <c:numRef>
              <c:f>ChtSCd!$B$3:$P$3</c:f>
              <c:numCache>
                <c:formatCode>_(* #,##0_);_(* \(#,##0\);_(* "-"??_);_(@_)</c:formatCode>
                <c:ptCount val="15"/>
                <c:pt idx="0">
                  <c:v>60</c:v>
                </c:pt>
                <c:pt idx="1">
                  <c:v>63</c:v>
                </c:pt>
                <c:pt idx="2">
                  <c:v>66.150000000000006</c:v>
                </c:pt>
                <c:pt idx="3">
                  <c:v>69.45750000000001</c:v>
                </c:pt>
                <c:pt idx="4">
                  <c:v>72.930375000000012</c:v>
                </c:pt>
                <c:pt idx="5">
                  <c:v>76.576893750000011</c:v>
                </c:pt>
                <c:pt idx="6">
                  <c:v>80.40573843750002</c:v>
                </c:pt>
                <c:pt idx="7">
                  <c:v>84.426025359375018</c:v>
                </c:pt>
                <c:pt idx="8">
                  <c:v>88.647326627343773</c:v>
                </c:pt>
                <c:pt idx="9">
                  <c:v>93.079692958710964</c:v>
                </c:pt>
                <c:pt idx="10">
                  <c:v>97.733677606646523</c:v>
                </c:pt>
                <c:pt idx="11">
                  <c:v>102.62036148697885</c:v>
                </c:pt>
                <c:pt idx="12">
                  <c:v>107.75137956132779</c:v>
                </c:pt>
                <c:pt idx="13">
                  <c:v>113.13894853939419</c:v>
                </c:pt>
                <c:pt idx="14">
                  <c:v>118.7958959663639</c:v>
                </c:pt>
              </c:numCache>
            </c:numRef>
          </c:val>
        </c:ser>
        <c:ser>
          <c:idx val="2"/>
          <c:order val="2"/>
          <c:tx>
            <c:strRef>
              <c:f>ChtSCd!$A$4</c:f>
              <c:strCache>
                <c:ptCount val="1"/>
                <c:pt idx="0">
                  <c:v>Portion 3</c:v>
                </c:pt>
              </c:strCache>
            </c:strRef>
          </c:tx>
          <c:invertIfNegative val="0"/>
          <c:dLbls>
            <c:txPr>
              <a:bodyPr rot="-5400000" vert="horz"/>
              <a:lstStyle/>
              <a:p>
                <a:pPr>
                  <a:defRPr sz="1200" b="1">
                    <a:solidFill>
                      <a:schemeClr val="bg1"/>
                    </a:solidFill>
                    <a:latin typeface="+mj-lt"/>
                  </a:defRPr>
                </a:pPr>
                <a:endParaRPr lang="en-US"/>
              </a:p>
            </c:txPr>
            <c:showLegendKey val="0"/>
            <c:showVal val="1"/>
            <c:showCatName val="0"/>
            <c:showSerName val="0"/>
            <c:showPercent val="0"/>
            <c:showBubbleSize val="0"/>
            <c:showLeaderLines val="0"/>
          </c:dLbls>
          <c:cat>
            <c:strRef>
              <c:f>ChtSCd!$B$1:$P$1</c:f>
              <c:strCache>
                <c:ptCount val="15"/>
                <c:pt idx="0">
                  <c:v>Col 1</c:v>
                </c:pt>
                <c:pt idx="1">
                  <c:v>Col 2</c:v>
                </c:pt>
                <c:pt idx="2">
                  <c:v>Col 3</c:v>
                </c:pt>
                <c:pt idx="3">
                  <c:v>Col 4</c:v>
                </c:pt>
                <c:pt idx="4">
                  <c:v>Col 5</c:v>
                </c:pt>
                <c:pt idx="5">
                  <c:v>Col 6</c:v>
                </c:pt>
                <c:pt idx="6">
                  <c:v>Col 7</c:v>
                </c:pt>
                <c:pt idx="7">
                  <c:v>Col 8</c:v>
                </c:pt>
                <c:pt idx="8">
                  <c:v>Col 9</c:v>
                </c:pt>
                <c:pt idx="9">
                  <c:v>Col 10</c:v>
                </c:pt>
                <c:pt idx="10">
                  <c:v>Col 11</c:v>
                </c:pt>
                <c:pt idx="11">
                  <c:v>Col 12</c:v>
                </c:pt>
                <c:pt idx="12">
                  <c:v>Col 13</c:v>
                </c:pt>
                <c:pt idx="13">
                  <c:v>Col 14</c:v>
                </c:pt>
                <c:pt idx="14">
                  <c:v>Col 15</c:v>
                </c:pt>
              </c:strCache>
            </c:strRef>
          </c:cat>
          <c:val>
            <c:numRef>
              <c:f>ChtSCd!$B$4:$P$4</c:f>
              <c:numCache>
                <c:formatCode>_(* #,##0_);_(* \(#,##0\);_(* "-"??_);_(@_)</c:formatCode>
                <c:ptCount val="15"/>
                <c:pt idx="0">
                  <c:v>72</c:v>
                </c:pt>
                <c:pt idx="1">
                  <c:v>75.600000000000009</c:v>
                </c:pt>
                <c:pt idx="2">
                  <c:v>79.38000000000001</c:v>
                </c:pt>
                <c:pt idx="3">
                  <c:v>83.349000000000018</c:v>
                </c:pt>
                <c:pt idx="4">
                  <c:v>87.51645000000002</c:v>
                </c:pt>
                <c:pt idx="5">
                  <c:v>91.892272500000018</c:v>
                </c:pt>
                <c:pt idx="6">
                  <c:v>96.486886125000026</c:v>
                </c:pt>
                <c:pt idx="7">
                  <c:v>101.31123043125004</c:v>
                </c:pt>
                <c:pt idx="8">
                  <c:v>106.37679195281254</c:v>
                </c:pt>
                <c:pt idx="9">
                  <c:v>111.69563155045317</c:v>
                </c:pt>
                <c:pt idx="10">
                  <c:v>117.28041312797583</c:v>
                </c:pt>
                <c:pt idx="11">
                  <c:v>123.14443378437463</c:v>
                </c:pt>
                <c:pt idx="12">
                  <c:v>129.30165547359337</c:v>
                </c:pt>
                <c:pt idx="13">
                  <c:v>135.76673824727305</c:v>
                </c:pt>
                <c:pt idx="14">
                  <c:v>142.55507515963671</c:v>
                </c:pt>
              </c:numCache>
            </c:numRef>
          </c:val>
        </c:ser>
        <c:ser>
          <c:idx val="3"/>
          <c:order val="3"/>
          <c:tx>
            <c:strRef>
              <c:f>ChtSCd!$A$5</c:f>
              <c:strCache>
                <c:ptCount val="1"/>
                <c:pt idx="0">
                  <c:v>Portion 4</c:v>
                </c:pt>
              </c:strCache>
            </c:strRef>
          </c:tx>
          <c:invertIfNegative val="0"/>
          <c:dLbls>
            <c:txPr>
              <a:bodyPr rot="-5400000" vert="horz"/>
              <a:lstStyle/>
              <a:p>
                <a:pPr>
                  <a:defRPr sz="1200" b="1">
                    <a:solidFill>
                      <a:schemeClr val="bg1"/>
                    </a:solidFill>
                    <a:latin typeface="+mj-lt"/>
                  </a:defRPr>
                </a:pPr>
                <a:endParaRPr lang="en-US"/>
              </a:p>
            </c:txPr>
            <c:showLegendKey val="0"/>
            <c:showVal val="1"/>
            <c:showCatName val="0"/>
            <c:showSerName val="0"/>
            <c:showPercent val="0"/>
            <c:showBubbleSize val="0"/>
            <c:showLeaderLines val="0"/>
          </c:dLbls>
          <c:cat>
            <c:strRef>
              <c:f>ChtSCd!$B$1:$P$1</c:f>
              <c:strCache>
                <c:ptCount val="15"/>
                <c:pt idx="0">
                  <c:v>Col 1</c:v>
                </c:pt>
                <c:pt idx="1">
                  <c:v>Col 2</c:v>
                </c:pt>
                <c:pt idx="2">
                  <c:v>Col 3</c:v>
                </c:pt>
                <c:pt idx="3">
                  <c:v>Col 4</c:v>
                </c:pt>
                <c:pt idx="4">
                  <c:v>Col 5</c:v>
                </c:pt>
                <c:pt idx="5">
                  <c:v>Col 6</c:v>
                </c:pt>
                <c:pt idx="6">
                  <c:v>Col 7</c:v>
                </c:pt>
                <c:pt idx="7">
                  <c:v>Col 8</c:v>
                </c:pt>
                <c:pt idx="8">
                  <c:v>Col 9</c:v>
                </c:pt>
                <c:pt idx="9">
                  <c:v>Col 10</c:v>
                </c:pt>
                <c:pt idx="10">
                  <c:v>Col 11</c:v>
                </c:pt>
                <c:pt idx="11">
                  <c:v>Col 12</c:v>
                </c:pt>
                <c:pt idx="12">
                  <c:v>Col 13</c:v>
                </c:pt>
                <c:pt idx="13">
                  <c:v>Col 14</c:v>
                </c:pt>
                <c:pt idx="14">
                  <c:v>Col 15</c:v>
                </c:pt>
              </c:strCache>
            </c:strRef>
          </c:cat>
          <c:val>
            <c:numRef>
              <c:f>ChtSCd!$B$5:$P$5</c:f>
              <c:numCache>
                <c:formatCode>_(* #,##0_);_(* \(#,##0\);_(* "-"??_);_(@_)</c:formatCode>
                <c:ptCount val="15"/>
                <c:pt idx="0">
                  <c:v>86.399999999999991</c:v>
                </c:pt>
                <c:pt idx="1">
                  <c:v>90.72</c:v>
                </c:pt>
                <c:pt idx="2">
                  <c:v>95.256</c:v>
                </c:pt>
                <c:pt idx="3">
                  <c:v>100.0188</c:v>
                </c:pt>
                <c:pt idx="4">
                  <c:v>105.01974</c:v>
                </c:pt>
                <c:pt idx="5">
                  <c:v>110.27072700000001</c:v>
                </c:pt>
                <c:pt idx="6">
                  <c:v>115.78426335000002</c:v>
                </c:pt>
                <c:pt idx="7">
                  <c:v>121.57347651750003</c:v>
                </c:pt>
                <c:pt idx="8">
                  <c:v>127.65215034337503</c:v>
                </c:pt>
                <c:pt idx="9">
                  <c:v>134.03475786054378</c:v>
                </c:pt>
                <c:pt idx="10">
                  <c:v>140.73649575357098</c:v>
                </c:pt>
                <c:pt idx="11">
                  <c:v>147.77332054124955</c:v>
                </c:pt>
                <c:pt idx="12">
                  <c:v>155.16198656831202</c:v>
                </c:pt>
                <c:pt idx="13">
                  <c:v>162.92008589672761</c:v>
                </c:pt>
                <c:pt idx="14">
                  <c:v>171.066090191564</c:v>
                </c:pt>
              </c:numCache>
            </c:numRef>
          </c:val>
        </c:ser>
        <c:ser>
          <c:idx val="4"/>
          <c:order val="4"/>
          <c:tx>
            <c:strRef>
              <c:f>ChtSCd!$A$6</c:f>
              <c:strCache>
                <c:ptCount val="1"/>
                <c:pt idx="0">
                  <c:v>Portion 5</c:v>
                </c:pt>
              </c:strCache>
            </c:strRef>
          </c:tx>
          <c:invertIfNegative val="0"/>
          <c:dLbls>
            <c:txPr>
              <a:bodyPr rot="-5400000" vert="horz"/>
              <a:lstStyle/>
              <a:p>
                <a:pPr>
                  <a:defRPr sz="1200" b="1">
                    <a:solidFill>
                      <a:schemeClr val="bg1"/>
                    </a:solidFill>
                    <a:latin typeface="+mj-lt"/>
                  </a:defRPr>
                </a:pPr>
                <a:endParaRPr lang="en-US"/>
              </a:p>
            </c:txPr>
            <c:showLegendKey val="0"/>
            <c:showVal val="1"/>
            <c:showCatName val="0"/>
            <c:showSerName val="0"/>
            <c:showPercent val="0"/>
            <c:showBubbleSize val="0"/>
            <c:showLeaderLines val="0"/>
          </c:dLbls>
          <c:cat>
            <c:strRef>
              <c:f>ChtSCd!$B$1:$P$1</c:f>
              <c:strCache>
                <c:ptCount val="15"/>
                <c:pt idx="0">
                  <c:v>Col 1</c:v>
                </c:pt>
                <c:pt idx="1">
                  <c:v>Col 2</c:v>
                </c:pt>
                <c:pt idx="2">
                  <c:v>Col 3</c:v>
                </c:pt>
                <c:pt idx="3">
                  <c:v>Col 4</c:v>
                </c:pt>
                <c:pt idx="4">
                  <c:v>Col 5</c:v>
                </c:pt>
                <c:pt idx="5">
                  <c:v>Col 6</c:v>
                </c:pt>
                <c:pt idx="6">
                  <c:v>Col 7</c:v>
                </c:pt>
                <c:pt idx="7">
                  <c:v>Col 8</c:v>
                </c:pt>
                <c:pt idx="8">
                  <c:v>Col 9</c:v>
                </c:pt>
                <c:pt idx="9">
                  <c:v>Col 10</c:v>
                </c:pt>
                <c:pt idx="10">
                  <c:v>Col 11</c:v>
                </c:pt>
                <c:pt idx="11">
                  <c:v>Col 12</c:v>
                </c:pt>
                <c:pt idx="12">
                  <c:v>Col 13</c:v>
                </c:pt>
                <c:pt idx="13">
                  <c:v>Col 14</c:v>
                </c:pt>
                <c:pt idx="14">
                  <c:v>Col 15</c:v>
                </c:pt>
              </c:strCache>
            </c:strRef>
          </c:cat>
          <c:val>
            <c:numRef>
              <c:f>ChtSCd!$B$6:$P$6</c:f>
              <c:numCache>
                <c:formatCode>_(* #,##0_);_(* \(#,##0\);_(* "-"??_);_(@_)</c:formatCode>
                <c:ptCount val="15"/>
                <c:pt idx="0">
                  <c:v>103.67999999999999</c:v>
                </c:pt>
                <c:pt idx="1">
                  <c:v>108.86399999999999</c:v>
                </c:pt>
                <c:pt idx="2">
                  <c:v>114.30719999999999</c:v>
                </c:pt>
                <c:pt idx="3">
                  <c:v>120.02256</c:v>
                </c:pt>
                <c:pt idx="4">
                  <c:v>126.02368800000001</c:v>
                </c:pt>
                <c:pt idx="5">
                  <c:v>132.3248724</c:v>
                </c:pt>
                <c:pt idx="6">
                  <c:v>138.94111602000001</c:v>
                </c:pt>
                <c:pt idx="7">
                  <c:v>145.88817182100001</c:v>
                </c:pt>
                <c:pt idx="8">
                  <c:v>153.18258041205002</c:v>
                </c:pt>
                <c:pt idx="9">
                  <c:v>160.84170943265252</c:v>
                </c:pt>
                <c:pt idx="10">
                  <c:v>168.88379490428517</c:v>
                </c:pt>
                <c:pt idx="11">
                  <c:v>177.32798464949943</c:v>
                </c:pt>
                <c:pt idx="12">
                  <c:v>186.1943838819744</c:v>
                </c:pt>
                <c:pt idx="13">
                  <c:v>195.50410307607314</c:v>
                </c:pt>
                <c:pt idx="14">
                  <c:v>205.27930822987679</c:v>
                </c:pt>
              </c:numCache>
            </c:numRef>
          </c:val>
        </c:ser>
        <c:dLbls>
          <c:showLegendKey val="0"/>
          <c:showVal val="1"/>
          <c:showCatName val="0"/>
          <c:showSerName val="0"/>
          <c:showPercent val="0"/>
          <c:showBubbleSize val="0"/>
        </c:dLbls>
        <c:gapWidth val="75"/>
        <c:overlap val="100"/>
        <c:axId val="151367680"/>
        <c:axId val="151369216"/>
      </c:barChart>
      <c:catAx>
        <c:axId val="151367680"/>
        <c:scaling>
          <c:orientation val="minMax"/>
        </c:scaling>
        <c:delete val="0"/>
        <c:axPos val="b"/>
        <c:majorTickMark val="out"/>
        <c:minorTickMark val="none"/>
        <c:tickLblPos val="nextTo"/>
        <c:txPr>
          <a:bodyPr rot="-5400000" vert="horz"/>
          <a:lstStyle/>
          <a:p>
            <a:pPr>
              <a:defRPr sz="1200" b="1">
                <a:latin typeface="+mj-lt"/>
              </a:defRPr>
            </a:pPr>
            <a:endParaRPr lang="en-US"/>
          </a:p>
        </c:txPr>
        <c:crossAx val="151369216"/>
        <c:crosses val="autoZero"/>
        <c:auto val="1"/>
        <c:lblAlgn val="ctr"/>
        <c:lblOffset val="100"/>
        <c:noMultiLvlLbl val="0"/>
      </c:catAx>
      <c:valAx>
        <c:axId val="151369216"/>
        <c:scaling>
          <c:orientation val="minMax"/>
        </c:scaling>
        <c:delete val="0"/>
        <c:axPos val="l"/>
        <c:majorGridlines/>
        <c:title>
          <c:overlay val="0"/>
          <c:txPr>
            <a:bodyPr rot="-5400000" vert="horz"/>
            <a:lstStyle/>
            <a:p>
              <a:pPr>
                <a:defRPr sz="1600" b="1">
                  <a:latin typeface="+mj-lt"/>
                </a:defRPr>
              </a:pPr>
              <a:endParaRPr lang="en-US"/>
            </a:p>
          </c:txPr>
        </c:title>
        <c:numFmt formatCode="_(* #,##0_);_(* \(#,##0\);_(* &quot;-&quot;??_);_(@_)" sourceLinked="1"/>
        <c:majorTickMark val="out"/>
        <c:minorTickMark val="none"/>
        <c:tickLblPos val="nextTo"/>
        <c:txPr>
          <a:bodyPr/>
          <a:lstStyle/>
          <a:p>
            <a:pPr>
              <a:defRPr sz="1400" b="1">
                <a:latin typeface="+mj-lt"/>
              </a:defRPr>
            </a:pPr>
            <a:endParaRPr lang="en-US"/>
          </a:p>
        </c:txPr>
        <c:crossAx val="151367680"/>
        <c:crosses val="autoZero"/>
        <c:crossBetween val="between"/>
      </c:val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txPr>
              <a:bodyPr/>
              <a:lstStyle/>
              <a:p>
                <a:pPr>
                  <a:defRPr sz="1400" b="1">
                    <a:latin typeface="+mj-lt"/>
                  </a:defRPr>
                </a:pPr>
                <a:endParaRPr lang="en-US"/>
              </a:p>
            </c:txPr>
            <c:dLblPos val="outEnd"/>
            <c:showLegendKey val="0"/>
            <c:showVal val="1"/>
            <c:showCatName val="0"/>
            <c:showSerName val="0"/>
            <c:showPercent val="0"/>
            <c:showBubbleSize val="0"/>
            <c:showLeaderLines val="1"/>
          </c:dLbls>
          <c:cat>
            <c:strRef>
              <c:f>ChtPd!$A$1:$A$14</c:f>
              <c:strCache>
                <c:ptCount val="14"/>
                <c:pt idx="0">
                  <c:v>Apple</c:v>
                </c:pt>
                <c:pt idx="1">
                  <c:v>Blueberry</c:v>
                </c:pt>
                <c:pt idx="2">
                  <c:v>Boysenberry</c:v>
                </c:pt>
                <c:pt idx="3">
                  <c:v>Cherry</c:v>
                </c:pt>
                <c:pt idx="4">
                  <c:v>Key Lime</c:v>
                </c:pt>
                <c:pt idx="5">
                  <c:v>Lemon Merangue</c:v>
                </c:pt>
                <c:pt idx="6">
                  <c:v>Marionberry</c:v>
                </c:pt>
                <c:pt idx="7">
                  <c:v>Mincemeat</c:v>
                </c:pt>
                <c:pt idx="8">
                  <c:v>Peach</c:v>
                </c:pt>
                <c:pt idx="9">
                  <c:v>Pecan</c:v>
                </c:pt>
                <c:pt idx="10">
                  <c:v>Pumpkin</c:v>
                </c:pt>
                <c:pt idx="11">
                  <c:v>Rhubarb</c:v>
                </c:pt>
                <c:pt idx="12">
                  <c:v>Strawberry</c:v>
                </c:pt>
                <c:pt idx="13">
                  <c:v>Other</c:v>
                </c:pt>
              </c:strCache>
            </c:strRef>
          </c:cat>
          <c:val>
            <c:numRef>
              <c:f>ChtPd!$B$1:$B$14</c:f>
              <c:numCache>
                <c:formatCode>0</c:formatCode>
                <c:ptCount val="14"/>
                <c:pt idx="0">
                  <c:v>50</c:v>
                </c:pt>
                <c:pt idx="1">
                  <c:v>40</c:v>
                </c:pt>
                <c:pt idx="2">
                  <c:v>32</c:v>
                </c:pt>
                <c:pt idx="3">
                  <c:v>25.6</c:v>
                </c:pt>
                <c:pt idx="4">
                  <c:v>20.480000000000004</c:v>
                </c:pt>
                <c:pt idx="5">
                  <c:v>16.384000000000004</c:v>
                </c:pt>
                <c:pt idx="6">
                  <c:v>13.107200000000004</c:v>
                </c:pt>
                <c:pt idx="7">
                  <c:v>10.485760000000004</c:v>
                </c:pt>
                <c:pt idx="8">
                  <c:v>8.3886080000000032</c:v>
                </c:pt>
                <c:pt idx="9">
                  <c:v>6.7108864000000032</c:v>
                </c:pt>
                <c:pt idx="10">
                  <c:v>5.3687091200000028</c:v>
                </c:pt>
                <c:pt idx="11">
                  <c:v>4.294967296000002</c:v>
                </c:pt>
                <c:pt idx="12">
                  <c:v>3.4359738368000019</c:v>
                </c:pt>
                <c:pt idx="13">
                  <c:v>12</c:v>
                </c:pt>
              </c:numCache>
            </c:numRef>
          </c:val>
        </c:ser>
        <c:dLbls>
          <c:showLegendKey val="0"/>
          <c:showVal val="1"/>
          <c:showCatName val="0"/>
          <c:showSerName val="0"/>
          <c:showPercent val="0"/>
          <c:showBubbleSize val="0"/>
          <c:showLeaderLines val="1"/>
        </c:dLbls>
        <c:firstSliceAng val="0"/>
      </c:pieChart>
    </c:plotArea>
    <c:legend>
      <c:legendPos val="r"/>
      <c:overlay val="0"/>
      <c:txPr>
        <a:bodyPr/>
        <a:lstStyle/>
        <a:p>
          <a:pPr>
            <a:defRPr sz="1400" b="1">
              <a:latin typeface="+mj-lt"/>
            </a:defRPr>
          </a:pPr>
          <a:endParaRPr lang="en-US"/>
        </a:p>
      </c:txPr>
    </c:legend>
    <c:plotVisOnly val="1"/>
    <c:dispBlanksAs val="zero"/>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'3D'!$B$2</c:f>
              <c:strCache>
                <c:ptCount val="1"/>
                <c:pt idx="0">
                  <c:v>Median</c:v>
                </c:pt>
              </c:strCache>
            </c:strRef>
          </c:tx>
          <c:spPr>
            <a:ln>
              <a:noFill/>
            </a:ln>
          </c:spPr>
          <c:marker>
            <c:symbol val="dash"/>
            <c:size val="10"/>
            <c:spPr>
              <a:solidFill>
                <a:schemeClr val="tx1"/>
              </a:solidFill>
              <a:ln>
                <a:noFill/>
              </a:ln>
            </c:spPr>
          </c:marker>
          <c:cat>
            <c:strRef>
              <c:f>'3D'!$A$3:$A$8</c:f>
              <c:strCache>
                <c:ptCount val="6"/>
                <c:pt idx="0">
                  <c:v>SCE/SCG Pre to Pre-QC House Leakage (n=15)</c:v>
                </c:pt>
                <c:pt idx="1">
                  <c:v>SCE/SCG Pre to Post House Leakage (n=15)</c:v>
                </c:pt>
                <c:pt idx="2">
                  <c:v>PG&amp;E Pre to Post House Leakage (n=44)</c:v>
                </c:pt>
                <c:pt idx="3">
                  <c:v>SCE/SCG Pre to Pre-QC Duct Leakage (n=13)</c:v>
                </c:pt>
                <c:pt idx="4">
                  <c:v>SCE/SCG Pre to Post Duct Leakage (n=12)</c:v>
                </c:pt>
                <c:pt idx="5">
                  <c:v>PG&amp;E Pre to Post Duct Leakage (n=36)</c:v>
                </c:pt>
              </c:strCache>
            </c:strRef>
          </c:cat>
          <c:val>
            <c:numRef>
              <c:f>'3D'!$B$3:$B$8</c:f>
              <c:numCache>
                <c:formatCode>0%</c:formatCode>
                <c:ptCount val="6"/>
                <c:pt idx="0">
                  <c:v>0</c:v>
                </c:pt>
                <c:pt idx="1">
                  <c:v>-0.38983050847457629</c:v>
                </c:pt>
                <c:pt idx="2">
                  <c:v>-0.19032418001525553</c:v>
                </c:pt>
                <c:pt idx="3">
                  <c:v>0</c:v>
                </c:pt>
                <c:pt idx="4">
                  <c:v>-0.75</c:v>
                </c:pt>
                <c:pt idx="5">
                  <c:v>-0.66768916155419222</c:v>
                </c:pt>
              </c:numCache>
            </c:numRef>
          </c:val>
          <c:smooth val="0"/>
        </c:ser>
        <c:dLbls>
          <c:showLegendKey val="0"/>
          <c:showVal val="0"/>
          <c:showCatName val="0"/>
          <c:showSerName val="0"/>
          <c:showPercent val="0"/>
          <c:showBubbleSize val="0"/>
        </c:dLbls>
        <c:marker val="1"/>
        <c:smooth val="0"/>
        <c:axId val="137033984"/>
        <c:axId val="136904704"/>
      </c:lineChart>
      <c:stockChart>
        <c:ser>
          <c:idx val="1"/>
          <c:order val="1"/>
          <c:tx>
            <c:strRef>
              <c:f>'3D'!$C$2</c:f>
              <c:strCache>
                <c:ptCount val="1"/>
              </c:strCache>
            </c:strRef>
          </c:tx>
          <c:spPr>
            <a:ln w="28575">
              <a:noFill/>
            </a:ln>
          </c:spPr>
          <c:marker>
            <c:symbol val="none"/>
          </c:marker>
          <c:cat>
            <c:strRef>
              <c:f>'3D'!$A$3:$A$8</c:f>
              <c:strCache>
                <c:ptCount val="6"/>
                <c:pt idx="0">
                  <c:v>SCE/SCG Pre to Pre-QC House Leakage (n=15)</c:v>
                </c:pt>
                <c:pt idx="1">
                  <c:v>SCE/SCG Pre to Post House Leakage (n=15)</c:v>
                </c:pt>
                <c:pt idx="2">
                  <c:v>PG&amp;E Pre to Post House Leakage (n=44)</c:v>
                </c:pt>
                <c:pt idx="3">
                  <c:v>SCE/SCG Pre to Pre-QC Duct Leakage (n=13)</c:v>
                </c:pt>
                <c:pt idx="4">
                  <c:v>SCE/SCG Pre to Post Duct Leakage (n=12)</c:v>
                </c:pt>
                <c:pt idx="5">
                  <c:v>PG&amp;E Pre to Post Duct Leakage (n=36)</c:v>
                </c:pt>
              </c:strCache>
            </c:strRef>
          </c:cat>
          <c:val>
            <c:numRef>
              <c:f>'3D'!$C$3:$C$8</c:f>
              <c:numCache>
                <c:formatCode>0%</c:formatCode>
                <c:ptCount val="6"/>
                <c:pt idx="0">
                  <c:v>-4.9644023643600488E-2</c:v>
                </c:pt>
                <c:pt idx="1">
                  <c:v>-0.45795146977525969</c:v>
                </c:pt>
                <c:pt idx="2">
                  <c:v>-0.3748359319483342</c:v>
                </c:pt>
                <c:pt idx="3">
                  <c:v>0</c:v>
                </c:pt>
                <c:pt idx="4">
                  <c:v>-0.88497899159663873</c:v>
                </c:pt>
                <c:pt idx="5">
                  <c:v>-0.80019300598645693</c:v>
                </c:pt>
              </c:numCache>
            </c:numRef>
          </c:val>
          <c:smooth val="0"/>
        </c:ser>
        <c:ser>
          <c:idx val="2"/>
          <c:order val="2"/>
          <c:tx>
            <c:strRef>
              <c:f>'3D'!$E$2</c:f>
              <c:strCache>
                <c:ptCount val="1"/>
              </c:strCache>
            </c:strRef>
          </c:tx>
          <c:spPr>
            <a:ln w="28575">
              <a:noFill/>
            </a:ln>
          </c:spPr>
          <c:marker>
            <c:symbol val="none"/>
          </c:marker>
          <c:cat>
            <c:strRef>
              <c:f>'3D'!$A$3:$A$8</c:f>
              <c:strCache>
                <c:ptCount val="6"/>
                <c:pt idx="0">
                  <c:v>SCE/SCG Pre to Pre-QC House Leakage (n=15)</c:v>
                </c:pt>
                <c:pt idx="1">
                  <c:v>SCE/SCG Pre to Post House Leakage (n=15)</c:v>
                </c:pt>
                <c:pt idx="2">
                  <c:v>PG&amp;E Pre to Post House Leakage (n=44)</c:v>
                </c:pt>
                <c:pt idx="3">
                  <c:v>SCE/SCG Pre to Pre-QC Duct Leakage (n=13)</c:v>
                </c:pt>
                <c:pt idx="4">
                  <c:v>SCE/SCG Pre to Post Duct Leakage (n=12)</c:v>
                </c:pt>
                <c:pt idx="5">
                  <c:v>PG&amp;E Pre to Post Duct Leakage (n=36)</c:v>
                </c:pt>
              </c:strCache>
            </c:strRef>
          </c:cat>
          <c:val>
            <c:numRef>
              <c:f>'3D'!$E$3:$E$8</c:f>
              <c:numCache>
                <c:formatCode>0%</c:formatCode>
                <c:ptCount val="6"/>
                <c:pt idx="0">
                  <c:v>1.9285714285714286</c:v>
                </c:pt>
                <c:pt idx="1">
                  <c:v>9.712460063897764E-2</c:v>
                </c:pt>
                <c:pt idx="2">
                  <c:v>0.13088235294117648</c:v>
                </c:pt>
                <c:pt idx="3">
                  <c:v>3</c:v>
                </c:pt>
                <c:pt idx="4">
                  <c:v>-0.21428571428571436</c:v>
                </c:pt>
                <c:pt idx="5">
                  <c:v>0</c:v>
                </c:pt>
              </c:numCache>
            </c:numRef>
          </c:val>
          <c:smooth val="0"/>
        </c:ser>
        <c:ser>
          <c:idx val="3"/>
          <c:order val="3"/>
          <c:tx>
            <c:strRef>
              <c:f>'3D'!$D$2</c:f>
              <c:strCache>
                <c:ptCount val="1"/>
              </c:strCache>
            </c:strRef>
          </c:tx>
          <c:spPr>
            <a:ln w="28575">
              <a:noFill/>
            </a:ln>
          </c:spPr>
          <c:marker>
            <c:symbol val="none"/>
          </c:marker>
          <c:cat>
            <c:strRef>
              <c:f>'3D'!$A$3:$A$8</c:f>
              <c:strCache>
                <c:ptCount val="6"/>
                <c:pt idx="0">
                  <c:v>SCE/SCG Pre to Pre-QC House Leakage (n=15)</c:v>
                </c:pt>
                <c:pt idx="1">
                  <c:v>SCE/SCG Pre to Post House Leakage (n=15)</c:v>
                </c:pt>
                <c:pt idx="2">
                  <c:v>PG&amp;E Pre to Post House Leakage (n=44)</c:v>
                </c:pt>
                <c:pt idx="3">
                  <c:v>SCE/SCG Pre to Pre-QC Duct Leakage (n=13)</c:v>
                </c:pt>
                <c:pt idx="4">
                  <c:v>SCE/SCG Pre to Post Duct Leakage (n=12)</c:v>
                </c:pt>
                <c:pt idx="5">
                  <c:v>PG&amp;E Pre to Post Duct Leakage (n=36)</c:v>
                </c:pt>
              </c:strCache>
            </c:strRef>
          </c:cat>
          <c:val>
            <c:numRef>
              <c:f>'3D'!$D$3:$D$8</c:f>
              <c:numCache>
                <c:formatCode>0%</c:formatCode>
                <c:ptCount val="6"/>
                <c:pt idx="0">
                  <c:v>-0.44200626959247646</c:v>
                </c:pt>
                <c:pt idx="1">
                  <c:v>-0.52287822878228785</c:v>
                </c:pt>
                <c:pt idx="2">
                  <c:v>-0.58255813953488367</c:v>
                </c:pt>
                <c:pt idx="3">
                  <c:v>-0.17241379310344826</c:v>
                </c:pt>
                <c:pt idx="4">
                  <c:v>-0.92857142857142849</c:v>
                </c:pt>
                <c:pt idx="5">
                  <c:v>-0.91715210355987054</c:v>
                </c:pt>
              </c:numCache>
            </c:numRef>
          </c:val>
          <c:smooth val="0"/>
        </c:ser>
        <c:ser>
          <c:idx val="5"/>
          <c:order val="4"/>
          <c:tx>
            <c:strRef>
              <c:f>'3D'!$G$2</c:f>
              <c:strCache>
                <c:ptCount val="1"/>
                <c:pt idx="0">
                  <c:v>Mean</c:v>
                </c:pt>
              </c:strCache>
            </c:strRef>
          </c:tx>
          <c:spPr>
            <a:ln w="28575">
              <a:noFill/>
            </a:ln>
          </c:spPr>
          <c:marker>
            <c:symbol val="circle"/>
            <c:size val="6"/>
            <c:spPr>
              <a:noFill/>
              <a:ln>
                <a:solidFill>
                  <a:schemeClr val="tx1">
                    <a:shade val="95000"/>
                    <a:satMod val="105000"/>
                  </a:schemeClr>
                </a:solidFill>
              </a:ln>
            </c:spPr>
          </c:marker>
          <c:val>
            <c:numRef>
              <c:f>'3D'!$G$3:$G$8</c:f>
              <c:numCache>
                <c:formatCode>0%</c:formatCode>
                <c:ptCount val="6"/>
                <c:pt idx="0">
                  <c:v>0.24712804718983816</c:v>
                </c:pt>
                <c:pt idx="1">
                  <c:v>-0.29908482934177055</c:v>
                </c:pt>
                <c:pt idx="2">
                  <c:v>-0.23331962604078918</c:v>
                </c:pt>
                <c:pt idx="3">
                  <c:v>0.51416683384229034</c:v>
                </c:pt>
                <c:pt idx="4">
                  <c:v>-0.69753734827264247</c:v>
                </c:pt>
                <c:pt idx="5">
                  <c:v>-0.63466758688017366</c:v>
                </c:pt>
              </c:numCache>
            </c:numRef>
          </c:val>
          <c:smooth val="0"/>
        </c:ser>
        <c:ser>
          <c:idx val="4"/>
          <c:order val="5"/>
          <c:tx>
            <c:strRef>
              <c:f>'3D'!$F$2</c:f>
              <c:strCache>
                <c:ptCount val="1"/>
              </c:strCache>
            </c:strRef>
          </c:tx>
          <c:spPr>
            <a:ln w="28575">
              <a:noFill/>
            </a:ln>
          </c:spPr>
          <c:marker>
            <c:symbol val="none"/>
          </c:marker>
          <c:cat>
            <c:strRef>
              <c:f>'3D'!$A$3:$A$8</c:f>
              <c:strCache>
                <c:ptCount val="6"/>
                <c:pt idx="0">
                  <c:v>SCE/SCG Pre to Pre-QC House Leakage (n=15)</c:v>
                </c:pt>
                <c:pt idx="1">
                  <c:v>SCE/SCG Pre to Post House Leakage (n=15)</c:v>
                </c:pt>
                <c:pt idx="2">
                  <c:v>PG&amp;E Pre to Post House Leakage (n=44)</c:v>
                </c:pt>
                <c:pt idx="3">
                  <c:v>SCE/SCG Pre to Pre-QC Duct Leakage (n=13)</c:v>
                </c:pt>
                <c:pt idx="4">
                  <c:v>SCE/SCG Pre to Post Duct Leakage (n=12)</c:v>
                </c:pt>
                <c:pt idx="5">
                  <c:v>PG&amp;E Pre to Post Duct Leakage (n=36)</c:v>
                </c:pt>
              </c:strCache>
            </c:strRef>
          </c:cat>
          <c:val>
            <c:numRef>
              <c:f>'3D'!$F$3:$F$8</c:f>
              <c:numCache>
                <c:formatCode>0%</c:formatCode>
                <c:ptCount val="6"/>
                <c:pt idx="0">
                  <c:v>0.26487199477825724</c:v>
                </c:pt>
                <c:pt idx="1">
                  <c:v>-0.16836451404286767</c:v>
                </c:pt>
                <c:pt idx="2">
                  <c:v>-9.7656641604010025E-2</c:v>
                </c:pt>
                <c:pt idx="3">
                  <c:v>0.6470588235294118</c:v>
                </c:pt>
                <c:pt idx="4">
                  <c:v>-0.60714285714285721</c:v>
                </c:pt>
                <c:pt idx="5">
                  <c:v>-0.53578058457394528</c:v>
                </c:pt>
              </c:numCache>
            </c:numRef>
          </c:val>
          <c:smooth val="0"/>
        </c:ser>
        <c:dLbls>
          <c:showLegendKey val="0"/>
          <c:showVal val="0"/>
          <c:showCatName val="0"/>
          <c:showSerName val="0"/>
          <c:showPercent val="0"/>
          <c:showBubbleSize val="0"/>
        </c:dLbls>
        <c:hiLowLines>
          <c:spPr>
            <a:ln w="19050">
              <a:headEnd type="oval"/>
              <a:tailEnd type="oval"/>
            </a:ln>
          </c:spPr>
        </c:hiLowLines>
        <c:upDownBars>
          <c:gapWidth val="150"/>
          <c:upBars>
            <c:spPr>
              <a:solidFill>
                <a:schemeClr val="tx1">
                  <a:alpha val="10000"/>
                </a:schemeClr>
              </a:solidFill>
              <a:ln w="19050"/>
            </c:spPr>
          </c:upBars>
          <c:downBars/>
        </c:upDownBars>
        <c:axId val="136907776"/>
        <c:axId val="136906240"/>
      </c:stockChart>
      <c:catAx>
        <c:axId val="137033984"/>
        <c:scaling>
          <c:orientation val="minMax"/>
        </c:scaling>
        <c:delete val="0"/>
        <c:axPos val="b"/>
        <c:numFmt formatCode="d\-mmm" sourceLinked="1"/>
        <c:majorTickMark val="none"/>
        <c:minorTickMark val="none"/>
        <c:tickLblPos val="low"/>
        <c:txPr>
          <a:bodyPr/>
          <a:lstStyle/>
          <a:p>
            <a:pPr>
              <a:defRPr sz="1400" b="1">
                <a:latin typeface="+mj-lt"/>
              </a:defRPr>
            </a:pPr>
            <a:endParaRPr lang="en-US"/>
          </a:p>
        </c:txPr>
        <c:crossAx val="136904704"/>
        <c:crosses val="autoZero"/>
        <c:auto val="1"/>
        <c:lblAlgn val="ctr"/>
        <c:lblOffset val="100"/>
        <c:noMultiLvlLbl val="0"/>
      </c:catAx>
      <c:valAx>
        <c:axId val="136904704"/>
        <c:scaling>
          <c:orientation val="minMax"/>
        </c:scaling>
        <c:delete val="0"/>
        <c:axPos val="l"/>
        <c:majorGridlines>
          <c:spPr>
            <a:ln>
              <a:solidFill>
                <a:schemeClr val="bg1">
                  <a:lumMod val="50000"/>
                </a:schemeClr>
              </a:solidFill>
            </a:ln>
          </c:spPr>
        </c:majorGridlines>
        <c:numFmt formatCode="0%" sourceLinked="1"/>
        <c:majorTickMark val="out"/>
        <c:minorTickMark val="none"/>
        <c:tickLblPos val="nextTo"/>
        <c:txPr>
          <a:bodyPr/>
          <a:lstStyle/>
          <a:p>
            <a:pPr>
              <a:defRPr sz="1400" b="1">
                <a:latin typeface="+mj-lt"/>
              </a:defRPr>
            </a:pPr>
            <a:endParaRPr lang="en-US"/>
          </a:p>
        </c:txPr>
        <c:crossAx val="137033984"/>
        <c:crosses val="autoZero"/>
        <c:crossBetween val="between"/>
      </c:valAx>
      <c:valAx>
        <c:axId val="136906240"/>
        <c:scaling>
          <c:orientation val="minMax"/>
        </c:scaling>
        <c:delete val="1"/>
        <c:axPos val="r"/>
        <c:numFmt formatCode="0%" sourceLinked="1"/>
        <c:majorTickMark val="out"/>
        <c:minorTickMark val="none"/>
        <c:tickLblPos val="none"/>
        <c:crossAx val="136907776"/>
        <c:crosses val="max"/>
        <c:crossBetween val="between"/>
      </c:valAx>
      <c:catAx>
        <c:axId val="136907776"/>
        <c:scaling>
          <c:orientation val="minMax"/>
        </c:scaling>
        <c:delete val="1"/>
        <c:axPos val="b"/>
        <c:numFmt formatCode="d\-mmm" sourceLinked="1"/>
        <c:majorTickMark val="out"/>
        <c:minorTickMark val="none"/>
        <c:tickLblPos val="none"/>
        <c:crossAx val="136906240"/>
        <c:crosses val="autoZero"/>
        <c:auto val="1"/>
        <c:lblAlgn val="ctr"/>
        <c:lblOffset val="100"/>
        <c:noMultiLvlLbl val="0"/>
      </c:cat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a:noFill/>
            </a:ln>
          </c:spPr>
          <c:marker>
            <c:symbol val="diamond"/>
            <c:size val="8"/>
          </c:marker>
          <c:xVal>
            <c:numRef>
              <c:f>ChtXYd!$B$2:$B$14</c:f>
              <c:numCache>
                <c:formatCode>_(* #,##0_);_(* \(#,##0\);_(* "-"??_);_(@_)</c:formatCode>
                <c:ptCount val="13"/>
                <c:pt idx="0">
                  <c:v>1897</c:v>
                </c:pt>
                <c:pt idx="1">
                  <c:v>4186</c:v>
                </c:pt>
                <c:pt idx="2">
                  <c:v>4534</c:v>
                </c:pt>
                <c:pt idx="3">
                  <c:v>5736</c:v>
                </c:pt>
                <c:pt idx="4">
                  <c:v>5993</c:v>
                </c:pt>
                <c:pt idx="5">
                  <c:v>6253</c:v>
                </c:pt>
                <c:pt idx="6">
                  <c:v>7070</c:v>
                </c:pt>
                <c:pt idx="7">
                  <c:v>7444</c:v>
                </c:pt>
                <c:pt idx="8">
                  <c:v>7548</c:v>
                </c:pt>
                <c:pt idx="9">
                  <c:v>8109</c:v>
                </c:pt>
                <c:pt idx="10">
                  <c:v>9055</c:v>
                </c:pt>
                <c:pt idx="11">
                  <c:v>9140</c:v>
                </c:pt>
                <c:pt idx="12">
                  <c:v>14105</c:v>
                </c:pt>
              </c:numCache>
            </c:numRef>
          </c:xVal>
          <c:yVal>
            <c:numRef>
              <c:f>ChtXYd!$C$2:$C$14</c:f>
              <c:numCache>
                <c:formatCode>_(* #,##0_);_(* \(#,##0\);_(* "-"??_);_(@_)</c:formatCode>
                <c:ptCount val="13"/>
                <c:pt idx="0">
                  <c:v>8199</c:v>
                </c:pt>
                <c:pt idx="1">
                  <c:v>5523</c:v>
                </c:pt>
                <c:pt idx="2">
                  <c:v>8141</c:v>
                </c:pt>
                <c:pt idx="3">
                  <c:v>9759</c:v>
                </c:pt>
                <c:pt idx="4">
                  <c:v>6316</c:v>
                </c:pt>
                <c:pt idx="5">
                  <c:v>11831</c:v>
                </c:pt>
                <c:pt idx="6">
                  <c:v>3789</c:v>
                </c:pt>
                <c:pt idx="7">
                  <c:v>13614</c:v>
                </c:pt>
                <c:pt idx="8">
                  <c:v>15158</c:v>
                </c:pt>
                <c:pt idx="9">
                  <c:v>10270</c:v>
                </c:pt>
                <c:pt idx="10">
                  <c:v>14445</c:v>
                </c:pt>
                <c:pt idx="11">
                  <c:v>13920</c:v>
                </c:pt>
                <c:pt idx="12">
                  <c:v>11026</c:v>
                </c:pt>
              </c:numCache>
            </c:numRef>
          </c:yVal>
          <c:smooth val="0"/>
        </c:ser>
        <c:ser>
          <c:idx val="1"/>
          <c:order val="1"/>
          <c:tx>
            <c:v>Series2</c:v>
          </c:tx>
          <c:spPr>
            <a:ln w="28575">
              <a:noFill/>
            </a:ln>
          </c:spPr>
          <c:xVal>
            <c:numRef>
              <c:f>ChtXYd!$B$15:$B$27</c:f>
              <c:numCache>
                <c:formatCode>_(* #,##0_);_(* \(#,##0\);_(* "-"??_);_(@_)</c:formatCode>
                <c:ptCount val="13"/>
                <c:pt idx="0">
                  <c:v>1840.09</c:v>
                </c:pt>
                <c:pt idx="1">
                  <c:v>4227.8599999999997</c:v>
                </c:pt>
                <c:pt idx="2">
                  <c:v>4670.0200000000004</c:v>
                </c:pt>
                <c:pt idx="3">
                  <c:v>5277.12</c:v>
                </c:pt>
                <c:pt idx="4">
                  <c:v>5393.7</c:v>
                </c:pt>
                <c:pt idx="5">
                  <c:v>5627.7</c:v>
                </c:pt>
                <c:pt idx="6">
                  <c:v>5868.0999999999995</c:v>
                </c:pt>
                <c:pt idx="7">
                  <c:v>6922.9199999999992</c:v>
                </c:pt>
                <c:pt idx="8">
                  <c:v>6642.24</c:v>
                </c:pt>
                <c:pt idx="9">
                  <c:v>7460.2800000000007</c:v>
                </c:pt>
                <c:pt idx="10">
                  <c:v>10684.9</c:v>
                </c:pt>
                <c:pt idx="11">
                  <c:v>8500.1999999999989</c:v>
                </c:pt>
                <c:pt idx="12">
                  <c:v>12271.35</c:v>
                </c:pt>
              </c:numCache>
            </c:numRef>
          </c:xVal>
          <c:yVal>
            <c:numRef>
              <c:f>ChtXYd!$C$15:$C$27</c:f>
              <c:numCache>
                <c:formatCode>_(* #,##0_);_(* \(#,##0\);_(* "-"??_);_(@_)</c:formatCode>
                <c:ptCount val="13"/>
                <c:pt idx="0">
                  <c:v>6559.2000000000007</c:v>
                </c:pt>
                <c:pt idx="1">
                  <c:v>5357.3099999999995</c:v>
                </c:pt>
                <c:pt idx="2">
                  <c:v>6512.8</c:v>
                </c:pt>
                <c:pt idx="3">
                  <c:v>10051.77</c:v>
                </c:pt>
                <c:pt idx="4">
                  <c:v>6505.4800000000005</c:v>
                </c:pt>
                <c:pt idx="5">
                  <c:v>13723.96</c:v>
                </c:pt>
                <c:pt idx="6">
                  <c:v>4016.34</c:v>
                </c:pt>
                <c:pt idx="7">
                  <c:v>12388.74</c:v>
                </c:pt>
                <c:pt idx="8">
                  <c:v>13642.2</c:v>
                </c:pt>
                <c:pt idx="9">
                  <c:v>11810.499999999998</c:v>
                </c:pt>
                <c:pt idx="10">
                  <c:v>16178.400000000001</c:v>
                </c:pt>
                <c:pt idx="11">
                  <c:v>16286.4</c:v>
                </c:pt>
                <c:pt idx="12">
                  <c:v>9261.84</c:v>
                </c:pt>
              </c:numCache>
            </c:numRef>
          </c:yVal>
          <c:smooth val="0"/>
        </c:ser>
        <c:dLbls>
          <c:showLegendKey val="0"/>
          <c:showVal val="0"/>
          <c:showCatName val="0"/>
          <c:showSerName val="0"/>
          <c:showPercent val="0"/>
          <c:showBubbleSize val="0"/>
        </c:dLbls>
        <c:axId val="152132608"/>
        <c:axId val="152159360"/>
      </c:scatterChart>
      <c:valAx>
        <c:axId val="152132608"/>
        <c:scaling>
          <c:orientation val="minMax"/>
        </c:scaling>
        <c:delete val="0"/>
        <c:axPos val="b"/>
        <c:majorGridlines>
          <c:spPr>
            <a:ln cmpd="sng">
              <a:solidFill>
                <a:schemeClr val="bg1">
                  <a:lumMod val="50000"/>
                </a:schemeClr>
              </a:solidFill>
            </a:ln>
          </c:spPr>
        </c:majorGridlines>
        <c:title>
          <c:overlay val="0"/>
          <c:txPr>
            <a:bodyPr/>
            <a:lstStyle/>
            <a:p>
              <a:pPr>
                <a:defRPr sz="1600">
                  <a:latin typeface="+mj-lt"/>
                </a:defRPr>
              </a:pPr>
              <a:endParaRPr lang="en-US"/>
            </a:p>
          </c:txPr>
        </c:title>
        <c:numFmt formatCode="_(* #,##0_);_(* \(#,##0\);_(* &quot;-&quot;??_);_(@_)" sourceLinked="1"/>
        <c:majorTickMark val="none"/>
        <c:minorTickMark val="none"/>
        <c:tickLblPos val="nextTo"/>
        <c:txPr>
          <a:bodyPr/>
          <a:lstStyle/>
          <a:p>
            <a:pPr>
              <a:defRPr sz="1400" b="1">
                <a:latin typeface="+mj-lt"/>
              </a:defRPr>
            </a:pPr>
            <a:endParaRPr lang="en-US"/>
          </a:p>
        </c:txPr>
        <c:crossAx val="152159360"/>
        <c:crosses val="autoZero"/>
        <c:crossBetween val="midCat"/>
      </c:valAx>
      <c:valAx>
        <c:axId val="152159360"/>
        <c:scaling>
          <c:orientation val="minMax"/>
        </c:scaling>
        <c:delete val="0"/>
        <c:axPos val="l"/>
        <c:majorGridlines>
          <c:spPr>
            <a:ln>
              <a:solidFill>
                <a:schemeClr val="bg1">
                  <a:lumMod val="50000"/>
                </a:schemeClr>
              </a:solidFill>
            </a:ln>
          </c:spPr>
        </c:majorGridlines>
        <c:title>
          <c:overlay val="0"/>
          <c:txPr>
            <a:bodyPr rot="-5400000" vert="horz"/>
            <a:lstStyle/>
            <a:p>
              <a:pPr>
                <a:defRPr sz="1600" b="1">
                  <a:latin typeface="+mj-lt"/>
                </a:defRPr>
              </a:pPr>
              <a:endParaRPr lang="en-US"/>
            </a:p>
          </c:txPr>
        </c:title>
        <c:numFmt formatCode="_(* #,##0_);_(* \(#,##0\);_(* &quot;-&quot;??_);_(@_)" sourceLinked="1"/>
        <c:majorTickMark val="none"/>
        <c:minorTickMark val="none"/>
        <c:tickLblPos val="nextTo"/>
        <c:txPr>
          <a:bodyPr/>
          <a:lstStyle/>
          <a:p>
            <a:pPr>
              <a:defRPr sz="1400" b="1">
                <a:latin typeface="+mj-lt"/>
              </a:defRPr>
            </a:pPr>
            <a:endParaRPr lang="en-US"/>
          </a:p>
        </c:txPr>
        <c:crossAx val="152132608"/>
        <c:crosses val="autoZero"/>
        <c:crossBetween val="midCat"/>
      </c:valAx>
      <c:spPr>
        <a:ln w="19050">
          <a:solidFill>
            <a:schemeClr val="tx1"/>
          </a:solidFill>
        </a:ln>
      </c:spPr>
    </c:plotArea>
    <c:legend>
      <c:legendPos val="b"/>
      <c:layout>
        <c:manualLayout>
          <c:xMode val="edge"/>
          <c:yMode val="edge"/>
          <c:x val="0.44239521030118245"/>
          <c:y val="0.93827540307461565"/>
          <c:w val="0.2228483462992599"/>
          <c:h val="4.7438882639670055E-2"/>
        </c:manualLayout>
      </c:layout>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'ChtB&amp;Wd'!$B$2</c:f>
              <c:strCache>
                <c:ptCount val="1"/>
                <c:pt idx="0">
                  <c:v>Median</c:v>
                </c:pt>
              </c:strCache>
            </c:strRef>
          </c:tx>
          <c:spPr>
            <a:ln>
              <a:noFill/>
            </a:ln>
          </c:spPr>
          <c:marker>
            <c:symbol val="dash"/>
            <c:size val="10"/>
            <c:spPr>
              <a:solidFill>
                <a:schemeClr val="tx1"/>
              </a:solidFill>
              <a:ln>
                <a:noFill/>
              </a:ln>
            </c:spPr>
          </c:marker>
          <c:cat>
            <c:strRef>
              <c:f>'ChtB&amp;Wd'!$A$3:$A$10</c:f>
              <c:strCache>
                <c:ptCount val="8"/>
                <c:pt idx="0">
                  <c:v>Case 1</c:v>
                </c:pt>
                <c:pt idx="1">
                  <c:v>Case 2</c:v>
                </c:pt>
                <c:pt idx="2">
                  <c:v>Case 3</c:v>
                </c:pt>
                <c:pt idx="3">
                  <c:v>Case 4</c:v>
                </c:pt>
                <c:pt idx="4">
                  <c:v>Case 5</c:v>
                </c:pt>
                <c:pt idx="5">
                  <c:v>Case 6</c:v>
                </c:pt>
                <c:pt idx="6">
                  <c:v>Case 7</c:v>
                </c:pt>
                <c:pt idx="7">
                  <c:v>Case 8</c:v>
                </c:pt>
              </c:strCache>
            </c:strRef>
          </c:cat>
          <c:val>
            <c:numRef>
              <c:f>'ChtB&amp;Wd'!$B$3:$B$10</c:f>
              <c:numCache>
                <c:formatCode>0%</c:formatCode>
                <c:ptCount val="8"/>
                <c:pt idx="0">
                  <c:v>0.59525124240750971</c:v>
                </c:pt>
                <c:pt idx="1">
                  <c:v>0.47018644790981956</c:v>
                </c:pt>
                <c:pt idx="2">
                  <c:v>0.20627917833800188</c:v>
                </c:pt>
                <c:pt idx="3">
                  <c:v>0.31337579617834393</c:v>
                </c:pt>
                <c:pt idx="4">
                  <c:v>0.59525124240750971</c:v>
                </c:pt>
                <c:pt idx="5">
                  <c:v>0.47018644790981956</c:v>
                </c:pt>
                <c:pt idx="6">
                  <c:v>0.20627917833800188</c:v>
                </c:pt>
                <c:pt idx="7">
                  <c:v>0.31337579617834393</c:v>
                </c:pt>
              </c:numCache>
            </c:numRef>
          </c:val>
          <c:smooth val="0"/>
        </c:ser>
        <c:dLbls>
          <c:showLegendKey val="0"/>
          <c:showVal val="0"/>
          <c:showCatName val="0"/>
          <c:showSerName val="0"/>
          <c:showPercent val="0"/>
          <c:showBubbleSize val="0"/>
        </c:dLbls>
        <c:marker val="1"/>
        <c:smooth val="0"/>
        <c:axId val="154014464"/>
        <c:axId val="154016000"/>
      </c:lineChart>
      <c:stockChart>
        <c:ser>
          <c:idx val="1"/>
          <c:order val="1"/>
          <c:tx>
            <c:strRef>
              <c:f>'ChtB&amp;Wd'!$C$2</c:f>
              <c:strCache>
                <c:ptCount val="1"/>
              </c:strCache>
            </c:strRef>
          </c:tx>
          <c:spPr>
            <a:ln w="28575">
              <a:noFill/>
            </a:ln>
          </c:spPr>
          <c:marker>
            <c:symbol val="none"/>
          </c:marker>
          <c:cat>
            <c:strRef>
              <c:f>'ChtB&amp;Wd'!$A$3:$A$10</c:f>
              <c:strCache>
                <c:ptCount val="8"/>
                <c:pt idx="0">
                  <c:v>Case 1</c:v>
                </c:pt>
                <c:pt idx="1">
                  <c:v>Case 2</c:v>
                </c:pt>
                <c:pt idx="2">
                  <c:v>Case 3</c:v>
                </c:pt>
                <c:pt idx="3">
                  <c:v>Case 4</c:v>
                </c:pt>
                <c:pt idx="4">
                  <c:v>Case 5</c:v>
                </c:pt>
                <c:pt idx="5">
                  <c:v>Case 6</c:v>
                </c:pt>
                <c:pt idx="6">
                  <c:v>Case 7</c:v>
                </c:pt>
                <c:pt idx="7">
                  <c:v>Case 8</c:v>
                </c:pt>
              </c:strCache>
            </c:strRef>
          </c:cat>
          <c:val>
            <c:numRef>
              <c:f>'ChtB&amp;Wd'!$C$3:$C$10</c:f>
              <c:numCache>
                <c:formatCode>0.0%</c:formatCode>
                <c:ptCount val="8"/>
                <c:pt idx="0">
                  <c:v>0.26649401899124431</c:v>
                </c:pt>
                <c:pt idx="1">
                  <c:v>-6.5758101955985821E-3</c:v>
                </c:pt>
                <c:pt idx="2">
                  <c:v>-5.7414980628497633E-2</c:v>
                </c:pt>
                <c:pt idx="3">
                  <c:v>0.18255250403877221</c:v>
                </c:pt>
                <c:pt idx="4">
                  <c:v>0.26649401899124431</c:v>
                </c:pt>
                <c:pt idx="5">
                  <c:v>-6.5758101955985821E-3</c:v>
                </c:pt>
                <c:pt idx="6">
                  <c:v>-5.7414980628497633E-2</c:v>
                </c:pt>
                <c:pt idx="7">
                  <c:v>0.18255250403877221</c:v>
                </c:pt>
              </c:numCache>
            </c:numRef>
          </c:val>
          <c:smooth val="0"/>
        </c:ser>
        <c:ser>
          <c:idx val="2"/>
          <c:order val="2"/>
          <c:tx>
            <c:strRef>
              <c:f>'ChtB&amp;Wd'!$E$2</c:f>
              <c:strCache>
                <c:ptCount val="1"/>
              </c:strCache>
            </c:strRef>
          </c:tx>
          <c:spPr>
            <a:ln w="28575">
              <a:noFill/>
            </a:ln>
          </c:spPr>
          <c:marker>
            <c:symbol val="none"/>
          </c:marker>
          <c:cat>
            <c:strRef>
              <c:f>'ChtB&amp;Wd'!$A$3:$A$10</c:f>
              <c:strCache>
                <c:ptCount val="8"/>
                <c:pt idx="0">
                  <c:v>Case 1</c:v>
                </c:pt>
                <c:pt idx="1">
                  <c:v>Case 2</c:v>
                </c:pt>
                <c:pt idx="2">
                  <c:v>Case 3</c:v>
                </c:pt>
                <c:pt idx="3">
                  <c:v>Case 4</c:v>
                </c:pt>
                <c:pt idx="4">
                  <c:v>Case 5</c:v>
                </c:pt>
                <c:pt idx="5">
                  <c:v>Case 6</c:v>
                </c:pt>
                <c:pt idx="6">
                  <c:v>Case 7</c:v>
                </c:pt>
                <c:pt idx="7">
                  <c:v>Case 8</c:v>
                </c:pt>
              </c:strCache>
            </c:strRef>
          </c:cat>
          <c:val>
            <c:numRef>
              <c:f>'ChtB&amp;Wd'!$E$3:$E$10</c:f>
              <c:numCache>
                <c:formatCode>0.0%</c:formatCode>
                <c:ptCount val="8"/>
                <c:pt idx="0">
                  <c:v>3.3220875065893516</c:v>
                </c:pt>
                <c:pt idx="1">
                  <c:v>1.9015352038115405</c:v>
                </c:pt>
                <c:pt idx="2">
                  <c:v>1.9753086419753085</c:v>
                </c:pt>
                <c:pt idx="3">
                  <c:v>1.6083916083916083</c:v>
                </c:pt>
                <c:pt idx="4">
                  <c:v>3.3220875065893516</c:v>
                </c:pt>
                <c:pt idx="5">
                  <c:v>1.9015352038115405</c:v>
                </c:pt>
                <c:pt idx="6">
                  <c:v>1.9753086419753085</c:v>
                </c:pt>
                <c:pt idx="7">
                  <c:v>1.6083916083916083</c:v>
                </c:pt>
              </c:numCache>
            </c:numRef>
          </c:val>
          <c:smooth val="0"/>
        </c:ser>
        <c:ser>
          <c:idx val="3"/>
          <c:order val="3"/>
          <c:tx>
            <c:strRef>
              <c:f>'ChtB&amp;Wd'!$D$2</c:f>
              <c:strCache>
                <c:ptCount val="1"/>
              </c:strCache>
            </c:strRef>
          </c:tx>
          <c:spPr>
            <a:ln w="28575">
              <a:noFill/>
            </a:ln>
          </c:spPr>
          <c:marker>
            <c:symbol val="none"/>
          </c:marker>
          <c:cat>
            <c:strRef>
              <c:f>'ChtB&amp;Wd'!$A$3:$A$10</c:f>
              <c:strCache>
                <c:ptCount val="8"/>
                <c:pt idx="0">
                  <c:v>Case 1</c:v>
                </c:pt>
                <c:pt idx="1">
                  <c:v>Case 2</c:v>
                </c:pt>
                <c:pt idx="2">
                  <c:v>Case 3</c:v>
                </c:pt>
                <c:pt idx="3">
                  <c:v>Case 4</c:v>
                </c:pt>
                <c:pt idx="4">
                  <c:v>Case 5</c:v>
                </c:pt>
                <c:pt idx="5">
                  <c:v>Case 6</c:v>
                </c:pt>
                <c:pt idx="6">
                  <c:v>Case 7</c:v>
                </c:pt>
                <c:pt idx="7">
                  <c:v>Case 8</c:v>
                </c:pt>
              </c:strCache>
            </c:strRef>
          </c:cat>
          <c:val>
            <c:numRef>
              <c:f>'ChtB&amp;Wd'!$D$3:$D$10</c:f>
              <c:numCache>
                <c:formatCode>0.0%</c:formatCode>
                <c:ptCount val="8"/>
                <c:pt idx="0">
                  <c:v>-0.46407355021216407</c:v>
                </c:pt>
                <c:pt idx="1">
                  <c:v>-0.78386428386428386</c:v>
                </c:pt>
                <c:pt idx="2">
                  <c:v>-0.45165238678090575</c:v>
                </c:pt>
                <c:pt idx="3">
                  <c:v>-0.36208178438661709</c:v>
                </c:pt>
                <c:pt idx="4">
                  <c:v>-0.46407355021216407</c:v>
                </c:pt>
                <c:pt idx="5">
                  <c:v>-0.78386428386428386</c:v>
                </c:pt>
                <c:pt idx="6">
                  <c:v>-0.45165238678090575</c:v>
                </c:pt>
                <c:pt idx="7">
                  <c:v>-0.36208178438661709</c:v>
                </c:pt>
              </c:numCache>
            </c:numRef>
          </c:val>
          <c:smooth val="0"/>
        </c:ser>
        <c:ser>
          <c:idx val="5"/>
          <c:order val="4"/>
          <c:tx>
            <c:strRef>
              <c:f>'ChtB&amp;Wd'!$G$2</c:f>
              <c:strCache>
                <c:ptCount val="1"/>
                <c:pt idx="0">
                  <c:v>Mean</c:v>
                </c:pt>
              </c:strCache>
            </c:strRef>
          </c:tx>
          <c:spPr>
            <a:ln w="28575">
              <a:noFill/>
            </a:ln>
          </c:spPr>
          <c:marker>
            <c:symbol val="circle"/>
            <c:size val="6"/>
            <c:spPr>
              <a:noFill/>
              <a:ln>
                <a:solidFill>
                  <a:schemeClr val="tx1">
                    <a:shade val="95000"/>
                    <a:satMod val="105000"/>
                  </a:schemeClr>
                </a:solidFill>
              </a:ln>
            </c:spPr>
          </c:marker>
          <c:val>
            <c:numRef>
              <c:f>'ChtB&amp;Wd'!$G$3:$G$10</c:f>
              <c:numCache>
                <c:formatCode>0.0%</c:formatCode>
                <c:ptCount val="8"/>
                <c:pt idx="0">
                  <c:v>0.6633664567983073</c:v>
                </c:pt>
                <c:pt idx="1">
                  <c:v>0.55807936951467862</c:v>
                </c:pt>
                <c:pt idx="2">
                  <c:v>0.42366460588740978</c:v>
                </c:pt>
                <c:pt idx="3">
                  <c:v>0.43391258473731664</c:v>
                </c:pt>
                <c:pt idx="4">
                  <c:v>0.6633664567983073</c:v>
                </c:pt>
                <c:pt idx="5">
                  <c:v>0.55807936951467862</c:v>
                </c:pt>
                <c:pt idx="6">
                  <c:v>0.42366460588740978</c:v>
                </c:pt>
                <c:pt idx="7">
                  <c:v>0.43391258473731664</c:v>
                </c:pt>
              </c:numCache>
            </c:numRef>
          </c:val>
          <c:smooth val="0"/>
        </c:ser>
        <c:ser>
          <c:idx val="4"/>
          <c:order val="5"/>
          <c:tx>
            <c:strRef>
              <c:f>'ChtB&amp;Wd'!$F$2</c:f>
              <c:strCache>
                <c:ptCount val="1"/>
              </c:strCache>
            </c:strRef>
          </c:tx>
          <c:spPr>
            <a:ln w="28575">
              <a:noFill/>
            </a:ln>
          </c:spPr>
          <c:marker>
            <c:symbol val="none"/>
          </c:marker>
          <c:cat>
            <c:strRef>
              <c:f>'ChtB&amp;Wd'!$A$3:$A$10</c:f>
              <c:strCache>
                <c:ptCount val="8"/>
                <c:pt idx="0">
                  <c:v>Case 1</c:v>
                </c:pt>
                <c:pt idx="1">
                  <c:v>Case 2</c:v>
                </c:pt>
                <c:pt idx="2">
                  <c:v>Case 3</c:v>
                </c:pt>
                <c:pt idx="3">
                  <c:v>Case 4</c:v>
                </c:pt>
                <c:pt idx="4">
                  <c:v>Case 5</c:v>
                </c:pt>
                <c:pt idx="5">
                  <c:v>Case 6</c:v>
                </c:pt>
                <c:pt idx="6">
                  <c:v>Case 7</c:v>
                </c:pt>
                <c:pt idx="7">
                  <c:v>Case 8</c:v>
                </c:pt>
              </c:strCache>
            </c:strRef>
          </c:cat>
          <c:val>
            <c:numRef>
              <c:f>'ChtB&amp;Wd'!$F$3:$F$10</c:f>
              <c:numCache>
                <c:formatCode>0.0%</c:formatCode>
                <c:ptCount val="8"/>
                <c:pt idx="0">
                  <c:v>0.8288554540569586</c:v>
                </c:pt>
                <c:pt idx="1">
                  <c:v>1.1931444241316271</c:v>
                </c:pt>
                <c:pt idx="2">
                  <c:v>0.7763185215946844</c:v>
                </c:pt>
                <c:pt idx="3">
                  <c:v>0.59885386819484243</c:v>
                </c:pt>
                <c:pt idx="4">
                  <c:v>0.8288554540569586</c:v>
                </c:pt>
                <c:pt idx="5">
                  <c:v>1.1931444241316271</c:v>
                </c:pt>
                <c:pt idx="6">
                  <c:v>0.7763185215946844</c:v>
                </c:pt>
                <c:pt idx="7">
                  <c:v>0.59885386819484243</c:v>
                </c:pt>
              </c:numCache>
            </c:numRef>
          </c:val>
          <c:smooth val="0"/>
        </c:ser>
        <c:dLbls>
          <c:showLegendKey val="0"/>
          <c:showVal val="0"/>
          <c:showCatName val="0"/>
          <c:showSerName val="0"/>
          <c:showPercent val="0"/>
          <c:showBubbleSize val="0"/>
        </c:dLbls>
        <c:hiLowLines>
          <c:spPr>
            <a:ln w="19050">
              <a:headEnd type="oval"/>
              <a:tailEnd type="oval"/>
            </a:ln>
          </c:spPr>
        </c:hiLowLines>
        <c:upDownBars>
          <c:gapWidth val="150"/>
          <c:upBars>
            <c:spPr>
              <a:solidFill>
                <a:schemeClr val="tx1">
                  <a:alpha val="10000"/>
                </a:schemeClr>
              </a:solidFill>
              <a:ln w="19050"/>
            </c:spPr>
          </c:upBars>
          <c:downBars/>
        </c:upDownBars>
        <c:axId val="154023424"/>
        <c:axId val="154021888"/>
      </c:stockChart>
      <c:catAx>
        <c:axId val="154014464"/>
        <c:scaling>
          <c:orientation val="minMax"/>
        </c:scaling>
        <c:delete val="0"/>
        <c:axPos val="b"/>
        <c:numFmt formatCode="d\-mmm" sourceLinked="1"/>
        <c:majorTickMark val="none"/>
        <c:minorTickMark val="none"/>
        <c:tickLblPos val="low"/>
        <c:txPr>
          <a:bodyPr/>
          <a:lstStyle/>
          <a:p>
            <a:pPr>
              <a:defRPr sz="1400" b="1">
                <a:latin typeface="+mj-lt"/>
              </a:defRPr>
            </a:pPr>
            <a:endParaRPr lang="en-US"/>
          </a:p>
        </c:txPr>
        <c:crossAx val="154016000"/>
        <c:crosses val="autoZero"/>
        <c:auto val="1"/>
        <c:lblAlgn val="ctr"/>
        <c:lblOffset val="100"/>
        <c:noMultiLvlLbl val="0"/>
      </c:catAx>
      <c:valAx>
        <c:axId val="154016000"/>
        <c:scaling>
          <c:orientation val="minMax"/>
        </c:scaling>
        <c:delete val="0"/>
        <c:axPos val="l"/>
        <c:majorGridlines>
          <c:spPr>
            <a:ln>
              <a:solidFill>
                <a:schemeClr val="bg1">
                  <a:lumMod val="50000"/>
                </a:schemeClr>
              </a:solidFill>
            </a:ln>
          </c:spPr>
        </c:majorGridlines>
        <c:numFmt formatCode="0%" sourceLinked="1"/>
        <c:majorTickMark val="out"/>
        <c:minorTickMark val="none"/>
        <c:tickLblPos val="nextTo"/>
        <c:txPr>
          <a:bodyPr/>
          <a:lstStyle/>
          <a:p>
            <a:pPr>
              <a:defRPr sz="1400" b="1">
                <a:latin typeface="+mj-lt"/>
              </a:defRPr>
            </a:pPr>
            <a:endParaRPr lang="en-US"/>
          </a:p>
        </c:txPr>
        <c:crossAx val="154014464"/>
        <c:crosses val="autoZero"/>
        <c:crossBetween val="between"/>
      </c:valAx>
      <c:valAx>
        <c:axId val="154021888"/>
        <c:scaling>
          <c:orientation val="minMax"/>
        </c:scaling>
        <c:delete val="1"/>
        <c:axPos val="r"/>
        <c:numFmt formatCode="0.0%" sourceLinked="1"/>
        <c:majorTickMark val="out"/>
        <c:minorTickMark val="none"/>
        <c:tickLblPos val="none"/>
        <c:crossAx val="154023424"/>
        <c:crosses val="max"/>
        <c:crossBetween val="between"/>
      </c:valAx>
      <c:catAx>
        <c:axId val="154023424"/>
        <c:scaling>
          <c:orientation val="minMax"/>
        </c:scaling>
        <c:delete val="1"/>
        <c:axPos val="b"/>
        <c:numFmt formatCode="d\-mmm" sourceLinked="1"/>
        <c:majorTickMark val="out"/>
        <c:minorTickMark val="none"/>
        <c:tickLblPos val="none"/>
        <c:crossAx val="154021888"/>
        <c:crosses val="autoZero"/>
        <c:auto val="1"/>
        <c:lblAlgn val="ctr"/>
        <c:lblOffset val="100"/>
        <c:noMultiLvlLbl val="0"/>
      </c:cat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'73d'!$A$2</c:f>
              <c:strCache>
                <c:ptCount val="1"/>
                <c:pt idx="0">
                  <c:v>Res WH Air Leakage Control Installer</c:v>
                </c:pt>
              </c:strCache>
            </c:strRef>
          </c:tx>
          <c:invertIfNegative val="0"/>
          <c:dLbls>
            <c:txPr>
              <a:bodyPr rot="-5400000" vert="horz"/>
              <a:lstStyle/>
              <a:p>
                <a:pPr>
                  <a:defRPr sz="1200" b="1">
                    <a:latin typeface="+mj-lt"/>
                  </a:defRPr>
                </a:pPr>
                <a:endParaRPr lang="en-US"/>
              </a:p>
            </c:txPr>
            <c:showLegendKey val="0"/>
            <c:showVal val="1"/>
            <c:showCatName val="0"/>
            <c:showSerName val="0"/>
            <c:showPercent val="0"/>
            <c:showBubbleSize val="0"/>
            <c:showLeaderLines val="0"/>
          </c:dLbls>
          <c:cat>
            <c:strRef>
              <c:f>'73d'!$B$1:$C$1</c:f>
              <c:strCache>
                <c:ptCount val="2"/>
                <c:pt idx="0">
                  <c:v>January 2010</c:v>
                </c:pt>
                <c:pt idx="1">
                  <c:v>November 2011</c:v>
                </c:pt>
              </c:strCache>
            </c:strRef>
          </c:cat>
          <c:val>
            <c:numRef>
              <c:f>'73d'!$B$2:$C$2</c:f>
              <c:numCache>
                <c:formatCode>_(* #,##0_);_(* \(#,##0\);_(* "-"??_);_(@_)</c:formatCode>
                <c:ptCount val="2"/>
                <c:pt idx="0">
                  <c:v>0</c:v>
                </c:pt>
                <c:pt idx="1">
                  <c:v>51</c:v>
                </c:pt>
              </c:numCache>
            </c:numRef>
          </c:val>
        </c:ser>
        <c:ser>
          <c:idx val="1"/>
          <c:order val="1"/>
          <c:tx>
            <c:strRef>
              <c:f>'73d'!$A$3</c:f>
              <c:strCache>
                <c:ptCount val="1"/>
                <c:pt idx="0">
                  <c:v>Envelope Professional</c:v>
                </c:pt>
              </c:strCache>
            </c:strRef>
          </c:tx>
          <c:invertIfNegative val="0"/>
          <c:dLbls>
            <c:txPr>
              <a:bodyPr rot="-5400000" vert="horz"/>
              <a:lstStyle/>
              <a:p>
                <a:pPr>
                  <a:defRPr sz="1200" b="1">
                    <a:latin typeface="+mj-lt"/>
                  </a:defRPr>
                </a:pPr>
                <a:endParaRPr lang="en-US"/>
              </a:p>
            </c:txPr>
            <c:showLegendKey val="0"/>
            <c:showVal val="1"/>
            <c:showCatName val="0"/>
            <c:showSerName val="0"/>
            <c:showPercent val="0"/>
            <c:showBubbleSize val="0"/>
            <c:showLeaderLines val="0"/>
          </c:dLbls>
          <c:cat>
            <c:strRef>
              <c:f>'73d'!$B$1:$C$1</c:f>
              <c:strCache>
                <c:ptCount val="2"/>
                <c:pt idx="0">
                  <c:v>January 2010</c:v>
                </c:pt>
                <c:pt idx="1">
                  <c:v>November 2011</c:v>
                </c:pt>
              </c:strCache>
            </c:strRef>
          </c:cat>
          <c:val>
            <c:numRef>
              <c:f>'73d'!$B$3:$C$3</c:f>
              <c:numCache>
                <c:formatCode>_(* #,##0_);_(* \(#,##0\);_(* "-"??_);_(@_)</c:formatCode>
                <c:ptCount val="2"/>
                <c:pt idx="0">
                  <c:v>18</c:v>
                </c:pt>
                <c:pt idx="1">
                  <c:v>663</c:v>
                </c:pt>
              </c:numCache>
            </c:numRef>
          </c:val>
        </c:ser>
        <c:ser>
          <c:idx val="2"/>
          <c:order val="2"/>
          <c:tx>
            <c:strRef>
              <c:f>'73d'!$A$4</c:f>
              <c:strCache>
                <c:ptCount val="1"/>
                <c:pt idx="0">
                  <c:v>Heating Professional</c:v>
                </c:pt>
              </c:strCache>
            </c:strRef>
          </c:tx>
          <c:invertIfNegative val="0"/>
          <c:dLbls>
            <c:txPr>
              <a:bodyPr rot="-5400000" vert="horz"/>
              <a:lstStyle/>
              <a:p>
                <a:pPr>
                  <a:defRPr sz="1200" b="1">
                    <a:latin typeface="+mj-lt"/>
                  </a:defRPr>
                </a:pPr>
                <a:endParaRPr lang="en-US"/>
              </a:p>
            </c:txPr>
            <c:showLegendKey val="0"/>
            <c:showVal val="1"/>
            <c:showCatName val="0"/>
            <c:showSerName val="0"/>
            <c:showPercent val="0"/>
            <c:showBubbleSize val="0"/>
            <c:showLeaderLines val="0"/>
          </c:dLbls>
          <c:cat>
            <c:strRef>
              <c:f>'73d'!$B$1:$C$1</c:f>
              <c:strCache>
                <c:ptCount val="2"/>
                <c:pt idx="0">
                  <c:v>January 2010</c:v>
                </c:pt>
                <c:pt idx="1">
                  <c:v>November 2011</c:v>
                </c:pt>
              </c:strCache>
            </c:strRef>
          </c:cat>
          <c:val>
            <c:numRef>
              <c:f>'73d'!$B$4:$C$4</c:f>
              <c:numCache>
                <c:formatCode>_(* #,##0_);_(* \(#,##0\);_(* "-"??_);_(@_)</c:formatCode>
                <c:ptCount val="2"/>
                <c:pt idx="0">
                  <c:v>3</c:v>
                </c:pt>
                <c:pt idx="1">
                  <c:v>23</c:v>
                </c:pt>
              </c:numCache>
            </c:numRef>
          </c:val>
        </c:ser>
        <c:ser>
          <c:idx val="3"/>
          <c:order val="3"/>
          <c:tx>
            <c:strRef>
              <c:f>'73d'!$A$5</c:f>
              <c:strCache>
                <c:ptCount val="1"/>
                <c:pt idx="0">
                  <c:v>Building Analyst Professional</c:v>
                </c:pt>
              </c:strCache>
            </c:strRef>
          </c:tx>
          <c:invertIfNegative val="0"/>
          <c:dLbls>
            <c:txPr>
              <a:bodyPr rot="-5400000" vert="horz"/>
              <a:lstStyle/>
              <a:p>
                <a:pPr>
                  <a:defRPr sz="1200" b="1" baseline="0">
                    <a:latin typeface="+mj-lt"/>
                  </a:defRPr>
                </a:pPr>
                <a:endParaRPr lang="en-US"/>
              </a:p>
            </c:txPr>
            <c:showLegendKey val="0"/>
            <c:showVal val="1"/>
            <c:showCatName val="0"/>
            <c:showSerName val="0"/>
            <c:showPercent val="0"/>
            <c:showBubbleSize val="0"/>
            <c:showLeaderLines val="0"/>
          </c:dLbls>
          <c:cat>
            <c:strRef>
              <c:f>'73d'!$B$1:$C$1</c:f>
              <c:strCache>
                <c:ptCount val="2"/>
                <c:pt idx="0">
                  <c:v>January 2010</c:v>
                </c:pt>
                <c:pt idx="1">
                  <c:v>November 2011</c:v>
                </c:pt>
              </c:strCache>
            </c:strRef>
          </c:cat>
          <c:val>
            <c:numRef>
              <c:f>'73d'!$B$5:$C$5</c:f>
              <c:numCache>
                <c:formatCode>_(* #,##0_);_(* \(#,##0\);_(* "-"??_);_(@_)</c:formatCode>
                <c:ptCount val="2"/>
                <c:pt idx="0">
                  <c:v>63</c:v>
                </c:pt>
                <c:pt idx="1">
                  <c:v>1540</c:v>
                </c:pt>
              </c:numCache>
            </c:numRef>
          </c:val>
        </c:ser>
        <c:ser>
          <c:idx val="4"/>
          <c:order val="4"/>
          <c:tx>
            <c:strRef>
              <c:f>'73d'!$A$7</c:f>
              <c:strCache>
                <c:ptCount val="1"/>
                <c:pt idx="0">
                  <c:v>Multifamily Building Analyst Professional</c:v>
                </c:pt>
              </c:strCache>
            </c:strRef>
          </c:tx>
          <c:invertIfNegative val="0"/>
          <c:dLbls>
            <c:txPr>
              <a:bodyPr rot="-5400000" vert="horz"/>
              <a:lstStyle/>
              <a:p>
                <a:pPr>
                  <a:defRPr sz="1200" b="1">
                    <a:latin typeface="+mj-lt"/>
                  </a:defRPr>
                </a:pPr>
                <a:endParaRPr lang="en-US"/>
              </a:p>
            </c:txPr>
            <c:showLegendKey val="0"/>
            <c:showVal val="1"/>
            <c:showCatName val="0"/>
            <c:showSerName val="0"/>
            <c:showPercent val="0"/>
            <c:showBubbleSize val="0"/>
            <c:showLeaderLines val="0"/>
          </c:dLbls>
          <c:cat>
            <c:strRef>
              <c:f>'73d'!$B$1:$C$1</c:f>
              <c:strCache>
                <c:ptCount val="2"/>
                <c:pt idx="0">
                  <c:v>January 2010</c:v>
                </c:pt>
                <c:pt idx="1">
                  <c:v>November 2011</c:v>
                </c:pt>
              </c:strCache>
            </c:strRef>
          </c:cat>
          <c:val>
            <c:numRef>
              <c:f>'73d'!$B$7:$C$7</c:f>
              <c:numCache>
                <c:formatCode>_(* #,##0_);_(* \(#,##0\);_(* "-"??_);_(@_)</c:formatCode>
                <c:ptCount val="2"/>
                <c:pt idx="0">
                  <c:v>0</c:v>
                </c:pt>
                <c:pt idx="1">
                  <c:v>56</c:v>
                </c:pt>
              </c:numCache>
            </c:numRef>
          </c:val>
        </c:ser>
        <c:dLbls>
          <c:showLegendKey val="0"/>
          <c:showVal val="1"/>
          <c:showCatName val="0"/>
          <c:showSerName val="0"/>
          <c:showPercent val="0"/>
          <c:showBubbleSize val="0"/>
        </c:dLbls>
        <c:gapWidth val="150"/>
        <c:axId val="152872448"/>
        <c:axId val="152873984"/>
      </c:barChart>
      <c:catAx>
        <c:axId val="152872448"/>
        <c:scaling>
          <c:orientation val="minMax"/>
        </c:scaling>
        <c:delete val="0"/>
        <c:axPos val="b"/>
        <c:numFmt formatCode="mmm\-yy" sourceLinked="1"/>
        <c:majorTickMark val="out"/>
        <c:minorTickMark val="none"/>
        <c:tickLblPos val="nextTo"/>
        <c:txPr>
          <a:bodyPr/>
          <a:lstStyle/>
          <a:p>
            <a:pPr>
              <a:defRPr sz="1400" b="1">
                <a:latin typeface="+mj-lt"/>
              </a:defRPr>
            </a:pPr>
            <a:endParaRPr lang="en-US"/>
          </a:p>
        </c:txPr>
        <c:crossAx val="152873984"/>
        <c:crosses val="autoZero"/>
        <c:auto val="1"/>
        <c:lblAlgn val="ctr"/>
        <c:lblOffset val="100"/>
        <c:noMultiLvlLbl val="0"/>
      </c:catAx>
      <c:valAx>
        <c:axId val="152873984"/>
        <c:scaling>
          <c:orientation val="minMax"/>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a:t>BPI Professional</a:t>
                </a:r>
                <a:r>
                  <a:rPr lang="en-US" baseline="0"/>
                  <a:t> Certifications in CA</a:t>
                </a:r>
                <a:endParaRPr lang="en-US"/>
              </a:p>
            </c:rich>
          </c:tx>
          <c:overlay val="0"/>
        </c:title>
        <c:numFmt formatCode="_(* #,##0_);_(* \(#,##0\);_(* &quot;-&quot;??_);_(@_)" sourceLinked="1"/>
        <c:majorTickMark val="out"/>
        <c:minorTickMark val="none"/>
        <c:tickLblPos val="nextTo"/>
        <c:txPr>
          <a:bodyPr/>
          <a:lstStyle/>
          <a:p>
            <a:pPr>
              <a:defRPr sz="1400" b="1">
                <a:latin typeface="+mj-lt"/>
              </a:defRPr>
            </a:pPr>
            <a:endParaRPr lang="en-US"/>
          </a:p>
        </c:txPr>
        <c:crossAx val="152872448"/>
        <c:crosses val="autoZero"/>
        <c:crossBetween val="between"/>
      </c:val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'5D'!$B$2</c:f>
              <c:strCache>
                <c:ptCount val="1"/>
                <c:pt idx="0">
                  <c:v>Median</c:v>
                </c:pt>
              </c:strCache>
            </c:strRef>
          </c:tx>
          <c:spPr>
            <a:ln>
              <a:noFill/>
            </a:ln>
          </c:spPr>
          <c:marker>
            <c:symbol val="dash"/>
            <c:size val="10"/>
            <c:spPr>
              <a:solidFill>
                <a:schemeClr val="tx1"/>
              </a:solidFill>
              <a:ln>
                <a:noFill/>
              </a:ln>
            </c:spPr>
          </c:marker>
          <c:cat>
            <c:strRef>
              <c:f>'5D'!$A$3:$A$5</c:f>
              <c:strCache>
                <c:ptCount val="3"/>
                <c:pt idx="0">
                  <c:v>SCE/SCG Pre to Pre QC (n=15)</c:v>
                </c:pt>
                <c:pt idx="1">
                  <c:v>SCE/SCG Pre to Post (n=16)</c:v>
                </c:pt>
                <c:pt idx="2">
                  <c:v>PG&amp;E Pre to Post (n=43)</c:v>
                </c:pt>
              </c:strCache>
            </c:strRef>
          </c:cat>
          <c:val>
            <c:numRef>
              <c:f>'5D'!$B$3:$B$5</c:f>
              <c:numCache>
                <c:formatCode>0%</c:formatCode>
                <c:ptCount val="3"/>
                <c:pt idx="0">
                  <c:v>0</c:v>
                </c:pt>
                <c:pt idx="1">
                  <c:v>0.10405405405405407</c:v>
                </c:pt>
                <c:pt idx="2">
                  <c:v>-7.6045627376425916E-3</c:v>
                </c:pt>
              </c:numCache>
            </c:numRef>
          </c:val>
          <c:smooth val="0"/>
        </c:ser>
        <c:dLbls>
          <c:showLegendKey val="0"/>
          <c:showVal val="0"/>
          <c:showCatName val="0"/>
          <c:showSerName val="0"/>
          <c:showPercent val="0"/>
          <c:showBubbleSize val="0"/>
        </c:dLbls>
        <c:marker val="1"/>
        <c:smooth val="0"/>
        <c:axId val="137337856"/>
        <c:axId val="137343744"/>
      </c:lineChart>
      <c:stockChart>
        <c:ser>
          <c:idx val="1"/>
          <c:order val="1"/>
          <c:tx>
            <c:strRef>
              <c:f>'5D'!$C$2</c:f>
              <c:strCache>
                <c:ptCount val="1"/>
              </c:strCache>
            </c:strRef>
          </c:tx>
          <c:spPr>
            <a:ln w="28575">
              <a:noFill/>
            </a:ln>
          </c:spPr>
          <c:marker>
            <c:symbol val="none"/>
          </c:marker>
          <c:cat>
            <c:strRef>
              <c:f>'5D'!$A$3:$A$5</c:f>
              <c:strCache>
                <c:ptCount val="3"/>
                <c:pt idx="0">
                  <c:v>SCE/SCG Pre to Pre QC (n=15)</c:v>
                </c:pt>
                <c:pt idx="1">
                  <c:v>SCE/SCG Pre to Post (n=16)</c:v>
                </c:pt>
                <c:pt idx="2">
                  <c:v>PG&amp;E Pre to Post (n=43)</c:v>
                </c:pt>
              </c:strCache>
            </c:strRef>
          </c:cat>
          <c:val>
            <c:numRef>
              <c:f>'5D'!$C$3:$C$5</c:f>
              <c:numCache>
                <c:formatCode>0%</c:formatCode>
                <c:ptCount val="3"/>
                <c:pt idx="0">
                  <c:v>-5.2777777777777826E-2</c:v>
                </c:pt>
                <c:pt idx="1">
                  <c:v>-0.13653846153846144</c:v>
                </c:pt>
                <c:pt idx="2">
                  <c:v>-6.0091665252079388E-2</c:v>
                </c:pt>
              </c:numCache>
            </c:numRef>
          </c:val>
          <c:smooth val="0"/>
        </c:ser>
        <c:ser>
          <c:idx val="2"/>
          <c:order val="2"/>
          <c:tx>
            <c:strRef>
              <c:f>'5D'!$E$2</c:f>
              <c:strCache>
                <c:ptCount val="1"/>
              </c:strCache>
            </c:strRef>
          </c:tx>
          <c:spPr>
            <a:ln w="28575">
              <a:noFill/>
            </a:ln>
          </c:spPr>
          <c:marker>
            <c:symbol val="none"/>
          </c:marker>
          <c:cat>
            <c:strRef>
              <c:f>'5D'!$A$3:$A$5</c:f>
              <c:strCache>
                <c:ptCount val="3"/>
                <c:pt idx="0">
                  <c:v>SCE/SCG Pre to Pre QC (n=15)</c:v>
                </c:pt>
                <c:pt idx="1">
                  <c:v>SCE/SCG Pre to Post (n=16)</c:v>
                </c:pt>
                <c:pt idx="2">
                  <c:v>PG&amp;E Pre to Post (n=43)</c:v>
                </c:pt>
              </c:strCache>
            </c:strRef>
          </c:cat>
          <c:val>
            <c:numRef>
              <c:f>'5D'!$E$3:$E$5</c:f>
              <c:numCache>
                <c:formatCode>0%</c:formatCode>
                <c:ptCount val="3"/>
                <c:pt idx="0">
                  <c:v>0.54166666666666674</c:v>
                </c:pt>
                <c:pt idx="1">
                  <c:v>0.52941176470588236</c:v>
                </c:pt>
                <c:pt idx="2">
                  <c:v>0.3185185185185187</c:v>
                </c:pt>
              </c:numCache>
            </c:numRef>
          </c:val>
          <c:smooth val="0"/>
        </c:ser>
        <c:ser>
          <c:idx val="3"/>
          <c:order val="3"/>
          <c:tx>
            <c:strRef>
              <c:f>'5D'!$D$2</c:f>
              <c:strCache>
                <c:ptCount val="1"/>
              </c:strCache>
            </c:strRef>
          </c:tx>
          <c:spPr>
            <a:ln w="28575">
              <a:noFill/>
            </a:ln>
          </c:spPr>
          <c:marker>
            <c:symbol val="none"/>
          </c:marker>
          <c:cat>
            <c:strRef>
              <c:f>'5D'!$A$3:$A$5</c:f>
              <c:strCache>
                <c:ptCount val="3"/>
                <c:pt idx="0">
                  <c:v>SCE/SCG Pre to Pre QC (n=15)</c:v>
                </c:pt>
                <c:pt idx="1">
                  <c:v>SCE/SCG Pre to Post (n=16)</c:v>
                </c:pt>
                <c:pt idx="2">
                  <c:v>PG&amp;E Pre to Post (n=43)</c:v>
                </c:pt>
              </c:strCache>
            </c:strRef>
          </c:cat>
          <c:val>
            <c:numRef>
              <c:f>'5D'!$D$3:$D$5</c:f>
              <c:numCache>
                <c:formatCode>0%</c:formatCode>
                <c:ptCount val="3"/>
                <c:pt idx="0">
                  <c:v>-1.2</c:v>
                </c:pt>
                <c:pt idx="1">
                  <c:v>-0.4166666666666668</c:v>
                </c:pt>
                <c:pt idx="2">
                  <c:v>-0.22191780821917814</c:v>
                </c:pt>
              </c:numCache>
            </c:numRef>
          </c:val>
          <c:smooth val="0"/>
        </c:ser>
        <c:ser>
          <c:idx val="5"/>
          <c:order val="4"/>
          <c:tx>
            <c:strRef>
              <c:f>'5D'!$G$2</c:f>
              <c:strCache>
                <c:ptCount val="1"/>
                <c:pt idx="0">
                  <c:v>Mean</c:v>
                </c:pt>
              </c:strCache>
            </c:strRef>
          </c:tx>
          <c:spPr>
            <a:ln w="28575">
              <a:noFill/>
            </a:ln>
          </c:spPr>
          <c:marker>
            <c:symbol val="circle"/>
            <c:size val="6"/>
            <c:spPr>
              <a:noFill/>
              <a:ln>
                <a:solidFill>
                  <a:schemeClr val="tx1">
                    <a:shade val="95000"/>
                    <a:satMod val="105000"/>
                  </a:schemeClr>
                </a:solidFill>
              </a:ln>
            </c:spPr>
          </c:marker>
          <c:val>
            <c:numRef>
              <c:f>'5D'!$G$3:$G$5</c:f>
              <c:numCache>
                <c:formatCode>0%</c:formatCode>
                <c:ptCount val="3"/>
                <c:pt idx="0">
                  <c:v>2.1388593888121966E-2</c:v>
                </c:pt>
                <c:pt idx="1">
                  <c:v>7.1834519325322227E-2</c:v>
                </c:pt>
                <c:pt idx="2">
                  <c:v>3.2053382363376021E-3</c:v>
                </c:pt>
              </c:numCache>
            </c:numRef>
          </c:val>
          <c:smooth val="0"/>
        </c:ser>
        <c:ser>
          <c:idx val="4"/>
          <c:order val="5"/>
          <c:tx>
            <c:strRef>
              <c:f>'5D'!$F$2</c:f>
              <c:strCache>
                <c:ptCount val="1"/>
              </c:strCache>
            </c:strRef>
          </c:tx>
          <c:spPr>
            <a:ln w="28575">
              <a:noFill/>
            </a:ln>
          </c:spPr>
          <c:marker>
            <c:symbol val="none"/>
          </c:marker>
          <c:cat>
            <c:strRef>
              <c:f>'5D'!$A$3:$A$5</c:f>
              <c:strCache>
                <c:ptCount val="3"/>
                <c:pt idx="0">
                  <c:v>SCE/SCG Pre to Pre QC (n=15)</c:v>
                </c:pt>
                <c:pt idx="1">
                  <c:v>SCE/SCG Pre to Post (n=16)</c:v>
                </c:pt>
                <c:pt idx="2">
                  <c:v>PG&amp;E Pre to Post (n=43)</c:v>
                </c:pt>
              </c:strCache>
            </c:strRef>
          </c:cat>
          <c:val>
            <c:numRef>
              <c:f>'5D'!$F$3:$F$5</c:f>
              <c:numCache>
                <c:formatCode>0%</c:formatCode>
                <c:ptCount val="3"/>
                <c:pt idx="0">
                  <c:v>0.23519736842105263</c:v>
                </c:pt>
                <c:pt idx="1">
                  <c:v>0.27302631578947367</c:v>
                </c:pt>
                <c:pt idx="2">
                  <c:v>5.2650181674230578E-2</c:v>
                </c:pt>
              </c:numCache>
            </c:numRef>
          </c:val>
          <c:smooth val="0"/>
        </c:ser>
        <c:dLbls>
          <c:showLegendKey val="0"/>
          <c:showVal val="0"/>
          <c:showCatName val="0"/>
          <c:showSerName val="0"/>
          <c:showPercent val="0"/>
          <c:showBubbleSize val="0"/>
        </c:dLbls>
        <c:hiLowLines>
          <c:spPr>
            <a:ln w="19050">
              <a:headEnd type="oval"/>
              <a:tailEnd type="oval"/>
            </a:ln>
          </c:spPr>
        </c:hiLowLines>
        <c:upDownBars>
          <c:gapWidth val="150"/>
          <c:upBars>
            <c:spPr>
              <a:solidFill>
                <a:schemeClr val="tx1">
                  <a:alpha val="10000"/>
                </a:schemeClr>
              </a:solidFill>
              <a:ln w="19050"/>
            </c:spPr>
          </c:upBars>
          <c:downBars/>
        </c:upDownBars>
        <c:axId val="137347072"/>
        <c:axId val="137345280"/>
      </c:stockChart>
      <c:catAx>
        <c:axId val="137337856"/>
        <c:scaling>
          <c:orientation val="minMax"/>
        </c:scaling>
        <c:delete val="0"/>
        <c:axPos val="b"/>
        <c:numFmt formatCode="d\-mmm" sourceLinked="1"/>
        <c:majorTickMark val="none"/>
        <c:minorTickMark val="none"/>
        <c:tickLblPos val="low"/>
        <c:txPr>
          <a:bodyPr/>
          <a:lstStyle/>
          <a:p>
            <a:pPr>
              <a:defRPr sz="1400" b="1">
                <a:latin typeface="+mj-lt"/>
              </a:defRPr>
            </a:pPr>
            <a:endParaRPr lang="en-US"/>
          </a:p>
        </c:txPr>
        <c:crossAx val="137343744"/>
        <c:crosses val="autoZero"/>
        <c:auto val="1"/>
        <c:lblAlgn val="ctr"/>
        <c:lblOffset val="100"/>
        <c:noMultiLvlLbl val="0"/>
      </c:catAx>
      <c:valAx>
        <c:axId val="137343744"/>
        <c:scaling>
          <c:orientation val="minMax"/>
        </c:scaling>
        <c:delete val="0"/>
        <c:axPos val="l"/>
        <c:majorGridlines>
          <c:spPr>
            <a:ln>
              <a:solidFill>
                <a:schemeClr val="bg1">
                  <a:lumMod val="50000"/>
                </a:schemeClr>
              </a:solidFill>
            </a:ln>
          </c:spPr>
        </c:majorGridlines>
        <c:numFmt formatCode="0%" sourceLinked="1"/>
        <c:majorTickMark val="out"/>
        <c:minorTickMark val="none"/>
        <c:tickLblPos val="nextTo"/>
        <c:txPr>
          <a:bodyPr/>
          <a:lstStyle/>
          <a:p>
            <a:pPr>
              <a:defRPr sz="1400" b="1">
                <a:latin typeface="+mj-lt"/>
              </a:defRPr>
            </a:pPr>
            <a:endParaRPr lang="en-US"/>
          </a:p>
        </c:txPr>
        <c:crossAx val="137337856"/>
        <c:crosses val="autoZero"/>
        <c:crossBetween val="between"/>
      </c:valAx>
      <c:valAx>
        <c:axId val="137345280"/>
        <c:scaling>
          <c:orientation val="minMax"/>
        </c:scaling>
        <c:delete val="1"/>
        <c:axPos val="r"/>
        <c:numFmt formatCode="0%" sourceLinked="1"/>
        <c:majorTickMark val="out"/>
        <c:minorTickMark val="none"/>
        <c:tickLblPos val="none"/>
        <c:crossAx val="137347072"/>
        <c:crosses val="max"/>
        <c:crossBetween val="between"/>
      </c:valAx>
      <c:catAx>
        <c:axId val="137347072"/>
        <c:scaling>
          <c:orientation val="minMax"/>
        </c:scaling>
        <c:delete val="1"/>
        <c:axPos val="b"/>
        <c:numFmt formatCode="d\-mmm" sourceLinked="1"/>
        <c:majorTickMark val="out"/>
        <c:minorTickMark val="none"/>
        <c:tickLblPos val="none"/>
        <c:crossAx val="137345280"/>
        <c:crosses val="autoZero"/>
        <c:auto val="1"/>
        <c:lblAlgn val="ctr"/>
        <c:lblOffset val="100"/>
        <c:noMultiLvlLbl val="0"/>
      </c:cat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'6D'!$B$2</c:f>
              <c:strCache>
                <c:ptCount val="1"/>
                <c:pt idx="0">
                  <c:v>Median</c:v>
                </c:pt>
              </c:strCache>
            </c:strRef>
          </c:tx>
          <c:spPr>
            <a:ln>
              <a:noFill/>
            </a:ln>
          </c:spPr>
          <c:marker>
            <c:symbol val="dash"/>
            <c:size val="10"/>
            <c:spPr>
              <a:solidFill>
                <a:schemeClr val="tx1"/>
              </a:solidFill>
              <a:ln>
                <a:noFill/>
              </a:ln>
            </c:spPr>
          </c:marker>
          <c:cat>
            <c:strRef>
              <c:f>'6D'!$A$3:$A$4</c:f>
              <c:strCache>
                <c:ptCount val="2"/>
                <c:pt idx="0">
                  <c:v>SCE/SCG Pre-installation ACH (n=15, mean=.59)</c:v>
                </c:pt>
                <c:pt idx="1">
                  <c:v>SCE/SCG Post-installation ACH (n=15, mean=.38)</c:v>
                </c:pt>
              </c:strCache>
            </c:strRef>
          </c:cat>
          <c:val>
            <c:numRef>
              <c:f>'6D'!$B$3:$B$4</c:f>
              <c:numCache>
                <c:formatCode>0.00</c:formatCode>
                <c:ptCount val="2"/>
                <c:pt idx="0">
                  <c:v>0.53164122791973933</c:v>
                </c:pt>
                <c:pt idx="1">
                  <c:v>0.32224450473831145</c:v>
                </c:pt>
              </c:numCache>
            </c:numRef>
          </c:val>
          <c:smooth val="0"/>
        </c:ser>
        <c:dLbls>
          <c:showLegendKey val="0"/>
          <c:showVal val="0"/>
          <c:showCatName val="0"/>
          <c:showSerName val="0"/>
          <c:showPercent val="0"/>
          <c:showBubbleSize val="0"/>
        </c:dLbls>
        <c:marker val="1"/>
        <c:smooth val="0"/>
        <c:axId val="137124864"/>
        <c:axId val="137130752"/>
      </c:lineChart>
      <c:stockChart>
        <c:ser>
          <c:idx val="1"/>
          <c:order val="1"/>
          <c:tx>
            <c:strRef>
              <c:f>'6D'!$C$2</c:f>
              <c:strCache>
                <c:ptCount val="1"/>
              </c:strCache>
            </c:strRef>
          </c:tx>
          <c:spPr>
            <a:ln w="28575">
              <a:noFill/>
            </a:ln>
          </c:spPr>
          <c:marker>
            <c:symbol val="none"/>
          </c:marker>
          <c:cat>
            <c:strRef>
              <c:f>'6D'!$A$3:$A$4</c:f>
              <c:strCache>
                <c:ptCount val="2"/>
                <c:pt idx="0">
                  <c:v>SCE/SCG Pre-installation ACH (n=15, mean=.59)</c:v>
                </c:pt>
                <c:pt idx="1">
                  <c:v>SCE/SCG Post-installation ACH (n=15, mean=.38)</c:v>
                </c:pt>
              </c:strCache>
            </c:strRef>
          </c:cat>
          <c:val>
            <c:numRef>
              <c:f>'6D'!$C$3:$C$4</c:f>
              <c:numCache>
                <c:formatCode>0.00</c:formatCode>
                <c:ptCount val="2"/>
                <c:pt idx="0">
                  <c:v>0.44734956844009277</c:v>
                </c:pt>
                <c:pt idx="1">
                  <c:v>0.26643886330529487</c:v>
                </c:pt>
              </c:numCache>
            </c:numRef>
          </c:val>
          <c:smooth val="0"/>
        </c:ser>
        <c:ser>
          <c:idx val="2"/>
          <c:order val="2"/>
          <c:tx>
            <c:strRef>
              <c:f>'6D'!$E$2</c:f>
              <c:strCache>
                <c:ptCount val="1"/>
              </c:strCache>
            </c:strRef>
          </c:tx>
          <c:spPr>
            <a:ln w="28575">
              <a:noFill/>
            </a:ln>
          </c:spPr>
          <c:marker>
            <c:symbol val="none"/>
          </c:marker>
          <c:cat>
            <c:strRef>
              <c:f>'6D'!$A$3:$A$4</c:f>
              <c:strCache>
                <c:ptCount val="2"/>
                <c:pt idx="0">
                  <c:v>SCE/SCG Pre-installation ACH (n=15, mean=.59)</c:v>
                </c:pt>
                <c:pt idx="1">
                  <c:v>SCE/SCG Post-installation ACH (n=15, mean=.38)</c:v>
                </c:pt>
              </c:strCache>
            </c:strRef>
          </c:cat>
          <c:val>
            <c:numRef>
              <c:f>'6D'!$E$3:$E$4</c:f>
              <c:numCache>
                <c:formatCode>0.00</c:formatCode>
                <c:ptCount val="2"/>
                <c:pt idx="0">
                  <c:v>1.2278467522779346</c:v>
                </c:pt>
                <c:pt idx="1">
                  <c:v>0.79555501725912925</c:v>
                </c:pt>
              </c:numCache>
            </c:numRef>
          </c:val>
          <c:smooth val="0"/>
        </c:ser>
        <c:ser>
          <c:idx val="3"/>
          <c:order val="3"/>
          <c:tx>
            <c:strRef>
              <c:f>'6D'!$D$2</c:f>
              <c:strCache>
                <c:ptCount val="1"/>
              </c:strCache>
            </c:strRef>
          </c:tx>
          <c:spPr>
            <a:ln w="28575">
              <a:noFill/>
            </a:ln>
          </c:spPr>
          <c:marker>
            <c:symbol val="none"/>
          </c:marker>
          <c:cat>
            <c:strRef>
              <c:f>'6D'!$A$3:$A$4</c:f>
              <c:strCache>
                <c:ptCount val="2"/>
                <c:pt idx="0">
                  <c:v>SCE/SCG Pre-installation ACH (n=15, mean=.59)</c:v>
                </c:pt>
                <c:pt idx="1">
                  <c:v>SCE/SCG Post-installation ACH (n=15, mean=.38)</c:v>
                </c:pt>
              </c:strCache>
            </c:strRef>
          </c:cat>
          <c:val>
            <c:numRef>
              <c:f>'6D'!$D$3:$D$4</c:f>
              <c:numCache>
                <c:formatCode>0.00</c:formatCode>
                <c:ptCount val="2"/>
                <c:pt idx="0">
                  <c:v>0.27473846681529751</c:v>
                </c:pt>
                <c:pt idx="1">
                  <c:v>0.209377655709236</c:v>
                </c:pt>
              </c:numCache>
            </c:numRef>
          </c:val>
          <c:smooth val="0"/>
        </c:ser>
        <c:ser>
          <c:idx val="5"/>
          <c:order val="4"/>
          <c:tx>
            <c:strRef>
              <c:f>'6D'!$G$2</c:f>
              <c:strCache>
                <c:ptCount val="1"/>
                <c:pt idx="0">
                  <c:v>Mean</c:v>
                </c:pt>
              </c:strCache>
            </c:strRef>
          </c:tx>
          <c:spPr>
            <a:ln w="28575">
              <a:noFill/>
            </a:ln>
          </c:spPr>
          <c:marker>
            <c:symbol val="circle"/>
            <c:size val="6"/>
            <c:spPr>
              <a:noFill/>
              <a:ln>
                <a:solidFill>
                  <a:schemeClr val="tx1">
                    <a:shade val="95000"/>
                    <a:satMod val="105000"/>
                  </a:schemeClr>
                </a:solidFill>
              </a:ln>
            </c:spPr>
          </c:marker>
          <c:val>
            <c:numRef>
              <c:f>'6D'!$G$3:$G$4</c:f>
              <c:numCache>
                <c:formatCode>0.00</c:formatCode>
                <c:ptCount val="2"/>
                <c:pt idx="0">
                  <c:v>0.58857522763094627</c:v>
                </c:pt>
                <c:pt idx="1">
                  <c:v>0.37566171410649912</c:v>
                </c:pt>
              </c:numCache>
            </c:numRef>
          </c:val>
          <c:smooth val="0"/>
        </c:ser>
        <c:ser>
          <c:idx val="4"/>
          <c:order val="5"/>
          <c:tx>
            <c:strRef>
              <c:f>'6D'!$F$2</c:f>
              <c:strCache>
                <c:ptCount val="1"/>
              </c:strCache>
            </c:strRef>
          </c:tx>
          <c:spPr>
            <a:ln w="28575">
              <a:noFill/>
            </a:ln>
          </c:spPr>
          <c:marker>
            <c:symbol val="none"/>
          </c:marker>
          <c:cat>
            <c:strRef>
              <c:f>'6D'!$A$3:$A$4</c:f>
              <c:strCache>
                <c:ptCount val="2"/>
                <c:pt idx="0">
                  <c:v>SCE/SCG Pre-installation ACH (n=15, mean=.59)</c:v>
                </c:pt>
                <c:pt idx="1">
                  <c:v>SCE/SCG Post-installation ACH (n=15, mean=.38)</c:v>
                </c:pt>
              </c:strCache>
            </c:strRef>
          </c:cat>
          <c:val>
            <c:numRef>
              <c:f>'6D'!$F$3:$F$4</c:f>
              <c:numCache>
                <c:formatCode>0.00</c:formatCode>
                <c:ptCount val="2"/>
                <c:pt idx="0">
                  <c:v>0.67995326209301454</c:v>
                </c:pt>
                <c:pt idx="1">
                  <c:v>0.43015527050400371</c:v>
                </c:pt>
              </c:numCache>
            </c:numRef>
          </c:val>
          <c:smooth val="0"/>
        </c:ser>
        <c:dLbls>
          <c:showLegendKey val="0"/>
          <c:showVal val="0"/>
          <c:showCatName val="0"/>
          <c:showSerName val="0"/>
          <c:showPercent val="0"/>
          <c:showBubbleSize val="0"/>
        </c:dLbls>
        <c:hiLowLines>
          <c:spPr>
            <a:ln w="19050">
              <a:headEnd type="oval"/>
              <a:tailEnd type="oval"/>
            </a:ln>
          </c:spPr>
        </c:hiLowLines>
        <c:upDownBars>
          <c:gapWidth val="150"/>
          <c:upBars>
            <c:spPr>
              <a:solidFill>
                <a:schemeClr val="tx1">
                  <a:alpha val="10000"/>
                </a:schemeClr>
              </a:solidFill>
              <a:ln w="19050"/>
            </c:spPr>
          </c:upBars>
          <c:downBars/>
        </c:upDownBars>
        <c:axId val="137138176"/>
        <c:axId val="137132288"/>
      </c:stockChart>
      <c:catAx>
        <c:axId val="137124864"/>
        <c:scaling>
          <c:orientation val="minMax"/>
        </c:scaling>
        <c:delete val="0"/>
        <c:axPos val="b"/>
        <c:numFmt formatCode="d\-mmm" sourceLinked="1"/>
        <c:majorTickMark val="none"/>
        <c:minorTickMark val="none"/>
        <c:tickLblPos val="low"/>
        <c:txPr>
          <a:bodyPr/>
          <a:lstStyle/>
          <a:p>
            <a:pPr>
              <a:defRPr sz="1400" b="1">
                <a:latin typeface="+mj-lt"/>
              </a:defRPr>
            </a:pPr>
            <a:endParaRPr lang="en-US"/>
          </a:p>
        </c:txPr>
        <c:crossAx val="137130752"/>
        <c:crosses val="autoZero"/>
        <c:auto val="1"/>
        <c:lblAlgn val="ctr"/>
        <c:lblOffset val="100"/>
        <c:noMultiLvlLbl val="0"/>
      </c:catAx>
      <c:valAx>
        <c:axId val="137130752"/>
        <c:scaling>
          <c:orientation val="minMax"/>
        </c:scaling>
        <c:delete val="0"/>
        <c:axPos val="l"/>
        <c:majorGridlines>
          <c:spPr>
            <a:ln>
              <a:solidFill>
                <a:schemeClr val="bg1">
                  <a:lumMod val="50000"/>
                </a:schemeClr>
              </a:solidFill>
            </a:ln>
          </c:spPr>
        </c:majorGridlines>
        <c:numFmt formatCode="0.00" sourceLinked="1"/>
        <c:majorTickMark val="out"/>
        <c:minorTickMark val="none"/>
        <c:tickLblPos val="nextTo"/>
        <c:txPr>
          <a:bodyPr/>
          <a:lstStyle/>
          <a:p>
            <a:pPr>
              <a:defRPr sz="1400" b="1">
                <a:latin typeface="+mj-lt"/>
              </a:defRPr>
            </a:pPr>
            <a:endParaRPr lang="en-US"/>
          </a:p>
        </c:txPr>
        <c:crossAx val="137124864"/>
        <c:crosses val="autoZero"/>
        <c:crossBetween val="between"/>
      </c:valAx>
      <c:valAx>
        <c:axId val="137132288"/>
        <c:scaling>
          <c:orientation val="minMax"/>
        </c:scaling>
        <c:delete val="1"/>
        <c:axPos val="r"/>
        <c:numFmt formatCode="0.00" sourceLinked="1"/>
        <c:majorTickMark val="out"/>
        <c:minorTickMark val="none"/>
        <c:tickLblPos val="none"/>
        <c:crossAx val="137138176"/>
        <c:crosses val="max"/>
        <c:crossBetween val="between"/>
      </c:valAx>
      <c:catAx>
        <c:axId val="137138176"/>
        <c:scaling>
          <c:orientation val="minMax"/>
        </c:scaling>
        <c:delete val="1"/>
        <c:axPos val="b"/>
        <c:numFmt formatCode="d\-mmm" sourceLinked="1"/>
        <c:majorTickMark val="out"/>
        <c:minorTickMark val="none"/>
        <c:tickLblPos val="none"/>
        <c:crossAx val="137132288"/>
        <c:crosses val="autoZero"/>
        <c:auto val="1"/>
        <c:lblAlgn val="ctr"/>
        <c:lblOffset val="100"/>
        <c:noMultiLvlLbl val="0"/>
      </c:cat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'13D'!$B$2</c:f>
              <c:strCache>
                <c:ptCount val="1"/>
                <c:pt idx="0">
                  <c:v>Median</c:v>
                </c:pt>
              </c:strCache>
            </c:strRef>
          </c:tx>
          <c:spPr>
            <a:ln>
              <a:noFill/>
            </a:ln>
          </c:spPr>
          <c:marker>
            <c:symbol val="dash"/>
            <c:size val="10"/>
            <c:spPr>
              <a:solidFill>
                <a:schemeClr val="tx1"/>
              </a:solidFill>
              <a:ln>
                <a:noFill/>
              </a:ln>
            </c:spPr>
          </c:marker>
          <c:cat>
            <c:strRef>
              <c:f>'13D'!$A$3:$A$4</c:f>
              <c:strCache>
                <c:ptCount val="2"/>
                <c:pt idx="0">
                  <c:v>PG&amp;E Incentive percent of Cost (Check Sent n=387, mean = 23%)</c:v>
                </c:pt>
                <c:pt idx="1">
                  <c:v>SCE/SCG Incentive percent of Cost (Completed, n=106, mean=27%)</c:v>
                </c:pt>
              </c:strCache>
            </c:strRef>
          </c:cat>
          <c:val>
            <c:numRef>
              <c:f>'13D'!$B$3:$B$4</c:f>
              <c:numCache>
                <c:formatCode>0%</c:formatCode>
                <c:ptCount val="2"/>
                <c:pt idx="0">
                  <c:v>0.19765449993411516</c:v>
                </c:pt>
                <c:pt idx="1">
                  <c:v>0.22257758867541477</c:v>
                </c:pt>
              </c:numCache>
            </c:numRef>
          </c:val>
          <c:smooth val="0"/>
        </c:ser>
        <c:dLbls>
          <c:showLegendKey val="0"/>
          <c:showVal val="0"/>
          <c:showCatName val="0"/>
          <c:showSerName val="0"/>
          <c:showPercent val="0"/>
          <c:showBubbleSize val="0"/>
        </c:dLbls>
        <c:marker val="1"/>
        <c:smooth val="0"/>
        <c:axId val="137637248"/>
        <c:axId val="137647232"/>
      </c:lineChart>
      <c:stockChart>
        <c:ser>
          <c:idx val="1"/>
          <c:order val="1"/>
          <c:tx>
            <c:strRef>
              <c:f>'13D'!$C$2</c:f>
              <c:strCache>
                <c:ptCount val="1"/>
              </c:strCache>
            </c:strRef>
          </c:tx>
          <c:spPr>
            <a:ln w="28575">
              <a:noFill/>
            </a:ln>
          </c:spPr>
          <c:marker>
            <c:symbol val="none"/>
          </c:marker>
          <c:cat>
            <c:strRef>
              <c:f>'13D'!$A$3:$A$4</c:f>
              <c:strCache>
                <c:ptCount val="2"/>
                <c:pt idx="0">
                  <c:v>PG&amp;E Incentive percent of Cost (Check Sent n=387, mean = 23%)</c:v>
                </c:pt>
                <c:pt idx="1">
                  <c:v>SCE/SCG Incentive percent of Cost (Completed, n=106, mean=27%)</c:v>
                </c:pt>
              </c:strCache>
            </c:strRef>
          </c:cat>
          <c:val>
            <c:numRef>
              <c:f>'13D'!$C$3:$C$4</c:f>
              <c:numCache>
                <c:formatCode>0%</c:formatCode>
                <c:ptCount val="2"/>
                <c:pt idx="0">
                  <c:v>0.13577093575031124</c:v>
                </c:pt>
                <c:pt idx="1">
                  <c:v>0.15562182243420222</c:v>
                </c:pt>
              </c:numCache>
            </c:numRef>
          </c:val>
          <c:smooth val="0"/>
        </c:ser>
        <c:ser>
          <c:idx val="2"/>
          <c:order val="2"/>
          <c:tx>
            <c:strRef>
              <c:f>'13D'!$E$2</c:f>
              <c:strCache>
                <c:ptCount val="1"/>
              </c:strCache>
            </c:strRef>
          </c:tx>
          <c:spPr>
            <a:ln w="28575">
              <a:noFill/>
            </a:ln>
          </c:spPr>
          <c:marker>
            <c:symbol val="none"/>
          </c:marker>
          <c:cat>
            <c:strRef>
              <c:f>'13D'!$A$3:$A$4</c:f>
              <c:strCache>
                <c:ptCount val="2"/>
                <c:pt idx="0">
                  <c:v>PG&amp;E Incentive percent of Cost (Check Sent n=387, mean = 23%)</c:v>
                </c:pt>
                <c:pt idx="1">
                  <c:v>SCE/SCG Incentive percent of Cost (Completed, n=106, mean=27%)</c:v>
                </c:pt>
              </c:strCache>
            </c:strRef>
          </c:cat>
          <c:val>
            <c:numRef>
              <c:f>'13D'!$E$3:$E$4</c:f>
              <c:numCache>
                <c:formatCode>0%</c:formatCode>
                <c:ptCount val="2"/>
                <c:pt idx="0">
                  <c:v>0.88888888888888884</c:v>
                </c:pt>
                <c:pt idx="1">
                  <c:v>0.78282263475732494</c:v>
                </c:pt>
              </c:numCache>
            </c:numRef>
          </c:val>
          <c:smooth val="0"/>
        </c:ser>
        <c:ser>
          <c:idx val="3"/>
          <c:order val="3"/>
          <c:tx>
            <c:strRef>
              <c:f>'13D'!$D$2</c:f>
              <c:strCache>
                <c:ptCount val="1"/>
              </c:strCache>
            </c:strRef>
          </c:tx>
          <c:spPr>
            <a:ln w="28575">
              <a:noFill/>
            </a:ln>
          </c:spPr>
          <c:marker>
            <c:symbol val="none"/>
          </c:marker>
          <c:cat>
            <c:strRef>
              <c:f>'13D'!$A$3:$A$4</c:f>
              <c:strCache>
                <c:ptCount val="2"/>
                <c:pt idx="0">
                  <c:v>PG&amp;E Incentive percent of Cost (Check Sent n=387, mean = 23%)</c:v>
                </c:pt>
                <c:pt idx="1">
                  <c:v>SCE/SCG Incentive percent of Cost (Completed, n=106, mean=27%)</c:v>
                </c:pt>
              </c:strCache>
            </c:strRef>
          </c:cat>
          <c:val>
            <c:numRef>
              <c:f>'13D'!$D$3:$D$4</c:f>
              <c:numCache>
                <c:formatCode>0%</c:formatCode>
                <c:ptCount val="2"/>
                <c:pt idx="0">
                  <c:v>3.1748719468314777E-2</c:v>
                </c:pt>
                <c:pt idx="1">
                  <c:v>3.580507715994128E-2</c:v>
                </c:pt>
              </c:numCache>
            </c:numRef>
          </c:val>
          <c:smooth val="0"/>
        </c:ser>
        <c:ser>
          <c:idx val="5"/>
          <c:order val="4"/>
          <c:tx>
            <c:strRef>
              <c:f>'13D'!$G$2</c:f>
              <c:strCache>
                <c:ptCount val="1"/>
                <c:pt idx="0">
                  <c:v>Mean</c:v>
                </c:pt>
              </c:strCache>
            </c:strRef>
          </c:tx>
          <c:spPr>
            <a:ln w="28575">
              <a:noFill/>
            </a:ln>
          </c:spPr>
          <c:marker>
            <c:symbol val="circle"/>
            <c:size val="6"/>
            <c:spPr>
              <a:noFill/>
              <a:ln>
                <a:solidFill>
                  <a:schemeClr val="tx1">
                    <a:shade val="95000"/>
                    <a:satMod val="105000"/>
                  </a:schemeClr>
                </a:solidFill>
              </a:ln>
            </c:spPr>
          </c:marker>
          <c:val>
            <c:numRef>
              <c:f>'13D'!$G$3:$G$4</c:f>
              <c:numCache>
                <c:formatCode>0%</c:formatCode>
                <c:ptCount val="2"/>
                <c:pt idx="0">
                  <c:v>0.22620897760222247</c:v>
                </c:pt>
                <c:pt idx="1">
                  <c:v>0.26779527756022897</c:v>
                </c:pt>
              </c:numCache>
            </c:numRef>
          </c:val>
          <c:smooth val="0"/>
        </c:ser>
        <c:ser>
          <c:idx val="4"/>
          <c:order val="5"/>
          <c:tx>
            <c:strRef>
              <c:f>'13D'!$F$2</c:f>
              <c:strCache>
                <c:ptCount val="1"/>
              </c:strCache>
            </c:strRef>
          </c:tx>
          <c:spPr>
            <a:ln w="28575">
              <a:noFill/>
            </a:ln>
          </c:spPr>
          <c:marker>
            <c:symbol val="none"/>
          </c:marker>
          <c:cat>
            <c:strRef>
              <c:f>'13D'!$A$3:$A$4</c:f>
              <c:strCache>
                <c:ptCount val="2"/>
                <c:pt idx="0">
                  <c:v>PG&amp;E Incentive percent of Cost (Check Sent n=387, mean = 23%)</c:v>
                </c:pt>
                <c:pt idx="1">
                  <c:v>SCE/SCG Incentive percent of Cost (Completed, n=106, mean=27%)</c:v>
                </c:pt>
              </c:strCache>
            </c:strRef>
          </c:cat>
          <c:val>
            <c:numRef>
              <c:f>'13D'!$F$3:$F$4</c:f>
              <c:numCache>
                <c:formatCode>0%</c:formatCode>
                <c:ptCount val="2"/>
                <c:pt idx="0">
                  <c:v>0.29910298924064221</c:v>
                </c:pt>
                <c:pt idx="1">
                  <c:v>0.35628763744739722</c:v>
                </c:pt>
              </c:numCache>
            </c:numRef>
          </c:val>
          <c:smooth val="0"/>
        </c:ser>
        <c:dLbls>
          <c:showLegendKey val="0"/>
          <c:showVal val="0"/>
          <c:showCatName val="0"/>
          <c:showSerName val="0"/>
          <c:showPercent val="0"/>
          <c:showBubbleSize val="0"/>
        </c:dLbls>
        <c:hiLowLines>
          <c:spPr>
            <a:ln w="19050">
              <a:headEnd type="oval"/>
              <a:tailEnd type="oval"/>
            </a:ln>
          </c:spPr>
        </c:hiLowLines>
        <c:upDownBars>
          <c:gapWidth val="150"/>
          <c:upBars>
            <c:spPr>
              <a:solidFill>
                <a:schemeClr val="tx1">
                  <a:alpha val="10000"/>
                </a:schemeClr>
              </a:solidFill>
              <a:ln w="19050"/>
            </c:spPr>
          </c:upBars>
          <c:downBars/>
        </c:upDownBars>
        <c:axId val="137654656"/>
        <c:axId val="137648768"/>
      </c:stockChart>
      <c:catAx>
        <c:axId val="137637248"/>
        <c:scaling>
          <c:orientation val="minMax"/>
        </c:scaling>
        <c:delete val="0"/>
        <c:axPos val="b"/>
        <c:numFmt formatCode="d\-mmm" sourceLinked="1"/>
        <c:majorTickMark val="none"/>
        <c:minorTickMark val="none"/>
        <c:tickLblPos val="low"/>
        <c:txPr>
          <a:bodyPr/>
          <a:lstStyle/>
          <a:p>
            <a:pPr>
              <a:defRPr sz="1400" b="1">
                <a:latin typeface="+mj-lt"/>
              </a:defRPr>
            </a:pPr>
            <a:endParaRPr lang="en-US"/>
          </a:p>
        </c:txPr>
        <c:crossAx val="137647232"/>
        <c:crosses val="autoZero"/>
        <c:auto val="1"/>
        <c:lblAlgn val="ctr"/>
        <c:lblOffset val="100"/>
        <c:noMultiLvlLbl val="0"/>
      </c:catAx>
      <c:valAx>
        <c:axId val="137647232"/>
        <c:scaling>
          <c:orientation val="minMax"/>
        </c:scaling>
        <c:delete val="0"/>
        <c:axPos val="l"/>
        <c:majorGridlines>
          <c:spPr>
            <a:ln>
              <a:solidFill>
                <a:schemeClr val="bg1">
                  <a:lumMod val="50000"/>
                </a:schemeClr>
              </a:solidFill>
            </a:ln>
          </c:spPr>
        </c:majorGridlines>
        <c:numFmt formatCode="0%" sourceLinked="1"/>
        <c:majorTickMark val="out"/>
        <c:minorTickMark val="none"/>
        <c:tickLblPos val="nextTo"/>
        <c:txPr>
          <a:bodyPr/>
          <a:lstStyle/>
          <a:p>
            <a:pPr>
              <a:defRPr sz="1400" b="1">
                <a:latin typeface="+mj-lt"/>
              </a:defRPr>
            </a:pPr>
            <a:endParaRPr lang="en-US"/>
          </a:p>
        </c:txPr>
        <c:crossAx val="137637248"/>
        <c:crosses val="autoZero"/>
        <c:crossBetween val="between"/>
      </c:valAx>
      <c:valAx>
        <c:axId val="137648768"/>
        <c:scaling>
          <c:orientation val="minMax"/>
        </c:scaling>
        <c:delete val="1"/>
        <c:axPos val="r"/>
        <c:numFmt formatCode="0%" sourceLinked="1"/>
        <c:majorTickMark val="out"/>
        <c:minorTickMark val="none"/>
        <c:tickLblPos val="none"/>
        <c:crossAx val="137654656"/>
        <c:crosses val="max"/>
        <c:crossBetween val="between"/>
      </c:valAx>
      <c:catAx>
        <c:axId val="137654656"/>
        <c:scaling>
          <c:orientation val="minMax"/>
        </c:scaling>
        <c:delete val="1"/>
        <c:axPos val="b"/>
        <c:numFmt formatCode="d\-mmm" sourceLinked="1"/>
        <c:majorTickMark val="out"/>
        <c:minorTickMark val="none"/>
        <c:tickLblPos val="none"/>
        <c:crossAx val="137648768"/>
        <c:crosses val="autoZero"/>
        <c:auto val="1"/>
        <c:lblAlgn val="ctr"/>
        <c:lblOffset val="100"/>
        <c:noMultiLvlLbl val="0"/>
      </c:cat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'14D'!$B$2</c:f>
              <c:strCache>
                <c:ptCount val="1"/>
                <c:pt idx="0">
                  <c:v>Median</c:v>
                </c:pt>
              </c:strCache>
            </c:strRef>
          </c:tx>
          <c:spPr>
            <a:ln>
              <a:noFill/>
            </a:ln>
          </c:spPr>
          <c:marker>
            <c:symbol val="dash"/>
            <c:size val="10"/>
            <c:spPr>
              <a:solidFill>
                <a:schemeClr val="tx1"/>
              </a:solidFill>
              <a:ln>
                <a:noFill/>
              </a:ln>
            </c:spPr>
          </c:marker>
          <c:cat>
            <c:strRef>
              <c:f>'14D'!$A$3:$A$5</c:f>
              <c:strCache>
                <c:ptCount val="3"/>
                <c:pt idx="0">
                  <c:v>PG&amp;E Advanced Cost (Check Sent, n=387, mean=$16,056)</c:v>
                </c:pt>
                <c:pt idx="1">
                  <c:v>SCE/SCG Advanced Cost (Complete, n=106, mean=$13,375)</c:v>
                </c:pt>
                <c:pt idx="2">
                  <c:v>SCE/SCG Basic Cost (Complete, n=15, mean=$3,463)</c:v>
                </c:pt>
              </c:strCache>
            </c:strRef>
          </c:cat>
          <c:val>
            <c:numRef>
              <c:f>'14D'!$B$3:$B$5</c:f>
              <c:numCache>
                <c:formatCode>#,##0</c:formatCode>
                <c:ptCount val="3"/>
                <c:pt idx="0">
                  <c:v>13347</c:v>
                </c:pt>
                <c:pt idx="1">
                  <c:v>10762</c:v>
                </c:pt>
                <c:pt idx="2">
                  <c:v>2910</c:v>
                </c:pt>
              </c:numCache>
            </c:numRef>
          </c:val>
          <c:smooth val="0"/>
        </c:ser>
        <c:dLbls>
          <c:showLegendKey val="0"/>
          <c:showVal val="0"/>
          <c:showCatName val="0"/>
          <c:showSerName val="0"/>
          <c:showPercent val="0"/>
          <c:showBubbleSize val="0"/>
        </c:dLbls>
        <c:marker val="1"/>
        <c:smooth val="0"/>
        <c:axId val="136742784"/>
        <c:axId val="136744320"/>
      </c:lineChart>
      <c:stockChart>
        <c:ser>
          <c:idx val="1"/>
          <c:order val="1"/>
          <c:tx>
            <c:strRef>
              <c:f>'14D'!$C$2</c:f>
              <c:strCache>
                <c:ptCount val="1"/>
              </c:strCache>
            </c:strRef>
          </c:tx>
          <c:spPr>
            <a:ln w="28575">
              <a:noFill/>
            </a:ln>
          </c:spPr>
          <c:marker>
            <c:symbol val="none"/>
          </c:marker>
          <c:cat>
            <c:strRef>
              <c:f>'14D'!$A$3:$A$5</c:f>
              <c:strCache>
                <c:ptCount val="3"/>
                <c:pt idx="0">
                  <c:v>PG&amp;E Advanced Cost (Check Sent, n=387, mean=$16,056)</c:v>
                </c:pt>
                <c:pt idx="1">
                  <c:v>SCE/SCG Advanced Cost (Complete, n=106, mean=$13,375)</c:v>
                </c:pt>
                <c:pt idx="2">
                  <c:v>SCE/SCG Basic Cost (Complete, n=15, mean=$3,463)</c:v>
                </c:pt>
              </c:strCache>
            </c:strRef>
          </c:cat>
          <c:val>
            <c:numRef>
              <c:f>'14D'!$C$3:$C$5</c:f>
              <c:numCache>
                <c:formatCode>#,##0</c:formatCode>
                <c:ptCount val="3"/>
                <c:pt idx="0">
                  <c:v>9585</c:v>
                </c:pt>
                <c:pt idx="1">
                  <c:v>5728.75</c:v>
                </c:pt>
                <c:pt idx="2">
                  <c:v>1850</c:v>
                </c:pt>
              </c:numCache>
            </c:numRef>
          </c:val>
          <c:smooth val="0"/>
        </c:ser>
        <c:ser>
          <c:idx val="2"/>
          <c:order val="2"/>
          <c:tx>
            <c:strRef>
              <c:f>'14D'!$E$2</c:f>
              <c:strCache>
                <c:ptCount val="1"/>
              </c:strCache>
            </c:strRef>
          </c:tx>
          <c:spPr>
            <a:ln w="28575">
              <a:noFill/>
            </a:ln>
          </c:spPr>
          <c:marker>
            <c:symbol val="none"/>
          </c:marker>
          <c:cat>
            <c:strRef>
              <c:f>'14D'!$A$3:$A$5</c:f>
              <c:strCache>
                <c:ptCount val="3"/>
                <c:pt idx="0">
                  <c:v>PG&amp;E Advanced Cost (Check Sent, n=387, mean=$16,056)</c:v>
                </c:pt>
                <c:pt idx="1">
                  <c:v>SCE/SCG Advanced Cost (Complete, n=106, mean=$13,375)</c:v>
                </c:pt>
                <c:pt idx="2">
                  <c:v>SCE/SCG Basic Cost (Complete, n=15, mean=$3,463)</c:v>
                </c:pt>
              </c:strCache>
            </c:strRef>
          </c:cat>
          <c:val>
            <c:numRef>
              <c:f>'14D'!$E$3:$E$5</c:f>
              <c:numCache>
                <c:formatCode>#,##0</c:formatCode>
                <c:ptCount val="3"/>
                <c:pt idx="0">
                  <c:v>68091</c:v>
                </c:pt>
                <c:pt idx="1">
                  <c:v>58111.02</c:v>
                </c:pt>
                <c:pt idx="2">
                  <c:v>10750</c:v>
                </c:pt>
              </c:numCache>
            </c:numRef>
          </c:val>
          <c:smooth val="0"/>
        </c:ser>
        <c:ser>
          <c:idx val="3"/>
          <c:order val="3"/>
          <c:tx>
            <c:strRef>
              <c:f>'14D'!$D$2</c:f>
              <c:strCache>
                <c:ptCount val="1"/>
              </c:strCache>
            </c:strRef>
          </c:tx>
          <c:spPr>
            <a:ln w="28575">
              <a:noFill/>
            </a:ln>
          </c:spPr>
          <c:marker>
            <c:symbol val="none"/>
          </c:marker>
          <c:cat>
            <c:strRef>
              <c:f>'14D'!$A$3:$A$5</c:f>
              <c:strCache>
                <c:ptCount val="3"/>
                <c:pt idx="0">
                  <c:v>PG&amp;E Advanced Cost (Check Sent, n=387, mean=$16,056)</c:v>
                </c:pt>
                <c:pt idx="1">
                  <c:v>SCE/SCG Advanced Cost (Complete, n=106, mean=$13,375)</c:v>
                </c:pt>
                <c:pt idx="2">
                  <c:v>SCE/SCG Basic Cost (Complete, n=15, mean=$3,463)</c:v>
                </c:pt>
              </c:strCache>
            </c:strRef>
          </c:cat>
          <c:val>
            <c:numRef>
              <c:f>'14D'!$D$3:$D$5</c:f>
              <c:numCache>
                <c:formatCode>#,##0</c:formatCode>
                <c:ptCount val="3"/>
                <c:pt idx="0">
                  <c:v>2000</c:v>
                </c:pt>
                <c:pt idx="1">
                  <c:v>2000</c:v>
                </c:pt>
                <c:pt idx="2">
                  <c:v>1700</c:v>
                </c:pt>
              </c:numCache>
            </c:numRef>
          </c:val>
          <c:smooth val="0"/>
        </c:ser>
        <c:ser>
          <c:idx val="5"/>
          <c:order val="4"/>
          <c:tx>
            <c:strRef>
              <c:f>'14D'!$G$2</c:f>
              <c:strCache>
                <c:ptCount val="1"/>
                <c:pt idx="0">
                  <c:v>Mean</c:v>
                </c:pt>
              </c:strCache>
            </c:strRef>
          </c:tx>
          <c:spPr>
            <a:ln w="28575">
              <a:noFill/>
            </a:ln>
          </c:spPr>
          <c:marker>
            <c:symbol val="circle"/>
            <c:size val="6"/>
            <c:spPr>
              <a:noFill/>
              <a:ln>
                <a:solidFill>
                  <a:schemeClr val="tx1">
                    <a:shade val="95000"/>
                    <a:satMod val="105000"/>
                  </a:schemeClr>
                </a:solidFill>
              </a:ln>
            </c:spPr>
          </c:marker>
          <c:val>
            <c:numRef>
              <c:f>'14D'!$G$3:$G$5</c:f>
              <c:numCache>
                <c:formatCode>#,##0</c:formatCode>
                <c:ptCount val="3"/>
                <c:pt idx="0">
                  <c:v>16055.952351421185</c:v>
                </c:pt>
                <c:pt idx="1">
                  <c:v>13375.418773584908</c:v>
                </c:pt>
                <c:pt idx="2">
                  <c:v>3462.8</c:v>
                </c:pt>
              </c:numCache>
            </c:numRef>
          </c:val>
          <c:smooth val="0"/>
        </c:ser>
        <c:ser>
          <c:idx val="4"/>
          <c:order val="5"/>
          <c:tx>
            <c:strRef>
              <c:f>'14D'!$F$2</c:f>
              <c:strCache>
                <c:ptCount val="1"/>
              </c:strCache>
            </c:strRef>
          </c:tx>
          <c:spPr>
            <a:ln w="28575">
              <a:noFill/>
            </a:ln>
          </c:spPr>
          <c:marker>
            <c:symbol val="none"/>
          </c:marker>
          <c:cat>
            <c:strRef>
              <c:f>'14D'!$A$3:$A$5</c:f>
              <c:strCache>
                <c:ptCount val="3"/>
                <c:pt idx="0">
                  <c:v>PG&amp;E Advanced Cost (Check Sent, n=387, mean=$16,056)</c:v>
                </c:pt>
                <c:pt idx="1">
                  <c:v>SCE/SCG Advanced Cost (Complete, n=106, mean=$13,375)</c:v>
                </c:pt>
                <c:pt idx="2">
                  <c:v>SCE/SCG Basic Cost (Complete, n=15, mean=$3,463)</c:v>
                </c:pt>
              </c:strCache>
            </c:strRef>
          </c:cat>
          <c:val>
            <c:numRef>
              <c:f>'14D'!$F$3:$F$5</c:f>
              <c:numCache>
                <c:formatCode>#,##0</c:formatCode>
                <c:ptCount val="3"/>
                <c:pt idx="0">
                  <c:v>20546.5</c:v>
                </c:pt>
                <c:pt idx="1">
                  <c:v>18256.75</c:v>
                </c:pt>
                <c:pt idx="2">
                  <c:v>4246</c:v>
                </c:pt>
              </c:numCache>
            </c:numRef>
          </c:val>
          <c:smooth val="0"/>
        </c:ser>
        <c:dLbls>
          <c:showLegendKey val="0"/>
          <c:showVal val="0"/>
          <c:showCatName val="0"/>
          <c:showSerName val="0"/>
          <c:showPercent val="0"/>
          <c:showBubbleSize val="0"/>
        </c:dLbls>
        <c:hiLowLines>
          <c:spPr>
            <a:ln w="19050">
              <a:headEnd type="oval"/>
              <a:tailEnd type="oval"/>
            </a:ln>
          </c:spPr>
        </c:hiLowLines>
        <c:upDownBars>
          <c:gapWidth val="150"/>
          <c:upBars>
            <c:spPr>
              <a:solidFill>
                <a:schemeClr val="tx1">
                  <a:alpha val="10000"/>
                </a:schemeClr>
              </a:solidFill>
              <a:ln w="19050"/>
            </c:spPr>
          </c:upBars>
          <c:downBars/>
        </c:upDownBars>
        <c:axId val="136759936"/>
        <c:axId val="136758400"/>
      </c:stockChart>
      <c:catAx>
        <c:axId val="136742784"/>
        <c:scaling>
          <c:orientation val="minMax"/>
        </c:scaling>
        <c:delete val="0"/>
        <c:axPos val="b"/>
        <c:numFmt formatCode="d\-mmm" sourceLinked="1"/>
        <c:majorTickMark val="none"/>
        <c:minorTickMark val="none"/>
        <c:tickLblPos val="low"/>
        <c:txPr>
          <a:bodyPr/>
          <a:lstStyle/>
          <a:p>
            <a:pPr>
              <a:defRPr sz="1400" b="1">
                <a:latin typeface="+mj-lt"/>
              </a:defRPr>
            </a:pPr>
            <a:endParaRPr lang="en-US"/>
          </a:p>
        </c:txPr>
        <c:crossAx val="136744320"/>
        <c:crosses val="autoZero"/>
        <c:auto val="1"/>
        <c:lblAlgn val="ctr"/>
        <c:lblOffset val="100"/>
        <c:noMultiLvlLbl val="0"/>
      </c:catAx>
      <c:valAx>
        <c:axId val="136744320"/>
        <c:scaling>
          <c:orientation val="minMax"/>
        </c:scaling>
        <c:delete val="0"/>
        <c:axPos val="l"/>
        <c:majorGridlines>
          <c:spPr>
            <a:ln>
              <a:solidFill>
                <a:schemeClr val="bg1">
                  <a:lumMod val="50000"/>
                </a:schemeClr>
              </a:solidFill>
            </a:ln>
          </c:spPr>
        </c:majorGridlines>
        <c:numFmt formatCode="&quot;$&quot;#,##0" sourceLinked="0"/>
        <c:majorTickMark val="out"/>
        <c:minorTickMark val="none"/>
        <c:tickLblPos val="nextTo"/>
        <c:txPr>
          <a:bodyPr/>
          <a:lstStyle/>
          <a:p>
            <a:pPr>
              <a:defRPr sz="1400" b="1">
                <a:latin typeface="+mj-lt"/>
              </a:defRPr>
            </a:pPr>
            <a:endParaRPr lang="en-US"/>
          </a:p>
        </c:txPr>
        <c:crossAx val="136742784"/>
        <c:crosses val="autoZero"/>
        <c:crossBetween val="between"/>
      </c:valAx>
      <c:valAx>
        <c:axId val="136758400"/>
        <c:scaling>
          <c:orientation val="minMax"/>
        </c:scaling>
        <c:delete val="1"/>
        <c:axPos val="r"/>
        <c:numFmt formatCode="#,##0" sourceLinked="1"/>
        <c:majorTickMark val="out"/>
        <c:minorTickMark val="none"/>
        <c:tickLblPos val="none"/>
        <c:crossAx val="136759936"/>
        <c:crosses val="max"/>
        <c:crossBetween val="between"/>
      </c:valAx>
      <c:catAx>
        <c:axId val="136759936"/>
        <c:scaling>
          <c:orientation val="minMax"/>
        </c:scaling>
        <c:delete val="1"/>
        <c:axPos val="b"/>
        <c:numFmt formatCode="d\-mmm" sourceLinked="1"/>
        <c:majorTickMark val="out"/>
        <c:minorTickMark val="none"/>
        <c:tickLblPos val="none"/>
        <c:crossAx val="136758400"/>
        <c:crosses val="autoZero"/>
        <c:auto val="1"/>
        <c:lblAlgn val="ctr"/>
        <c:lblOffset val="100"/>
        <c:noMultiLvlLbl val="0"/>
      </c:catAx>
      <c:spPr>
        <a:ln w="19050">
          <a:solidFill>
            <a:schemeClr val="tx1"/>
          </a:solidFill>
        </a:ln>
      </c:spPr>
    </c:plotArea>
    <c:legend>
      <c:legendPos val="b"/>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'20D'!$B$1</c:f>
              <c:strCache>
                <c:ptCount val="1"/>
                <c:pt idx="0">
                  <c:v>EnergyPro (Site 2-1058)</c:v>
                </c:pt>
              </c:strCache>
            </c:strRef>
          </c:tx>
          <c:marker>
            <c:symbol val="diamond"/>
            <c:size val="7"/>
          </c:marker>
          <c:cat>
            <c:numRef>
              <c:f>'20D'!$A$2:$A$8</c:f>
              <c:numCache>
                <c:formatCode>0</c:formatCode>
                <c:ptCount val="7"/>
                <c:pt idx="0">
                  <c:v>2</c:v>
                </c:pt>
                <c:pt idx="1">
                  <c:v>4</c:v>
                </c:pt>
                <c:pt idx="2">
                  <c:v>6</c:v>
                </c:pt>
                <c:pt idx="3">
                  <c:v>10</c:v>
                </c:pt>
                <c:pt idx="4">
                  <c:v>20</c:v>
                </c:pt>
                <c:pt idx="5">
                  <c:v>40</c:v>
                </c:pt>
                <c:pt idx="6">
                  <c:v>60</c:v>
                </c:pt>
              </c:numCache>
            </c:numRef>
          </c:cat>
          <c:val>
            <c:numRef>
              <c:f>'20D'!$B$2:$B$8</c:f>
              <c:numCache>
                <c:formatCode>0.0</c:formatCode>
                <c:ptCount val="7"/>
                <c:pt idx="0">
                  <c:v>59.85</c:v>
                </c:pt>
                <c:pt idx="1">
                  <c:v>60.26</c:v>
                </c:pt>
                <c:pt idx="2">
                  <c:v>60.68</c:v>
                </c:pt>
                <c:pt idx="3">
                  <c:v>61.54</c:v>
                </c:pt>
                <c:pt idx="4">
                  <c:v>63.83</c:v>
                </c:pt>
                <c:pt idx="5">
                  <c:v>69.14</c:v>
                </c:pt>
                <c:pt idx="6">
                  <c:v>75.66</c:v>
                </c:pt>
              </c:numCache>
            </c:numRef>
          </c:val>
          <c:smooth val="0"/>
        </c:ser>
        <c:ser>
          <c:idx val="0"/>
          <c:order val="1"/>
          <c:tx>
            <c:strRef>
              <c:f>'20D'!$C$1</c:f>
              <c:strCache>
                <c:ptCount val="1"/>
                <c:pt idx="0">
                  <c:v>eQUEST (Site 2-1058)</c:v>
                </c:pt>
              </c:strCache>
            </c:strRef>
          </c:tx>
          <c:cat>
            <c:numRef>
              <c:f>'20D'!$A$2:$A$8</c:f>
              <c:numCache>
                <c:formatCode>0</c:formatCode>
                <c:ptCount val="7"/>
                <c:pt idx="0">
                  <c:v>2</c:v>
                </c:pt>
                <c:pt idx="1">
                  <c:v>4</c:v>
                </c:pt>
                <c:pt idx="2">
                  <c:v>6</c:v>
                </c:pt>
                <c:pt idx="3">
                  <c:v>10</c:v>
                </c:pt>
                <c:pt idx="4">
                  <c:v>20</c:v>
                </c:pt>
                <c:pt idx="5">
                  <c:v>40</c:v>
                </c:pt>
                <c:pt idx="6">
                  <c:v>60</c:v>
                </c:pt>
              </c:numCache>
            </c:numRef>
          </c:cat>
          <c:val>
            <c:numRef>
              <c:f>'20D'!$C$2:$C$8</c:f>
              <c:numCache>
                <c:formatCode>0.0</c:formatCode>
                <c:ptCount val="7"/>
                <c:pt idx="0">
                  <c:v>58</c:v>
                </c:pt>
                <c:pt idx="1">
                  <c:v>58.9</c:v>
                </c:pt>
                <c:pt idx="2">
                  <c:v>59.8</c:v>
                </c:pt>
                <c:pt idx="3">
                  <c:v>61.8</c:v>
                </c:pt>
                <c:pt idx="4">
                  <c:v>67.900000000000006</c:v>
                </c:pt>
                <c:pt idx="5">
                  <c:v>89.1</c:v>
                </c:pt>
                <c:pt idx="6">
                  <c:v>142.9</c:v>
                </c:pt>
              </c:numCache>
            </c:numRef>
          </c:val>
          <c:smooth val="0"/>
        </c:ser>
        <c:ser>
          <c:idx val="3"/>
          <c:order val="2"/>
          <c:tx>
            <c:strRef>
              <c:f>'20D'!$D$1</c:f>
              <c:strCache>
                <c:ptCount val="1"/>
                <c:pt idx="0">
                  <c:v>EnergyPro (Site 1-1057)</c:v>
                </c:pt>
              </c:strCache>
            </c:strRef>
          </c:tx>
          <c:cat>
            <c:numRef>
              <c:f>'20D'!$A$2:$A$8</c:f>
              <c:numCache>
                <c:formatCode>0</c:formatCode>
                <c:ptCount val="7"/>
                <c:pt idx="0">
                  <c:v>2</c:v>
                </c:pt>
                <c:pt idx="1">
                  <c:v>4</c:v>
                </c:pt>
                <c:pt idx="2">
                  <c:v>6</c:v>
                </c:pt>
                <c:pt idx="3">
                  <c:v>10</c:v>
                </c:pt>
                <c:pt idx="4">
                  <c:v>20</c:v>
                </c:pt>
                <c:pt idx="5">
                  <c:v>40</c:v>
                </c:pt>
                <c:pt idx="6">
                  <c:v>60</c:v>
                </c:pt>
              </c:numCache>
            </c:numRef>
          </c:cat>
          <c:val>
            <c:numRef>
              <c:f>'20D'!$D$2:$D$8</c:f>
              <c:numCache>
                <c:formatCode>0.0</c:formatCode>
                <c:ptCount val="7"/>
                <c:pt idx="0">
                  <c:v>66.39</c:v>
                </c:pt>
                <c:pt idx="1">
                  <c:v>66.89</c:v>
                </c:pt>
                <c:pt idx="2">
                  <c:v>67.39</c:v>
                </c:pt>
                <c:pt idx="3">
                  <c:v>68.44</c:v>
                </c:pt>
                <c:pt idx="4">
                  <c:v>71.23</c:v>
                </c:pt>
                <c:pt idx="5">
                  <c:v>77.680000000000007</c:v>
                </c:pt>
                <c:pt idx="6">
                  <c:v>85.64</c:v>
                </c:pt>
              </c:numCache>
            </c:numRef>
          </c:val>
          <c:smooth val="0"/>
        </c:ser>
        <c:ser>
          <c:idx val="4"/>
          <c:order val="3"/>
          <c:tx>
            <c:strRef>
              <c:f>'20D'!$E$1</c:f>
              <c:strCache>
                <c:ptCount val="1"/>
                <c:pt idx="0">
                  <c:v>eQUEST (Site 1-1057)</c:v>
                </c:pt>
              </c:strCache>
            </c:strRef>
          </c:tx>
          <c:cat>
            <c:numRef>
              <c:f>'20D'!$A$2:$A$8</c:f>
              <c:numCache>
                <c:formatCode>0</c:formatCode>
                <c:ptCount val="7"/>
                <c:pt idx="0">
                  <c:v>2</c:v>
                </c:pt>
                <c:pt idx="1">
                  <c:v>4</c:v>
                </c:pt>
                <c:pt idx="2">
                  <c:v>6</c:v>
                </c:pt>
                <c:pt idx="3">
                  <c:v>10</c:v>
                </c:pt>
                <c:pt idx="4">
                  <c:v>20</c:v>
                </c:pt>
                <c:pt idx="5">
                  <c:v>40</c:v>
                </c:pt>
                <c:pt idx="6">
                  <c:v>60</c:v>
                </c:pt>
              </c:numCache>
            </c:numRef>
          </c:cat>
          <c:val>
            <c:numRef>
              <c:f>'20D'!$E$2:$E$8</c:f>
              <c:numCache>
                <c:formatCode>0.0</c:formatCode>
                <c:ptCount val="7"/>
                <c:pt idx="0">
                  <c:v>59</c:v>
                </c:pt>
                <c:pt idx="1">
                  <c:v>60.4</c:v>
                </c:pt>
                <c:pt idx="2">
                  <c:v>61.9</c:v>
                </c:pt>
                <c:pt idx="3">
                  <c:v>65</c:v>
                </c:pt>
                <c:pt idx="4">
                  <c:v>74.099999999999994</c:v>
                </c:pt>
                <c:pt idx="5">
                  <c:v>101.1</c:v>
                </c:pt>
                <c:pt idx="6">
                  <c:v>152.4</c:v>
                </c:pt>
              </c:numCache>
            </c:numRef>
          </c:val>
          <c:smooth val="0"/>
        </c:ser>
        <c:dLbls>
          <c:showLegendKey val="0"/>
          <c:showVal val="0"/>
          <c:showCatName val="0"/>
          <c:showSerName val="0"/>
          <c:showPercent val="0"/>
          <c:showBubbleSize val="0"/>
        </c:dLbls>
        <c:marker val="1"/>
        <c:smooth val="0"/>
        <c:axId val="137412992"/>
        <c:axId val="137414912"/>
      </c:lineChart>
      <c:catAx>
        <c:axId val="137412992"/>
        <c:scaling>
          <c:orientation val="minMax"/>
        </c:scaling>
        <c:delete val="0"/>
        <c:axPos val="b"/>
        <c:title>
          <c:tx>
            <c:rich>
              <a:bodyPr/>
              <a:lstStyle/>
              <a:p>
                <a:pPr>
                  <a:defRPr sz="1600">
                    <a:latin typeface="+mj-lt"/>
                  </a:defRPr>
                </a:pPr>
                <a:r>
                  <a:rPr lang="en-US" sz="1600">
                    <a:latin typeface="+mj-lt"/>
                  </a:rPr>
                  <a:t>% Duct Leakage</a:t>
                </a:r>
              </a:p>
            </c:rich>
          </c:tx>
          <c:overlay val="0"/>
        </c:title>
        <c:numFmt formatCode="0" sourceLinked="1"/>
        <c:majorTickMark val="out"/>
        <c:minorTickMark val="none"/>
        <c:tickLblPos val="nextTo"/>
        <c:txPr>
          <a:bodyPr rot="0" vert="horz"/>
          <a:lstStyle/>
          <a:p>
            <a:pPr>
              <a:defRPr sz="1200" b="1">
                <a:latin typeface="+mj-lt"/>
              </a:defRPr>
            </a:pPr>
            <a:endParaRPr lang="en-US"/>
          </a:p>
        </c:txPr>
        <c:crossAx val="137414912"/>
        <c:crosses val="autoZero"/>
        <c:auto val="1"/>
        <c:lblAlgn val="ctr"/>
        <c:lblOffset val="100"/>
        <c:tickLblSkip val="1"/>
        <c:tickMarkSkip val="1"/>
        <c:noMultiLvlLbl val="0"/>
      </c:catAx>
      <c:valAx>
        <c:axId val="137414912"/>
        <c:scaling>
          <c:orientation val="minMax"/>
          <c:max val="150"/>
          <c:min val="50"/>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sz="1600">
                    <a:latin typeface="+mj-lt"/>
                  </a:rPr>
                  <a:t>kBtu/ft^2-yr</a:t>
                </a:r>
              </a:p>
            </c:rich>
          </c:tx>
          <c:overlay val="0"/>
        </c:title>
        <c:numFmt formatCode="0.0" sourceLinked="1"/>
        <c:majorTickMark val="out"/>
        <c:minorTickMark val="none"/>
        <c:tickLblPos val="nextTo"/>
        <c:txPr>
          <a:bodyPr/>
          <a:lstStyle/>
          <a:p>
            <a:pPr>
              <a:defRPr sz="1400" b="1">
                <a:latin typeface="+mj-lt"/>
              </a:defRPr>
            </a:pPr>
            <a:endParaRPr lang="en-US"/>
          </a:p>
        </c:txPr>
        <c:crossAx val="137412992"/>
        <c:crosses val="autoZero"/>
        <c:crossBetween val="between"/>
      </c:valAx>
      <c:spPr>
        <a:ln w="19050">
          <a:solidFill>
            <a:schemeClr val="tx1"/>
          </a:solidFill>
        </a:ln>
      </c:spPr>
    </c:plotArea>
    <c:legend>
      <c:legendPos val="b"/>
      <c:layout>
        <c:manualLayout>
          <c:xMode val="edge"/>
          <c:yMode val="edge"/>
          <c:x val="0.12588500656167978"/>
          <c:y val="0.8944079490063741"/>
          <c:w val="0.83901219378827652"/>
          <c:h val="9.1306336707911509E-2"/>
        </c:manualLayout>
      </c:layout>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'21D'!$B$1</c:f>
              <c:strCache>
                <c:ptCount val="1"/>
                <c:pt idx="0">
                  <c:v>EnergyPro (Site 2-1058)</c:v>
                </c:pt>
              </c:strCache>
            </c:strRef>
          </c:tx>
          <c:marker>
            <c:symbol val="diamond"/>
            <c:size val="7"/>
          </c:marker>
          <c:cat>
            <c:numRef>
              <c:f>'21D'!$A$2:$A$8</c:f>
              <c:numCache>
                <c:formatCode>0.000</c:formatCode>
                <c:ptCount val="7"/>
                <c:pt idx="0">
                  <c:v>0.3</c:v>
                </c:pt>
                <c:pt idx="1">
                  <c:v>0.248</c:v>
                </c:pt>
                <c:pt idx="2">
                  <c:v>0.19900000000000001</c:v>
                </c:pt>
                <c:pt idx="3">
                  <c:v>0.14899999999999999</c:v>
                </c:pt>
                <c:pt idx="4">
                  <c:v>0.1</c:v>
                </c:pt>
                <c:pt idx="5">
                  <c:v>0.05</c:v>
                </c:pt>
                <c:pt idx="6">
                  <c:v>0.01</c:v>
                </c:pt>
              </c:numCache>
            </c:numRef>
          </c:cat>
          <c:val>
            <c:numRef>
              <c:f>'21D'!$B$2:$B$8</c:f>
              <c:numCache>
                <c:formatCode>0.0</c:formatCode>
                <c:ptCount val="7"/>
                <c:pt idx="0">
                  <c:v>63.59</c:v>
                </c:pt>
                <c:pt idx="1">
                  <c:v>63.58</c:v>
                </c:pt>
                <c:pt idx="2">
                  <c:v>63.3</c:v>
                </c:pt>
                <c:pt idx="3">
                  <c:v>62.9</c:v>
                </c:pt>
                <c:pt idx="4">
                  <c:v>62.37</c:v>
                </c:pt>
                <c:pt idx="5">
                  <c:v>61.51</c:v>
                </c:pt>
                <c:pt idx="6">
                  <c:v>60.41</c:v>
                </c:pt>
              </c:numCache>
            </c:numRef>
          </c:val>
          <c:smooth val="0"/>
        </c:ser>
        <c:ser>
          <c:idx val="0"/>
          <c:order val="1"/>
          <c:tx>
            <c:strRef>
              <c:f>'21D'!$C$1</c:f>
              <c:strCache>
                <c:ptCount val="1"/>
                <c:pt idx="0">
                  <c:v>eQUEST (Site 2-1058)</c:v>
                </c:pt>
              </c:strCache>
            </c:strRef>
          </c:tx>
          <c:cat>
            <c:numRef>
              <c:f>'21D'!$A$2:$A$8</c:f>
              <c:numCache>
                <c:formatCode>0.000</c:formatCode>
                <c:ptCount val="7"/>
                <c:pt idx="0">
                  <c:v>0.3</c:v>
                </c:pt>
                <c:pt idx="1">
                  <c:v>0.248</c:v>
                </c:pt>
                <c:pt idx="2">
                  <c:v>0.19900000000000001</c:v>
                </c:pt>
                <c:pt idx="3">
                  <c:v>0.14899999999999999</c:v>
                </c:pt>
                <c:pt idx="4">
                  <c:v>0.1</c:v>
                </c:pt>
                <c:pt idx="5">
                  <c:v>0.05</c:v>
                </c:pt>
                <c:pt idx="6">
                  <c:v>0.01</c:v>
                </c:pt>
              </c:numCache>
            </c:numRef>
          </c:cat>
          <c:val>
            <c:numRef>
              <c:f>'21D'!$C$2:$C$8</c:f>
              <c:numCache>
                <c:formatCode>0.0</c:formatCode>
                <c:ptCount val="7"/>
                <c:pt idx="0">
                  <c:v>67.2</c:v>
                </c:pt>
                <c:pt idx="1">
                  <c:v>62.4</c:v>
                </c:pt>
                <c:pt idx="2">
                  <c:v>57.5</c:v>
                </c:pt>
                <c:pt idx="3">
                  <c:v>52.2</c:v>
                </c:pt>
                <c:pt idx="4">
                  <c:v>46.6</c:v>
                </c:pt>
                <c:pt idx="5">
                  <c:v>40.700000000000003</c:v>
                </c:pt>
                <c:pt idx="6">
                  <c:v>35.799999999999997</c:v>
                </c:pt>
              </c:numCache>
            </c:numRef>
          </c:val>
          <c:smooth val="0"/>
        </c:ser>
        <c:dLbls>
          <c:showLegendKey val="0"/>
          <c:showVal val="0"/>
          <c:showCatName val="0"/>
          <c:showSerName val="0"/>
          <c:showPercent val="0"/>
          <c:showBubbleSize val="0"/>
        </c:dLbls>
        <c:marker val="1"/>
        <c:smooth val="0"/>
        <c:axId val="145887616"/>
        <c:axId val="145889536"/>
      </c:lineChart>
      <c:catAx>
        <c:axId val="145887616"/>
        <c:scaling>
          <c:orientation val="minMax"/>
        </c:scaling>
        <c:delete val="0"/>
        <c:axPos val="b"/>
        <c:title>
          <c:tx>
            <c:rich>
              <a:bodyPr/>
              <a:lstStyle/>
              <a:p>
                <a:pPr>
                  <a:defRPr sz="1600">
                    <a:latin typeface="+mj-lt"/>
                  </a:defRPr>
                </a:pPr>
                <a:r>
                  <a:rPr lang="en-US" sz="1600">
                    <a:latin typeface="+mj-lt"/>
                  </a:rPr>
                  <a:t>Improved</a:t>
                </a:r>
                <a:r>
                  <a:rPr lang="en-US" sz="1600" baseline="0">
                    <a:latin typeface="+mj-lt"/>
                  </a:rPr>
                  <a:t> Roof U-Value</a:t>
                </a:r>
                <a:endParaRPr lang="en-US" sz="1600">
                  <a:latin typeface="+mj-lt"/>
                </a:endParaRPr>
              </a:p>
            </c:rich>
          </c:tx>
          <c:overlay val="0"/>
        </c:title>
        <c:numFmt formatCode="0.000" sourceLinked="0"/>
        <c:majorTickMark val="out"/>
        <c:minorTickMark val="none"/>
        <c:tickLblPos val="nextTo"/>
        <c:txPr>
          <a:bodyPr rot="-5400000" vert="horz"/>
          <a:lstStyle/>
          <a:p>
            <a:pPr>
              <a:defRPr sz="1200" b="1">
                <a:latin typeface="+mj-lt"/>
              </a:defRPr>
            </a:pPr>
            <a:endParaRPr lang="en-US"/>
          </a:p>
        </c:txPr>
        <c:crossAx val="145889536"/>
        <c:crosses val="autoZero"/>
        <c:auto val="1"/>
        <c:lblAlgn val="ctr"/>
        <c:lblOffset val="100"/>
        <c:tickLblSkip val="1"/>
        <c:tickMarkSkip val="1"/>
        <c:noMultiLvlLbl val="0"/>
      </c:catAx>
      <c:valAx>
        <c:axId val="145889536"/>
        <c:scaling>
          <c:orientation val="minMax"/>
          <c:max val="70"/>
          <c:min val="30"/>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sz="1600">
                    <a:latin typeface="+mj-lt"/>
                  </a:rPr>
                  <a:t>kBtu/ft^2-yr</a:t>
                </a:r>
              </a:p>
            </c:rich>
          </c:tx>
          <c:overlay val="0"/>
        </c:title>
        <c:numFmt formatCode="0.0" sourceLinked="1"/>
        <c:majorTickMark val="out"/>
        <c:minorTickMark val="none"/>
        <c:tickLblPos val="nextTo"/>
        <c:txPr>
          <a:bodyPr/>
          <a:lstStyle/>
          <a:p>
            <a:pPr>
              <a:defRPr sz="1400" b="1">
                <a:latin typeface="+mj-lt"/>
              </a:defRPr>
            </a:pPr>
            <a:endParaRPr lang="en-US"/>
          </a:p>
        </c:txPr>
        <c:crossAx val="145887616"/>
        <c:crosses val="autoZero"/>
        <c:crossBetween val="between"/>
      </c:valAx>
      <c:spPr>
        <a:ln w="19050">
          <a:solidFill>
            <a:schemeClr val="tx1"/>
          </a:solidFill>
        </a:ln>
      </c:spPr>
    </c:plotArea>
    <c:legend>
      <c:legendPos val="b"/>
      <c:layout>
        <c:manualLayout>
          <c:xMode val="edge"/>
          <c:yMode val="edge"/>
          <c:x val="0.12588500656167978"/>
          <c:y val="0.8944079490063741"/>
          <c:w val="0.61932510389326334"/>
          <c:h val="4.7438882639670055E-2"/>
        </c:manualLayout>
      </c:layout>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'22D'!$B$1</c:f>
              <c:strCache>
                <c:ptCount val="1"/>
                <c:pt idx="0">
                  <c:v>EnergyPro</c:v>
                </c:pt>
              </c:strCache>
            </c:strRef>
          </c:tx>
          <c:cat>
            <c:strRef>
              <c:f>'22D'!$A$2:$A$13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'22D'!$B$2:$B$13</c:f>
              <c:numCache>
                <c:formatCode>0.00</c:formatCode>
                <c:ptCount val="12"/>
                <c:pt idx="0" formatCode="0.0">
                  <c:v>746</c:v>
                </c:pt>
                <c:pt idx="1">
                  <c:v>600</c:v>
                </c:pt>
                <c:pt idx="2">
                  <c:v>623</c:v>
                </c:pt>
                <c:pt idx="3">
                  <c:v>576</c:v>
                </c:pt>
                <c:pt idx="4">
                  <c:v>579</c:v>
                </c:pt>
                <c:pt idx="5">
                  <c:v>480</c:v>
                </c:pt>
                <c:pt idx="6">
                  <c:v>452</c:v>
                </c:pt>
                <c:pt idx="7">
                  <c:v>452</c:v>
                </c:pt>
                <c:pt idx="8">
                  <c:v>471</c:v>
                </c:pt>
                <c:pt idx="9">
                  <c:v>524</c:v>
                </c:pt>
                <c:pt idx="10">
                  <c:v>600</c:v>
                </c:pt>
                <c:pt idx="11">
                  <c:v>741</c:v>
                </c:pt>
              </c:numCache>
            </c:numRef>
          </c:val>
          <c:smooth val="0"/>
        </c:ser>
        <c:ser>
          <c:idx val="1"/>
          <c:order val="1"/>
          <c:tx>
            <c:strRef>
              <c:f>'22D'!$C$1</c:f>
              <c:strCache>
                <c:ptCount val="1"/>
                <c:pt idx="0">
                  <c:v>eQUEST</c:v>
                </c:pt>
              </c:strCache>
            </c:strRef>
          </c:tx>
          <c:cat>
            <c:strRef>
              <c:f>'22D'!$A$2:$A$13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'22D'!$C$2:$C$13</c:f>
              <c:numCache>
                <c:formatCode>0.00</c:formatCode>
                <c:ptCount val="12"/>
                <c:pt idx="0" formatCode="0.0">
                  <c:v>682.32680000000005</c:v>
                </c:pt>
                <c:pt idx="1">
                  <c:v>573.8614</c:v>
                </c:pt>
                <c:pt idx="2">
                  <c:v>599.92700000000002</c:v>
                </c:pt>
                <c:pt idx="3">
                  <c:v>544.33540000000005</c:v>
                </c:pt>
                <c:pt idx="4">
                  <c:v>513.77440000000001</c:v>
                </c:pt>
                <c:pt idx="5">
                  <c:v>477.14589999999998</c:v>
                </c:pt>
                <c:pt idx="6">
                  <c:v>502.53890000000001</c:v>
                </c:pt>
                <c:pt idx="7">
                  <c:v>569.38710000000003</c:v>
                </c:pt>
                <c:pt idx="8">
                  <c:v>553.49879999999996</c:v>
                </c:pt>
                <c:pt idx="9">
                  <c:v>609.08410000000003</c:v>
                </c:pt>
                <c:pt idx="10">
                  <c:v>632.01220000000001</c:v>
                </c:pt>
                <c:pt idx="11">
                  <c:v>690.34969999999998</c:v>
                </c:pt>
              </c:numCache>
            </c:numRef>
          </c:val>
          <c:smooth val="0"/>
        </c:ser>
        <c:ser>
          <c:idx val="2"/>
          <c:order val="2"/>
          <c:tx>
            <c:strRef>
              <c:f>'22D'!$D$1</c:f>
              <c:strCache>
                <c:ptCount val="1"/>
                <c:pt idx="0">
                  <c:v>Utility Bills</c:v>
                </c:pt>
              </c:strCache>
            </c:strRef>
          </c:tx>
          <c:cat>
            <c:strRef>
              <c:f>'22D'!$A$2:$A$13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'22D'!$D$2:$D$13</c:f>
              <c:numCache>
                <c:formatCode>0.00</c:formatCode>
                <c:ptCount val="12"/>
                <c:pt idx="0" formatCode="0.0">
                  <c:v>582.42424242424249</c:v>
                </c:pt>
                <c:pt idx="1">
                  <c:v>420</c:v>
                </c:pt>
                <c:pt idx="2">
                  <c:v>452.59999999999997</c:v>
                </c:pt>
                <c:pt idx="3">
                  <c:v>466.45161290322579</c:v>
                </c:pt>
                <c:pt idx="4">
                  <c:v>512.53333333333342</c:v>
                </c:pt>
                <c:pt idx="5">
                  <c:v>472.75862068965517</c:v>
                </c:pt>
                <c:pt idx="6">
                  <c:v>436.90625</c:v>
                </c:pt>
                <c:pt idx="7">
                  <c:v>399.90000000000003</c:v>
                </c:pt>
                <c:pt idx="8">
                  <c:v>543</c:v>
                </c:pt>
                <c:pt idx="9">
                  <c:v>510.00000000000006</c:v>
                </c:pt>
                <c:pt idx="10">
                  <c:v>488.70967741935482</c:v>
                </c:pt>
                <c:pt idx="11">
                  <c:v>696.9655172413793</c:v>
                </c:pt>
              </c:numCache>
            </c:numRef>
          </c:val>
          <c:smooth val="0"/>
        </c:ser>
        <c:dLbls>
          <c:showLegendKey val="0"/>
          <c:showVal val="0"/>
          <c:showCatName val="0"/>
          <c:showSerName val="0"/>
          <c:showPercent val="0"/>
          <c:showBubbleSize val="0"/>
        </c:dLbls>
        <c:marker val="1"/>
        <c:smooth val="0"/>
        <c:axId val="146136448"/>
        <c:axId val="145761408"/>
      </c:lineChart>
      <c:catAx>
        <c:axId val="146136448"/>
        <c:scaling>
          <c:orientation val="minMax"/>
        </c:scaling>
        <c:delete val="0"/>
        <c:axPos val="b"/>
        <c:majorGridlines/>
        <c:numFmt formatCode="h:mm" sourceLinked="1"/>
        <c:majorTickMark val="out"/>
        <c:minorTickMark val="none"/>
        <c:tickLblPos val="nextTo"/>
        <c:txPr>
          <a:bodyPr rot="2700000" vert="horz"/>
          <a:lstStyle/>
          <a:p>
            <a:pPr>
              <a:defRPr sz="1200" b="1">
                <a:latin typeface="+mj-lt"/>
              </a:defRPr>
            </a:pPr>
            <a:endParaRPr lang="en-US"/>
          </a:p>
        </c:txPr>
        <c:crossAx val="145761408"/>
        <c:crosses val="autoZero"/>
        <c:auto val="1"/>
        <c:lblAlgn val="ctr"/>
        <c:lblOffset val="100"/>
        <c:tickLblSkip val="1"/>
        <c:tickMarkSkip val="1"/>
        <c:noMultiLvlLbl val="0"/>
      </c:catAx>
      <c:valAx>
        <c:axId val="145761408"/>
        <c:scaling>
          <c:orientation val="minMax"/>
        </c:scaling>
        <c:delete val="0"/>
        <c:axPos val="l"/>
        <c:majorGridlines>
          <c:spPr>
            <a:ln w="9525">
              <a:solidFill>
                <a:schemeClr val="tx1">
                  <a:lumMod val="50000"/>
                  <a:lumOff val="50000"/>
                </a:schemeClr>
              </a:solidFill>
            </a:ln>
          </c:spPr>
        </c:majorGridlines>
        <c:title>
          <c:tx>
            <c:rich>
              <a:bodyPr rot="-5400000" vert="horz"/>
              <a:lstStyle/>
              <a:p>
                <a:pPr>
                  <a:defRPr sz="1600">
                    <a:latin typeface="+mj-lt"/>
                  </a:defRPr>
                </a:pPr>
                <a:r>
                  <a:rPr lang="en-US" sz="1600">
                    <a:latin typeface="+mj-lt"/>
                  </a:rPr>
                  <a:t>kWh</a:t>
                </a:r>
              </a:p>
            </c:rich>
          </c:tx>
          <c:overlay val="0"/>
        </c:title>
        <c:numFmt formatCode="0.0" sourceLinked="1"/>
        <c:majorTickMark val="out"/>
        <c:minorTickMark val="none"/>
        <c:tickLblPos val="nextTo"/>
        <c:txPr>
          <a:bodyPr/>
          <a:lstStyle/>
          <a:p>
            <a:pPr>
              <a:defRPr sz="1400" b="1">
                <a:latin typeface="+mj-lt"/>
              </a:defRPr>
            </a:pPr>
            <a:endParaRPr lang="en-US"/>
          </a:p>
        </c:txPr>
        <c:crossAx val="146136448"/>
        <c:crosses val="autoZero"/>
        <c:crossBetween val="between"/>
      </c:valAx>
      <c:spPr>
        <a:ln w="19050">
          <a:solidFill>
            <a:schemeClr val="tx1"/>
          </a:solidFill>
        </a:ln>
      </c:spPr>
    </c:plotArea>
    <c:legend>
      <c:legendPos val="b"/>
      <c:layout>
        <c:manualLayout>
          <c:xMode val="edge"/>
          <c:yMode val="edge"/>
          <c:x val="0.12588500656167978"/>
          <c:y val="0.8944079490063741"/>
          <c:w val="0.49091795166229224"/>
          <c:h val="4.7438882639670055E-2"/>
        </c:manualLayout>
      </c:layout>
      <c:overlay val="0"/>
      <c:txPr>
        <a:bodyPr/>
        <a:lstStyle/>
        <a:p>
          <a:pPr>
            <a:defRPr sz="1200" b="1">
              <a:latin typeface="+mj-lt"/>
            </a:defRPr>
          </a:pPr>
          <a:endParaRPr lang="en-US"/>
        </a:p>
      </c:txPr>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4.gif"/></Relationships>
</file>

<file path=xl/drawings/_rels/drawing18.xml.rels><?xml version="1.0" encoding="UTF-8" standalone="yes"?>
<Relationships xmlns="http://schemas.openxmlformats.org/package/2006/relationships"><Relationship Id="rId3" Type="http://schemas.openxmlformats.org/officeDocument/2006/relationships/image" Target="../media/image6.gif"/><Relationship Id="rId2" Type="http://schemas.openxmlformats.org/officeDocument/2006/relationships/image" Target="../media/image5.gif"/><Relationship Id="rId1" Type="http://schemas.openxmlformats.org/officeDocument/2006/relationships/image" Target="../media/image4.gif"/></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T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T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T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T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T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T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3</xdr:row>
          <xdr:rowOff>0</xdr:rowOff>
        </xdr:from>
        <xdr:to>
          <xdr:col>4</xdr:col>
          <xdr:colOff>3848100</xdr:colOff>
          <xdr:row>31</xdr:row>
          <xdr:rowOff>95250</xdr:rowOff>
        </xdr:to>
        <xdr:sp macro="" textlink="">
          <xdr:nvSpPr>
            <xdr:cNvPr id="29697" name="Object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3</xdr:col>
      <xdr:colOff>38100</xdr:colOff>
      <xdr:row>3</xdr:row>
      <xdr:rowOff>19050</xdr:rowOff>
    </xdr:from>
    <xdr:to>
      <xdr:col>3</xdr:col>
      <xdr:colOff>2711450</xdr:colOff>
      <xdr:row>31</xdr:row>
      <xdr:rowOff>221270</xdr:rowOff>
    </xdr:to>
    <xdr:pic>
      <xdr:nvPicPr>
        <xdr:cNvPr id="2" name="Picture 1"/>
        <xdr:cNvPicPr>
          <a:picLocks noGrp="1" noChangeAspect="1" noChangeArrowheads="1"/>
        </xdr:cNvPicPr>
      </xdr:nvPicPr>
      <xdr:blipFill>
        <a:blip xmlns:r="http://schemas.openxmlformats.org/officeDocument/2006/relationships" r:embed="rId1" cstate="print"/>
        <a:srcRect r="79588"/>
        <a:stretch>
          <a:fillRect/>
        </a:stretch>
      </xdr:blipFill>
      <xdr:spPr bwMode="auto">
        <a:xfrm>
          <a:off x="4629150" y="1028700"/>
          <a:ext cx="2673350" cy="6193445"/>
        </a:xfrm>
        <a:prstGeom prst="rect">
          <a:avLst/>
        </a:prstGeom>
        <a:noFill/>
        <a:ln w="9525">
          <a:noFill/>
          <a:miter lim="800000"/>
          <a:headEnd/>
          <a:tailEnd/>
        </a:ln>
        <a:effectLst/>
      </xdr:spPr>
    </xdr:pic>
    <xdr:clientData/>
  </xdr:twoCellAnchor>
  <xdr:twoCellAnchor>
    <xdr:from>
      <xdr:col>3</xdr:col>
      <xdr:colOff>485775</xdr:colOff>
      <xdr:row>4</xdr:row>
      <xdr:rowOff>628650</xdr:rowOff>
    </xdr:from>
    <xdr:to>
      <xdr:col>3</xdr:col>
      <xdr:colOff>2200275</xdr:colOff>
      <xdr:row>10</xdr:row>
      <xdr:rowOff>76200</xdr:rowOff>
    </xdr:to>
    <xdr:sp macro="" textlink="">
      <xdr:nvSpPr>
        <xdr:cNvPr id="3" name="Rectangle 2"/>
        <xdr:cNvSpPr/>
      </xdr:nvSpPr>
      <xdr:spPr>
        <a:xfrm>
          <a:off x="5076825" y="1828800"/>
          <a:ext cx="1714500" cy="11049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495300</xdr:colOff>
      <xdr:row>10</xdr:row>
      <xdr:rowOff>180974</xdr:rowOff>
    </xdr:from>
    <xdr:to>
      <xdr:col>3</xdr:col>
      <xdr:colOff>2209800</xdr:colOff>
      <xdr:row>14</xdr:row>
      <xdr:rowOff>28575</xdr:rowOff>
    </xdr:to>
    <xdr:sp macro="" textlink="">
      <xdr:nvSpPr>
        <xdr:cNvPr id="4" name="Rectangle 3"/>
        <xdr:cNvSpPr/>
      </xdr:nvSpPr>
      <xdr:spPr>
        <a:xfrm>
          <a:off x="5086350" y="3038474"/>
          <a:ext cx="1714500" cy="63817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504825</xdr:colOff>
      <xdr:row>14</xdr:row>
      <xdr:rowOff>114299</xdr:rowOff>
    </xdr:from>
    <xdr:to>
      <xdr:col>3</xdr:col>
      <xdr:colOff>2219325</xdr:colOff>
      <xdr:row>18</xdr:row>
      <xdr:rowOff>133350</xdr:rowOff>
    </xdr:to>
    <xdr:sp macro="" textlink="">
      <xdr:nvSpPr>
        <xdr:cNvPr id="5" name="Rectangle 4"/>
        <xdr:cNvSpPr/>
      </xdr:nvSpPr>
      <xdr:spPr>
        <a:xfrm>
          <a:off x="5095875" y="3762374"/>
          <a:ext cx="1714500" cy="81915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495300</xdr:colOff>
      <xdr:row>19</xdr:row>
      <xdr:rowOff>0</xdr:rowOff>
    </xdr:from>
    <xdr:to>
      <xdr:col>3</xdr:col>
      <xdr:colOff>2209800</xdr:colOff>
      <xdr:row>24</xdr:row>
      <xdr:rowOff>133350</xdr:rowOff>
    </xdr:to>
    <xdr:sp macro="" textlink="">
      <xdr:nvSpPr>
        <xdr:cNvPr id="6" name="Rectangle 5"/>
        <xdr:cNvSpPr/>
      </xdr:nvSpPr>
      <xdr:spPr>
        <a:xfrm>
          <a:off x="5086350" y="4648200"/>
          <a:ext cx="1714500" cy="11334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xdr:col>
      <xdr:colOff>476250</xdr:colOff>
      <xdr:row>24</xdr:row>
      <xdr:rowOff>200024</xdr:rowOff>
    </xdr:from>
    <xdr:to>
      <xdr:col>3</xdr:col>
      <xdr:colOff>2190750</xdr:colOff>
      <xdr:row>29</xdr:row>
      <xdr:rowOff>47625</xdr:rowOff>
    </xdr:to>
    <xdr:sp macro="" textlink="">
      <xdr:nvSpPr>
        <xdr:cNvPr id="7" name="Rectangle 6"/>
        <xdr:cNvSpPr/>
      </xdr:nvSpPr>
      <xdr:spPr>
        <a:xfrm>
          <a:off x="5067300" y="5848349"/>
          <a:ext cx="1714500" cy="81915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47625</xdr:colOff>
      <xdr:row>3</xdr:row>
      <xdr:rowOff>63311</xdr:rowOff>
    </xdr:from>
    <xdr:to>
      <xdr:col>4</xdr:col>
      <xdr:colOff>4253285</xdr:colOff>
      <xdr:row>3</xdr:row>
      <xdr:rowOff>3378012</xdr:rowOff>
    </xdr:to>
    <xdr:pic>
      <xdr:nvPicPr>
        <xdr:cNvPr id="2" name="Picture 1" descr="P:\7723 SBW - Whole House\Marketing Effectiveness\Survey\Images\PGEBROCHUREmerged.GIF"/>
        <xdr:cNvPicPr>
          <a:picLocks noChangeAspect="1" noChangeArrowheads="1"/>
        </xdr:cNvPicPr>
      </xdr:nvPicPr>
      <xdr:blipFill>
        <a:blip xmlns:r="http://schemas.openxmlformats.org/officeDocument/2006/relationships" r:embed="rId1" cstate="print"/>
        <a:srcRect l="40000"/>
        <a:stretch>
          <a:fillRect/>
        </a:stretch>
      </xdr:blipFill>
      <xdr:spPr bwMode="auto">
        <a:xfrm>
          <a:off x="7962900" y="1025336"/>
          <a:ext cx="4205660" cy="3314701"/>
        </a:xfrm>
        <a:prstGeom prst="rect">
          <a:avLst/>
        </a:prstGeom>
        <a:noFill/>
      </xdr:spPr>
    </xdr:pic>
    <xdr:clientData/>
  </xdr:twoCellAnchor>
  <xdr:twoCellAnchor editAs="oneCell">
    <xdr:from>
      <xdr:col>5</xdr:col>
      <xdr:colOff>66675</xdr:colOff>
      <xdr:row>3</xdr:row>
      <xdr:rowOff>38100</xdr:rowOff>
    </xdr:from>
    <xdr:to>
      <xdr:col>6</xdr:col>
      <xdr:colOff>4144278</xdr:colOff>
      <xdr:row>3</xdr:row>
      <xdr:rowOff>3381375</xdr:rowOff>
    </xdr:to>
    <xdr:pic>
      <xdr:nvPicPr>
        <xdr:cNvPr id="3" name="Picture 2" descr="P:\7723 SBW - Whole House\Marketing Effectiveness\Survey\Images\SMLOCALADmerged.GIF"/>
        <xdr:cNvPicPr>
          <a:picLocks noChangeAspect="1" noChangeArrowheads="1"/>
        </xdr:cNvPicPr>
      </xdr:nvPicPr>
      <xdr:blipFill>
        <a:blip xmlns:r="http://schemas.openxmlformats.org/officeDocument/2006/relationships" r:embed="rId2" cstate="print"/>
        <a:srcRect/>
        <a:stretch>
          <a:fillRect/>
        </a:stretch>
      </xdr:blipFill>
      <xdr:spPr bwMode="auto">
        <a:xfrm>
          <a:off x="12268200" y="1000125"/>
          <a:ext cx="5220603" cy="3343275"/>
        </a:xfrm>
        <a:prstGeom prst="rect">
          <a:avLst/>
        </a:prstGeom>
        <a:noFill/>
      </xdr:spPr>
    </xdr:pic>
    <xdr:clientData/>
  </xdr:twoCellAnchor>
  <xdr:twoCellAnchor editAs="oneCell">
    <xdr:from>
      <xdr:col>6</xdr:col>
      <xdr:colOff>549091</xdr:colOff>
      <xdr:row>3</xdr:row>
      <xdr:rowOff>49229</xdr:rowOff>
    </xdr:from>
    <xdr:to>
      <xdr:col>6</xdr:col>
      <xdr:colOff>2821612</xdr:colOff>
      <xdr:row>3</xdr:row>
      <xdr:rowOff>3362325</xdr:rowOff>
    </xdr:to>
    <xdr:pic>
      <xdr:nvPicPr>
        <xdr:cNvPr id="4" name="Picture 3" descr="P:\7723 SBW - Whole House\Marketing Effectiveness\Survey\Images\CCLOCALAD.gif"/>
        <xdr:cNvPicPr>
          <a:picLocks noChangeAspect="1" noChangeArrowheads="1"/>
        </xdr:cNvPicPr>
      </xdr:nvPicPr>
      <xdr:blipFill>
        <a:blip xmlns:r="http://schemas.openxmlformats.org/officeDocument/2006/relationships" r:embed="rId3" cstate="print"/>
        <a:srcRect/>
        <a:stretch>
          <a:fillRect/>
        </a:stretch>
      </xdr:blipFill>
      <xdr:spPr bwMode="auto">
        <a:xfrm>
          <a:off x="18084616" y="1011254"/>
          <a:ext cx="2272521" cy="3313096"/>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3</xdr:row>
      <xdr:rowOff>0</xdr:rowOff>
    </xdr:from>
    <xdr:to>
      <xdr:col>14</xdr:col>
      <xdr:colOff>0</xdr:colOff>
      <xdr:row>31</xdr:row>
      <xdr:rowOff>0</xdr:rowOff>
    </xdr:to>
    <xdr:graphicFrame macro="">
      <xdr:nvGraphicFramePr>
        <xdr:cNvPr id="2" name="CT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3</xdr:row>
      <xdr:rowOff>0</xdr:rowOff>
    </xdr:from>
    <xdr:to>
      <xdr:col>14</xdr:col>
      <xdr:colOff>0</xdr:colOff>
      <xdr:row>31</xdr:row>
      <xdr:rowOff>0</xdr:rowOff>
    </xdr:to>
    <xdr:graphicFrame macro="">
      <xdr:nvGraphicFramePr>
        <xdr:cNvPr id="2" name="CT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3</xdr:row>
      <xdr:rowOff>0</xdr:rowOff>
    </xdr:from>
    <xdr:to>
      <xdr:col>14</xdr:col>
      <xdr:colOff>0</xdr:colOff>
      <xdr:row>31</xdr:row>
      <xdr:rowOff>0</xdr:rowOff>
    </xdr:to>
    <xdr:graphicFrame macro="">
      <xdr:nvGraphicFramePr>
        <xdr:cNvPr id="2" name="CT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3</xdr:row>
      <xdr:rowOff>0</xdr:rowOff>
    </xdr:from>
    <xdr:to>
      <xdr:col>14</xdr:col>
      <xdr:colOff>0</xdr:colOff>
      <xdr:row>31</xdr:row>
      <xdr:rowOff>0</xdr:rowOff>
    </xdr:to>
    <xdr:graphicFrame macro="">
      <xdr:nvGraphicFramePr>
        <xdr:cNvPr id="2" name="CT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0</xdr:colOff>
      <xdr:row>3</xdr:row>
      <xdr:rowOff>0</xdr:rowOff>
    </xdr:from>
    <xdr:to>
      <xdr:col>14</xdr:col>
      <xdr:colOff>0</xdr:colOff>
      <xdr:row>31</xdr:row>
      <xdr:rowOff>0</xdr:rowOff>
    </xdr:to>
    <xdr:graphicFrame macro="">
      <xdr:nvGraphicFramePr>
        <xdr:cNvPr id="2" name="CT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0</xdr:colOff>
      <xdr:row>3</xdr:row>
      <xdr:rowOff>0</xdr:rowOff>
    </xdr:from>
    <xdr:to>
      <xdr:col>13</xdr:col>
      <xdr:colOff>609599</xdr:colOff>
      <xdr:row>31</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3</xdr:row>
      <xdr:rowOff>0</xdr:rowOff>
    </xdr:from>
    <xdr:to>
      <xdr:col>14</xdr:col>
      <xdr:colOff>0</xdr:colOff>
      <xdr:row>31</xdr:row>
      <xdr:rowOff>0</xdr:rowOff>
    </xdr:to>
    <xdr:graphicFrame macro="">
      <xdr:nvGraphicFramePr>
        <xdr:cNvPr id="5"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T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14</xdr:col>
      <xdr:colOff>76200</xdr:colOff>
      <xdr:row>20</xdr:row>
      <xdr:rowOff>57150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1050" y="809625"/>
          <a:ext cx="11077575"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21</xdr:row>
      <xdr:rowOff>0</xdr:rowOff>
    </xdr:from>
    <xdr:to>
      <xdr:col>14</xdr:col>
      <xdr:colOff>38100</xdr:colOff>
      <xdr:row>51</xdr:row>
      <xdr:rowOff>19050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91050" y="4238625"/>
          <a:ext cx="11039475" cy="573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T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3</xdr:row>
      <xdr:rowOff>0</xdr:rowOff>
    </xdr:from>
    <xdr:to>
      <xdr:col>15</xdr:col>
      <xdr:colOff>0</xdr:colOff>
      <xdr:row>31</xdr:row>
      <xdr:rowOff>0</xdr:rowOff>
    </xdr:to>
    <xdr:graphicFrame macro="">
      <xdr:nvGraphicFramePr>
        <xdr:cNvPr id="2" name="CT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ke.SBWCONSULTING/Desktop/SCE05/Bob/4-5-%6012/Combined_WholeHouseReport_Apr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PG&amp;E18%20(Whole%20House)/Task%204_9%20Project%20File%20Reviews/FileReviewProce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lossary"/>
      <sheetName val="Findings"/>
      <sheetName val="Recommendations"/>
      <sheetName val="Captions"/>
      <sheetName val="1"/>
      <sheetName val="1D"/>
      <sheetName val="2"/>
      <sheetName val="2D"/>
      <sheetName val="3"/>
      <sheetName val="3D"/>
      <sheetName val="4"/>
      <sheetName val="4D"/>
      <sheetName val="5"/>
      <sheetName val="5D"/>
      <sheetName val="6"/>
      <sheetName val="6D"/>
      <sheetName val="7"/>
      <sheetName val="7D"/>
      <sheetName val="8"/>
      <sheetName val="8D"/>
      <sheetName val="9"/>
      <sheetName val="9D"/>
      <sheetName val="10"/>
      <sheetName val="11"/>
      <sheetName val="11D"/>
      <sheetName val="12"/>
      <sheetName val="12D"/>
      <sheetName val="13"/>
      <sheetName val="13D"/>
      <sheetName val="14"/>
      <sheetName val="14D"/>
      <sheetName val="15"/>
      <sheetName val="15D"/>
      <sheetName val="16"/>
      <sheetName val="16D"/>
      <sheetName val="17"/>
      <sheetName val="17D"/>
      <sheetName val="18"/>
      <sheetName val="18D"/>
      <sheetName val="19"/>
      <sheetName val="20"/>
      <sheetName val="20D"/>
      <sheetName val="21"/>
      <sheetName val="21D"/>
      <sheetName val="22"/>
      <sheetName val="22D"/>
      <sheetName val="23"/>
      <sheetName val="23D"/>
      <sheetName val="24"/>
      <sheetName val="25"/>
      <sheetName val="25D"/>
      <sheetName val="26"/>
      <sheetName val="26D"/>
      <sheetName val="27"/>
      <sheetName val="28"/>
      <sheetName val="28D"/>
      <sheetName val="29"/>
      <sheetName val="29D"/>
      <sheetName val="30"/>
      <sheetName val="31"/>
      <sheetName val="32"/>
      <sheetName val="33"/>
      <sheetName val="34"/>
      <sheetName val="35"/>
      <sheetName val="36"/>
      <sheetName val="37"/>
      <sheetName val="39"/>
      <sheetName val="40"/>
      <sheetName val="41"/>
      <sheetName val="42"/>
      <sheetName val="43"/>
      <sheetName val="44d"/>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ChtInst"/>
      <sheetName val="ChtL"/>
      <sheetName val="ChtLd"/>
      <sheetName val="ChtLM"/>
      <sheetName val="ChtLMd"/>
      <sheetName val="ChtCC"/>
      <sheetName val="ChtCCd"/>
      <sheetName val="ChtSC"/>
      <sheetName val="ChtSCd"/>
      <sheetName val="ChtP"/>
      <sheetName val="ChtPd"/>
      <sheetName val="ChtXY"/>
      <sheetName val="ChtXYd"/>
      <sheetName val="ChtB&amp;W"/>
      <sheetName val="ChtB&amp;Wd"/>
      <sheetName val="TblStyles"/>
      <sheetName val="TblStylesInst"/>
      <sheetName val="CntrFrameW12"/>
      <sheetName val="PartFrameW12"/>
      <sheetName val="WrkShopAttendW12"/>
      <sheetName val="CntrSurveyW12"/>
      <sheetName val="PartSurveyW12"/>
      <sheetName val="MESurveyW12"/>
      <sheetName val="FileReviewW12"/>
      <sheetName val="Constants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Marketing</v>
          </cell>
          <cell r="D2" t="str">
            <v>Marketing</v>
          </cell>
          <cell r="J2" t="str">
            <v>PG&amp;E</v>
          </cell>
          <cell r="K2" t="str">
            <v>Customers: Lack of awareness of programs and energy efficiency benefits</v>
          </cell>
          <cell r="L2" t="str">
            <v>Marketing Effectiveness</v>
          </cell>
        </row>
        <row r="3">
          <cell r="B3" t="str">
            <v>Program Process</v>
          </cell>
          <cell r="D3" t="str">
            <v>Workforce Development</v>
          </cell>
          <cell r="J3" t="str">
            <v>SCE</v>
          </cell>
          <cell r="K3" t="str">
            <v>Customers: Lack of contact with qualified contractors</v>
          </cell>
          <cell r="L3" t="str">
            <v>Program Manager</v>
          </cell>
        </row>
        <row r="4">
          <cell r="B4" t="str">
            <v>Implementation</v>
          </cell>
          <cell r="D4" t="str">
            <v>Sales</v>
          </cell>
          <cell r="J4" t="str">
            <v>Combined</v>
          </cell>
          <cell r="K4" t="str">
            <v>Customers: Effort required to find and negotiate multiple programs</v>
          </cell>
          <cell r="L4" t="str">
            <v>Local Entity</v>
          </cell>
        </row>
        <row r="5">
          <cell r="B5" t="str">
            <v>Program Design</v>
          </cell>
          <cell r="D5" t="str">
            <v>Service Delivery</v>
          </cell>
          <cell r="K5" t="str">
            <v>Customers: First cost of doing multiple energy efficiency measures in a short time</v>
          </cell>
          <cell r="L5" t="str">
            <v>Contractor</v>
          </cell>
        </row>
        <row r="6">
          <cell r="D6" t="str">
            <v>QA/QC</v>
          </cell>
          <cell r="K6" t="str">
            <v>Customers: Lack of access to financing;</v>
          </cell>
          <cell r="L6" t="str">
            <v>File Review</v>
          </cell>
        </row>
        <row r="7">
          <cell r="D7" t="str">
            <v>Fulfillment</v>
          </cell>
          <cell r="K7" t="str">
            <v>Contractors: Lack of awareness of programs</v>
          </cell>
          <cell r="L7" t="str">
            <v>Training Assessment</v>
          </cell>
        </row>
        <row r="8">
          <cell r="D8" t="str">
            <v>Program Management</v>
          </cell>
          <cell r="K8" t="str">
            <v>Contractors: Lack of experience with whole-house approach and modeling</v>
          </cell>
          <cell r="L8" t="str">
            <v>On-Site</v>
          </cell>
        </row>
        <row r="9">
          <cell r="K9" t="str">
            <v>Contractors: Lack of business and collaborative skills</v>
          </cell>
          <cell r="L9" t="str">
            <v>Participant</v>
          </cell>
        </row>
        <row r="10">
          <cell r="K10" t="str">
            <v>General:  Governmental regulations and permitting process</v>
          </cell>
          <cell r="L10" t="str">
            <v>Multiple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W_FileReview_DB"/>
      <sheetName val="SBW SCE 2"/>
      <sheetName val="PGE_kWhUsage"/>
      <sheetName val="PG&amp;E Measures"/>
      <sheetName val="SCE Advanced"/>
      <sheetName val="SCE Basic"/>
      <sheetName val="SBW_FileReview"/>
      <sheetName val="SBW SCE Review"/>
      <sheetName val="SBW PG&amp;E Review"/>
      <sheetName val="Field defs"/>
      <sheetName val="PG&amp;E"/>
      <sheetName val="SCE"/>
      <sheetName val="Sheet1"/>
      <sheetName val="SCE Surveyed Mar2"/>
      <sheetName val="SCE Surveyed Feb27"/>
      <sheetName val="PG&amp;E Surveyed Feb27 Updated"/>
      <sheetName val="PG&amp;E Surveyed Feb27"/>
      <sheetName val="Validation lists"/>
      <sheetName val="CompareSte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Attic insulation</v>
          </cell>
          <cell r="E3" t="str">
            <v>Advanced</v>
          </cell>
        </row>
        <row r="4">
          <cell r="B4" t="str">
            <v>Wall insulation</v>
          </cell>
          <cell r="E4" t="str">
            <v>Basic</v>
          </cell>
        </row>
        <row r="5">
          <cell r="B5" t="str">
            <v>Duct sealing</v>
          </cell>
        </row>
        <row r="6">
          <cell r="B6" t="str">
            <v>Duct insulation</v>
          </cell>
        </row>
        <row r="7">
          <cell r="B7" t="str">
            <v>House sealing</v>
          </cell>
        </row>
        <row r="8">
          <cell r="B8" t="str">
            <v>Low flow showerheads</v>
          </cell>
        </row>
        <row r="9">
          <cell r="B9" t="str">
            <v>Lighting</v>
          </cell>
        </row>
        <row r="10">
          <cell r="B10" t="str">
            <v>Hot water pipe insulation</v>
          </cell>
        </row>
        <row r="11">
          <cell r="B11" t="str">
            <v>Floor insulation</v>
          </cell>
        </row>
        <row r="12">
          <cell r="B12" t="str">
            <v>New furnace</v>
          </cell>
        </row>
        <row r="13">
          <cell r="B13" t="str">
            <v>New AC</v>
          </cell>
        </row>
        <row r="14">
          <cell r="B14" t="str">
            <v>Hot water heater</v>
          </cell>
        </row>
        <row r="15">
          <cell r="B15" t="str">
            <v>Windows</v>
          </cell>
        </row>
        <row r="16">
          <cell r="B16" t="str">
            <v>Whole house fan</v>
          </cell>
        </row>
        <row r="17">
          <cell r="B17" t="str">
            <v>HVAC System</v>
          </cell>
        </row>
      </sheetData>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4" Type="http://schemas.openxmlformats.org/officeDocument/2006/relationships/printerSettings" Target="../printerSettings/printerSettings264.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4" Type="http://schemas.openxmlformats.org/officeDocument/2006/relationships/printerSettings" Target="../printerSettings/printerSettings268.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271.bin"/><Relationship Id="rId2" Type="http://schemas.openxmlformats.org/officeDocument/2006/relationships/printerSettings" Target="../printerSettings/printerSettings270.bin"/><Relationship Id="rId1" Type="http://schemas.openxmlformats.org/officeDocument/2006/relationships/printerSettings" Target="../printerSettings/printerSettings269.bin"/><Relationship Id="rId4" Type="http://schemas.openxmlformats.org/officeDocument/2006/relationships/printerSettings" Target="../printerSettings/printerSettings272.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4" Type="http://schemas.openxmlformats.org/officeDocument/2006/relationships/printerSettings" Target="../printerSettings/printerSettings276.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279.bin"/><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5" Type="http://schemas.openxmlformats.org/officeDocument/2006/relationships/drawing" Target="../drawings/drawing19.xml"/><Relationship Id="rId4" Type="http://schemas.openxmlformats.org/officeDocument/2006/relationships/printerSettings" Target="../printerSettings/printerSettings280.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4" Type="http://schemas.openxmlformats.org/officeDocument/2006/relationships/printerSettings" Target="../printerSettings/printerSettings284.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5" Type="http://schemas.openxmlformats.org/officeDocument/2006/relationships/drawing" Target="../drawings/drawing20.xml"/><Relationship Id="rId4" Type="http://schemas.openxmlformats.org/officeDocument/2006/relationships/printerSettings" Target="../printerSettings/printerSettings288.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291.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4" Type="http://schemas.openxmlformats.org/officeDocument/2006/relationships/printerSettings" Target="../printerSettings/printerSettings292.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295.bin"/><Relationship Id="rId2" Type="http://schemas.openxmlformats.org/officeDocument/2006/relationships/printerSettings" Target="../printerSettings/printerSettings294.bin"/><Relationship Id="rId1" Type="http://schemas.openxmlformats.org/officeDocument/2006/relationships/printerSettings" Target="../printerSettings/printerSettings293.bin"/><Relationship Id="rId5" Type="http://schemas.openxmlformats.org/officeDocument/2006/relationships/drawing" Target="../drawings/drawing21.xml"/><Relationship Id="rId4" Type="http://schemas.openxmlformats.org/officeDocument/2006/relationships/printerSettings" Target="../printerSettings/printerSettings296.bin"/></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299.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4" Type="http://schemas.openxmlformats.org/officeDocument/2006/relationships/printerSettings" Target="../printerSettings/printerSettings30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5" Type="http://schemas.openxmlformats.org/officeDocument/2006/relationships/drawing" Target="../drawings/drawing22.xml"/><Relationship Id="rId4" Type="http://schemas.openxmlformats.org/officeDocument/2006/relationships/printerSettings" Target="../printerSettings/printerSettings304.bin"/></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307.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4" Type="http://schemas.openxmlformats.org/officeDocument/2006/relationships/printerSettings" Target="../printerSettings/printerSettings308.bin"/></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311.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5" Type="http://schemas.openxmlformats.org/officeDocument/2006/relationships/drawing" Target="../drawings/drawing23.xml"/><Relationship Id="rId4" Type="http://schemas.openxmlformats.org/officeDocument/2006/relationships/printerSettings" Target="../printerSettings/printerSettings312.bin"/></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315.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4" Type="http://schemas.openxmlformats.org/officeDocument/2006/relationships/printerSettings" Target="../printerSettings/printerSettings316.bin"/></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319.bin"/><Relationship Id="rId2" Type="http://schemas.openxmlformats.org/officeDocument/2006/relationships/printerSettings" Target="../printerSettings/printerSettings318.bin"/><Relationship Id="rId1" Type="http://schemas.openxmlformats.org/officeDocument/2006/relationships/printerSettings" Target="../printerSettings/printerSettings317.bin"/><Relationship Id="rId5" Type="http://schemas.openxmlformats.org/officeDocument/2006/relationships/drawing" Target="../drawings/drawing24.xml"/><Relationship Id="rId4" Type="http://schemas.openxmlformats.org/officeDocument/2006/relationships/printerSettings" Target="../printerSettings/printerSettings320.bin"/></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4" Type="http://schemas.openxmlformats.org/officeDocument/2006/relationships/printerSettings" Target="../printerSettings/printerSettings324.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327.bin"/><Relationship Id="rId2" Type="http://schemas.openxmlformats.org/officeDocument/2006/relationships/printerSettings" Target="../printerSettings/printerSettings326.bin"/><Relationship Id="rId1" Type="http://schemas.openxmlformats.org/officeDocument/2006/relationships/printerSettings" Target="../printerSettings/printerSettings325.bin"/><Relationship Id="rId4" Type="http://schemas.openxmlformats.org/officeDocument/2006/relationships/printerSettings" Target="../printerSettings/printerSettings328.bin"/></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331.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 Id="rId4" Type="http://schemas.openxmlformats.org/officeDocument/2006/relationships/printerSettings" Target="../printerSettings/printerSettings332.bin"/></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335.bin"/><Relationship Id="rId2" Type="http://schemas.openxmlformats.org/officeDocument/2006/relationships/printerSettings" Target="../printerSettings/printerSettings334.bin"/><Relationship Id="rId1" Type="http://schemas.openxmlformats.org/officeDocument/2006/relationships/printerSettings" Target="../printerSettings/printerSettings333.bin"/><Relationship Id="rId4" Type="http://schemas.openxmlformats.org/officeDocument/2006/relationships/printerSettings" Target="../printerSettings/printerSettings336.bin"/></Relationships>
</file>

<file path=xl/worksheets/_rels/sheet127.xml.rels><?xml version="1.0" encoding="UTF-8" standalone="yes"?>
<Relationships xmlns="http://schemas.openxmlformats.org/package/2006/relationships"><Relationship Id="rId3" Type="http://schemas.openxmlformats.org/officeDocument/2006/relationships/printerSettings" Target="../printerSettings/printerSettings339.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5" Type="http://schemas.openxmlformats.org/officeDocument/2006/relationships/drawing" Target="../drawings/drawing26.xml"/><Relationship Id="rId4" Type="http://schemas.openxmlformats.org/officeDocument/2006/relationships/printerSettings" Target="../printerSettings/printerSettings340.bin"/></Relationships>
</file>

<file path=xl/worksheets/_rels/sheet128.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4" Type="http://schemas.openxmlformats.org/officeDocument/2006/relationships/printerSettings" Target="../printerSettings/printerSettings344.bin"/></Relationships>
</file>

<file path=xl/worksheets/_rels/sheet129.xml.rels><?xml version="1.0" encoding="UTF-8" standalone="yes"?>
<Relationships xmlns="http://schemas.openxmlformats.org/package/2006/relationships"><Relationship Id="rId3" Type="http://schemas.openxmlformats.org/officeDocument/2006/relationships/printerSettings" Target="../printerSettings/printerSettings347.bin"/><Relationship Id="rId2" Type="http://schemas.openxmlformats.org/officeDocument/2006/relationships/printerSettings" Target="../printerSettings/printerSettings346.bin"/><Relationship Id="rId1" Type="http://schemas.openxmlformats.org/officeDocument/2006/relationships/printerSettings" Target="../printerSettings/printerSettings345.bin"/><Relationship Id="rId4" Type="http://schemas.openxmlformats.org/officeDocument/2006/relationships/printerSettings" Target="../printerSettings/printerSettings348.bin"/></Relationships>
</file>

<file path=xl/worksheets/_rels/sheet130.xml.rels><?xml version="1.0" encoding="UTF-8" standalone="yes"?>
<Relationships xmlns="http://schemas.openxmlformats.org/package/2006/relationships"><Relationship Id="rId3" Type="http://schemas.openxmlformats.org/officeDocument/2006/relationships/printerSettings" Target="../printerSettings/printerSettings351.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4" Type="http://schemas.openxmlformats.org/officeDocument/2006/relationships/printerSettings" Target="../printerSettings/printerSettings35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5" Type="http://schemas.openxmlformats.org/officeDocument/2006/relationships/drawing" Target="../drawings/drawing8.xml"/><Relationship Id="rId4" Type="http://schemas.openxmlformats.org/officeDocument/2006/relationships/printerSettings" Target="../printerSettings/printerSettings4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drawing" Target="../drawings/drawing9.xml"/><Relationship Id="rId4" Type="http://schemas.openxmlformats.org/officeDocument/2006/relationships/printerSettings" Target="../printerSettings/printerSettings56.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10.xml"/><Relationship Id="rId4" Type="http://schemas.openxmlformats.org/officeDocument/2006/relationships/printerSettings" Target="../printerSettings/printerSettings64.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drawing" Target="../drawings/drawing11.xml"/><Relationship Id="rId4" Type="http://schemas.openxmlformats.org/officeDocument/2006/relationships/printerSettings" Target="../printerSettings/printerSettings72.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drawing" Target="../drawings/drawing12.xml"/><Relationship Id="rId4" Type="http://schemas.openxmlformats.org/officeDocument/2006/relationships/printerSettings" Target="../printerSettings/printerSettings80.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printerSettings" Target="../printerSettings/printerSettings8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drawing" Target="../drawings/drawing13.xml"/><Relationship Id="rId4" Type="http://schemas.openxmlformats.org/officeDocument/2006/relationships/printerSettings" Target="../printerSettings/printerSettings88.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printerSettings" Target="../printerSettings/printerSettings92.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drawing" Target="../drawings/drawing14.xml"/><Relationship Id="rId4" Type="http://schemas.openxmlformats.org/officeDocument/2006/relationships/printerSettings" Target="../printerSettings/printerSettings96.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printerSettings" Target="../printerSettings/printerSettings100.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drawing" Target="../drawings/drawing15.xml"/><Relationship Id="rId4" Type="http://schemas.openxmlformats.org/officeDocument/2006/relationships/printerSettings" Target="../printerSettings/printerSettings104.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printerSettings" Target="../printerSettings/printerSettings108.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printerSettings" Target="../printerSettings/printerSettings112.bin"/></Relationships>
</file>

<file path=xl/worksheets/_rels/sheet59.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printerSettings" Target="../printerSettings/printerSettings115.bin"/><Relationship Id="rId7" Type="http://schemas.openxmlformats.org/officeDocument/2006/relationships/oleObject" Target="../embeddings/oleObject1.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vmlDrawing" Target="../drawings/vmlDrawing1.vml"/><Relationship Id="rId5" Type="http://schemas.openxmlformats.org/officeDocument/2006/relationships/drawing" Target="../drawings/drawing16.xml"/><Relationship Id="rId4" Type="http://schemas.openxmlformats.org/officeDocument/2006/relationships/printerSettings" Target="../printerSettings/printerSettings116.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printerSettings" Target="../printerSettings/printerSettings120.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4" Type="http://schemas.openxmlformats.org/officeDocument/2006/relationships/printerSettings" Target="../printerSettings/printerSettings12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4" Type="http://schemas.openxmlformats.org/officeDocument/2006/relationships/printerSettings" Target="../printerSettings/printerSettings128.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4" Type="http://schemas.openxmlformats.org/officeDocument/2006/relationships/printerSettings" Target="../printerSettings/printerSettings132.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printerSettings" Target="../printerSettings/printerSettings13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4" Type="http://schemas.openxmlformats.org/officeDocument/2006/relationships/printerSettings" Target="../printerSettings/printerSettings14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printerSettings" Target="../printerSettings/printerSettings144.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printerSettings" Target="../printerSettings/printerSettings148.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4" Type="http://schemas.openxmlformats.org/officeDocument/2006/relationships/printerSettings" Target="../printerSettings/printerSettings152.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4" Type="http://schemas.openxmlformats.org/officeDocument/2006/relationships/printerSettings" Target="../printerSettings/printerSettings156.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4" Type="http://schemas.openxmlformats.org/officeDocument/2006/relationships/printerSettings" Target="../printerSettings/printerSettings160.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4" Type="http://schemas.openxmlformats.org/officeDocument/2006/relationships/printerSettings" Target="../printerSettings/printerSettings164.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67.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4" Type="http://schemas.openxmlformats.org/officeDocument/2006/relationships/printerSettings" Target="../printerSettings/printerSettings168.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4" Type="http://schemas.openxmlformats.org/officeDocument/2006/relationships/printerSettings" Target="../printerSettings/printerSettings180.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5" Type="http://schemas.openxmlformats.org/officeDocument/2006/relationships/drawing" Target="../drawings/drawing17.xml"/><Relationship Id="rId4" Type="http://schemas.openxmlformats.org/officeDocument/2006/relationships/printerSettings" Target="../printerSettings/printerSettings18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1.xml"/><Relationship Id="rId4" Type="http://schemas.openxmlformats.org/officeDocument/2006/relationships/printerSettings" Target="../printerSettings/printerSettings20.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5" Type="http://schemas.openxmlformats.org/officeDocument/2006/relationships/drawing" Target="../drawings/drawing18.xml"/><Relationship Id="rId4" Type="http://schemas.openxmlformats.org/officeDocument/2006/relationships/printerSettings" Target="../printerSettings/printerSettings188.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4" Type="http://schemas.openxmlformats.org/officeDocument/2006/relationships/printerSettings" Target="../printerSettings/printerSettings192.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4" Type="http://schemas.openxmlformats.org/officeDocument/2006/relationships/printerSettings" Target="../printerSettings/printerSettings196.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199.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4" Type="http://schemas.openxmlformats.org/officeDocument/2006/relationships/printerSettings" Target="../printerSettings/printerSettings200.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4" Type="http://schemas.openxmlformats.org/officeDocument/2006/relationships/printerSettings" Target="../printerSettings/printerSettings204.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4" Type="http://schemas.openxmlformats.org/officeDocument/2006/relationships/printerSettings" Target="../printerSettings/printerSettings208.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4" Type="http://schemas.openxmlformats.org/officeDocument/2006/relationships/printerSettings" Target="../printerSettings/printerSettings212.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4" Type="http://schemas.openxmlformats.org/officeDocument/2006/relationships/printerSettings" Target="../printerSettings/printerSettings216.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4" Type="http://schemas.openxmlformats.org/officeDocument/2006/relationships/printerSettings" Target="../printerSettings/printerSettings220.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4" Type="http://schemas.openxmlformats.org/officeDocument/2006/relationships/printerSettings" Target="../printerSettings/printerSettings2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4" Type="http://schemas.openxmlformats.org/officeDocument/2006/relationships/printerSettings" Target="../printerSettings/printerSettings228.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31.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4" Type="http://schemas.openxmlformats.org/officeDocument/2006/relationships/printerSettings" Target="../printerSettings/printerSettings232.bin"/></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35.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4" Type="http://schemas.openxmlformats.org/officeDocument/2006/relationships/printerSettings" Target="../printerSettings/printerSettings236.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39.bin"/><Relationship Id="rId2" Type="http://schemas.openxmlformats.org/officeDocument/2006/relationships/printerSettings" Target="../printerSettings/printerSettings238.bin"/><Relationship Id="rId1" Type="http://schemas.openxmlformats.org/officeDocument/2006/relationships/printerSettings" Target="../printerSettings/printerSettings237.bin"/><Relationship Id="rId4" Type="http://schemas.openxmlformats.org/officeDocument/2006/relationships/printerSettings" Target="../printerSettings/printerSettings240.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4" Type="http://schemas.openxmlformats.org/officeDocument/2006/relationships/printerSettings" Target="../printerSettings/printerSettings244.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4" Type="http://schemas.openxmlformats.org/officeDocument/2006/relationships/printerSettings" Target="../printerSettings/printerSettings248.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251.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4" Type="http://schemas.openxmlformats.org/officeDocument/2006/relationships/printerSettings" Target="../printerSettings/printerSettings252.bin"/></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55.bin"/><Relationship Id="rId2" Type="http://schemas.openxmlformats.org/officeDocument/2006/relationships/printerSettings" Target="../printerSettings/printerSettings254.bin"/><Relationship Id="rId1" Type="http://schemas.openxmlformats.org/officeDocument/2006/relationships/printerSettings" Target="../printerSettings/printerSettings253.bin"/><Relationship Id="rId4" Type="http://schemas.openxmlformats.org/officeDocument/2006/relationships/printerSettings" Target="../printerSettings/printerSettings256.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59.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4" Type="http://schemas.openxmlformats.org/officeDocument/2006/relationships/printerSettings" Target="../printerSettings/printerSettings2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7"/>
  <sheetViews>
    <sheetView tabSelected="1" zoomScale="125" zoomScaleNormal="125" workbookViewId="0">
      <selection activeCell="B2" sqref="B2"/>
    </sheetView>
  </sheetViews>
  <sheetFormatPr defaultRowHeight="15" x14ac:dyDescent="0.25"/>
  <cols>
    <col min="1" max="1" width="21.42578125" style="589" customWidth="1"/>
    <col min="2" max="2" width="98.5703125" style="2" customWidth="1"/>
  </cols>
  <sheetData>
    <row r="1" spans="1:2" s="696" customFormat="1" x14ac:dyDescent="0.25">
      <c r="A1" s="589" t="s">
        <v>32</v>
      </c>
      <c r="B1" t="s">
        <v>3374</v>
      </c>
    </row>
    <row r="2" spans="1:2" ht="67.5" customHeight="1" x14ac:dyDescent="0.25">
      <c r="A2" s="589" t="s">
        <v>3152</v>
      </c>
      <c r="B2" s="2" t="s">
        <v>3153</v>
      </c>
    </row>
    <row r="3" spans="1:2" ht="67.5" customHeight="1" x14ac:dyDescent="0.25">
      <c r="A3" s="589" t="s">
        <v>3155</v>
      </c>
      <c r="B3" s="2" t="s">
        <v>3159</v>
      </c>
    </row>
    <row r="4" spans="1:2" ht="67.5" customHeight="1" x14ac:dyDescent="0.25">
      <c r="A4" s="589" t="s">
        <v>3058</v>
      </c>
      <c r="B4" s="2" t="s">
        <v>3161</v>
      </c>
    </row>
    <row r="5" spans="1:2" ht="67.5" customHeight="1" x14ac:dyDescent="0.25">
      <c r="A5" s="589" t="s">
        <v>3059</v>
      </c>
      <c r="B5" s="2" t="s">
        <v>3162</v>
      </c>
    </row>
    <row r="6" spans="1:2" ht="67.5" customHeight="1" x14ac:dyDescent="0.25">
      <c r="A6" s="589" t="s">
        <v>1193</v>
      </c>
      <c r="B6" s="2" t="s">
        <v>3158</v>
      </c>
    </row>
    <row r="7" spans="1:2" ht="67.5" customHeight="1" x14ac:dyDescent="0.25">
      <c r="A7" s="589" t="s">
        <v>3154</v>
      </c>
      <c r="B7" s="2" t="s">
        <v>3157</v>
      </c>
    </row>
  </sheetData>
  <customSheetViews>
    <customSheetView guid="{679A3195-3DEA-4AC2-A535-82AAF5B552BC}" scale="125">
      <pageMargins left="0.7" right="0.7" top="0.75" bottom="0.75" header="0.3" footer="0.3"/>
      <pageSetup orientation="portrait" horizontalDpi="4294967293" verticalDpi="4294967293" r:id="rId1"/>
    </customSheetView>
    <customSheetView guid="{7378B641-E8D1-4C14-8151-CF4CE159D121}" scale="125">
      <selection activeCell="B4" sqref="B4"/>
      <pageMargins left="0.7" right="0.7" top="0.75" bottom="0.75" header="0.3" footer="0.3"/>
      <pageSetup orientation="portrait" horizontalDpi="4294967293" verticalDpi="4294967293" r:id="rId2"/>
    </customSheetView>
    <customSheetView guid="{6D63B10B-E1E6-452A-80EB-4B2C7D61CF66}" scale="125">
      <pageMargins left="0.7" right="0.7" top="0.75" bottom="0.75" header="0.3" footer="0.3"/>
      <pageSetup orientation="portrait" horizontalDpi="4294967293" verticalDpi="4294967293" r:id="rId3"/>
    </customSheetView>
  </customSheetViews>
  <pageMargins left="0.7" right="0.7" top="0.75" bottom="0.75" header="0.3" footer="0.3"/>
  <pageSetup orientation="portrait" horizontalDpi="4294967293" verticalDpi="4294967293"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 style="3" customWidth="1"/>
    <col min="4" max="5" width="9.140625" style="3"/>
    <col min="6" max="6" width="14" style="3" customWidth="1"/>
    <col min="7" max="15" width="9.140625" style="3"/>
    <col min="16" max="16" width="3.28515625" style="47" customWidth="1"/>
    <col min="17" max="17" width="9.140625" style="3"/>
  </cols>
  <sheetData>
    <row r="1" spans="1:17" ht="30" x14ac:dyDescent="0.25">
      <c r="A1" s="3" t="s">
        <v>26</v>
      </c>
      <c r="B1" s="4" t="s">
        <v>3218</v>
      </c>
      <c r="C1" s="535" t="s">
        <v>3058</v>
      </c>
      <c r="D1" s="37" t="str">
        <f>B1</f>
        <v>Percent Reductions in Whole House leakage and Duct Leakage Rates</v>
      </c>
    </row>
    <row r="2" spans="1:17" ht="14.25" customHeight="1" x14ac:dyDescent="0.25">
      <c r="A2" s="3" t="s">
        <v>20</v>
      </c>
      <c r="B2" s="4" t="s">
        <v>60</v>
      </c>
      <c r="C2" s="536" t="s">
        <v>3059</v>
      </c>
    </row>
    <row r="3" spans="1:17" x14ac:dyDescent="0.25">
      <c r="A3" s="3" t="s">
        <v>1184</v>
      </c>
      <c r="B3" s="4" t="s">
        <v>1198</v>
      </c>
      <c r="C3" s="536" t="s">
        <v>1193</v>
      </c>
      <c r="D3" s="733"/>
      <c r="E3" s="733"/>
      <c r="F3" s="733"/>
      <c r="G3" s="733"/>
      <c r="H3" s="733"/>
      <c r="I3" s="733"/>
      <c r="J3" s="733"/>
      <c r="K3" s="733"/>
      <c r="L3" s="733"/>
      <c r="M3" s="733"/>
      <c r="N3" s="733"/>
      <c r="O3" s="733"/>
    </row>
    <row r="4" spans="1:17" x14ac:dyDescent="0.25">
      <c r="A4" s="3" t="s">
        <v>3136</v>
      </c>
      <c r="B4" s="4" t="s">
        <v>1917</v>
      </c>
      <c r="C4" s="4"/>
      <c r="D4" s="3" t="s">
        <v>61</v>
      </c>
      <c r="P4" s="730"/>
      <c r="Q4" s="48"/>
    </row>
    <row r="5" spans="1:17" x14ac:dyDescent="0.25">
      <c r="B5" s="4"/>
      <c r="C5" s="4"/>
      <c r="P5" s="730"/>
    </row>
    <row r="6" spans="1:17" x14ac:dyDescent="0.25">
      <c r="B6" s="73"/>
      <c r="C6" s="73"/>
      <c r="P6" s="730"/>
    </row>
    <row r="7" spans="1:17" x14ac:dyDescent="0.25">
      <c r="P7" s="730"/>
    </row>
    <row r="8" spans="1:17" x14ac:dyDescent="0.25">
      <c r="P8" s="730"/>
    </row>
    <row r="9" spans="1:17" x14ac:dyDescent="0.25">
      <c r="P9" s="730"/>
    </row>
    <row r="10" spans="1:17" x14ac:dyDescent="0.25">
      <c r="P10" s="730"/>
    </row>
    <row r="11" spans="1:17" x14ac:dyDescent="0.25">
      <c r="P11" s="730"/>
    </row>
    <row r="12" spans="1:17" x14ac:dyDescent="0.25">
      <c r="P12" s="730"/>
    </row>
    <row r="13" spans="1:17" x14ac:dyDescent="0.25">
      <c r="P13" s="730"/>
    </row>
    <row r="14" spans="1:17" x14ac:dyDescent="0.25">
      <c r="P14" s="730"/>
    </row>
    <row r="15" spans="1:17" x14ac:dyDescent="0.25">
      <c r="P15" s="730"/>
    </row>
    <row r="16" spans="1:17" x14ac:dyDescent="0.25">
      <c r="P16" s="730"/>
    </row>
    <row r="17" spans="16:16" x14ac:dyDescent="0.25">
      <c r="P17" s="730"/>
    </row>
    <row r="18" spans="16:16" x14ac:dyDescent="0.25">
      <c r="P18" s="730"/>
    </row>
    <row r="19" spans="16:16" x14ac:dyDescent="0.25">
      <c r="P19" s="730"/>
    </row>
    <row r="20" spans="16:16" x14ac:dyDescent="0.25">
      <c r="P20" s="730"/>
    </row>
    <row r="21" spans="16:16" x14ac:dyDescent="0.25">
      <c r="P21" s="730"/>
    </row>
    <row r="22" spans="16:16" x14ac:dyDescent="0.25">
      <c r="P22" s="730"/>
    </row>
    <row r="23" spans="16:16" x14ac:dyDescent="0.25">
      <c r="P23" s="730"/>
    </row>
    <row r="24" spans="16:16" x14ac:dyDescent="0.25">
      <c r="P24" s="730"/>
    </row>
    <row r="25" spans="16:16" x14ac:dyDescent="0.25">
      <c r="P25" s="730"/>
    </row>
    <row r="26" spans="16:16" x14ac:dyDescent="0.25">
      <c r="P26" s="730"/>
    </row>
    <row r="27" spans="16:16" x14ac:dyDescent="0.25">
      <c r="P27" s="730"/>
    </row>
    <row r="28" spans="16:16" x14ac:dyDescent="0.25">
      <c r="P28" s="730"/>
    </row>
    <row r="29" spans="16:16" x14ac:dyDescent="0.25">
      <c r="P29" s="730"/>
    </row>
    <row r="30" spans="16:16" x14ac:dyDescent="0.25">
      <c r="P30" s="730"/>
    </row>
    <row r="31" spans="16:16" x14ac:dyDescent="0.25">
      <c r="P31" s="730"/>
    </row>
    <row r="33" spans="4:15" ht="96" customHeight="1" x14ac:dyDescent="0.25">
      <c r="D33" s="731" t="s">
        <v>3160</v>
      </c>
      <c r="E33" s="731"/>
      <c r="F33" s="731"/>
      <c r="G33" s="731"/>
      <c r="H33" s="731"/>
      <c r="I33" s="731"/>
      <c r="J33" s="731"/>
      <c r="K33" s="731"/>
      <c r="L33" s="731"/>
      <c r="M33" s="731"/>
      <c r="N33" s="731"/>
      <c r="O33" s="731"/>
    </row>
  </sheetData>
  <customSheetViews>
    <customSheetView guid="{679A3195-3DEA-4AC2-A535-82AAF5B552BC}" hiddenColumns="1" topLeftCell="C1">
      <selection activeCell="C3" sqref="C3"/>
      <pageMargins left="0.7" right="0.7" top="0.75" bottom="0.75" header="0.3" footer="0.3"/>
    </customSheetView>
    <customSheetView guid="{7378B641-E8D1-4C14-8151-CF4CE159D121}">
      <selection activeCell="C3" sqref="C3"/>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mergeCells count="3">
    <mergeCell ref="D3:O3"/>
    <mergeCell ref="P4:P31"/>
    <mergeCell ref="D33:O33"/>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G36"/>
  <sheetViews>
    <sheetView topLeftCell="C1" zoomScaleNormal="100" workbookViewId="0">
      <pane xSplit="4" ySplit="6" topLeftCell="G7" activePane="bottomRight" state="frozen"/>
      <selection activeCell="C1" sqref="C1"/>
      <selection pane="topRight" activeCell="G1" sqref="G1"/>
      <selection pane="bottomLeft" activeCell="C7" sqref="C7"/>
      <selection pane="bottomRight" activeCell="C3" sqref="C3"/>
    </sheetView>
  </sheetViews>
  <sheetFormatPr defaultRowHeight="15" x14ac:dyDescent="0.25"/>
  <cols>
    <col min="1" max="1" width="11.5703125" hidden="1" customWidth="1"/>
    <col min="2" max="2" width="57.28515625" hidden="1" customWidth="1"/>
    <col min="3" max="3" width="18.7109375" customWidth="1"/>
    <col min="4" max="4" width="49.85546875" bestFit="1" customWidth="1"/>
    <col min="5" max="5" width="7" bestFit="1" customWidth="1"/>
    <col min="6" max="6" width="14" customWidth="1"/>
    <col min="7" max="7" width="10.42578125" customWidth="1"/>
    <col min="10" max="10" width="3.5703125" customWidth="1"/>
    <col min="20" max="20" width="3.7109375" customWidth="1"/>
  </cols>
  <sheetData>
    <row r="1" spans="1:7" x14ac:dyDescent="0.25">
      <c r="A1" s="3" t="s">
        <v>26</v>
      </c>
      <c r="B1" s="4" t="s">
        <v>2940</v>
      </c>
      <c r="C1" s="535" t="s">
        <v>3058</v>
      </c>
      <c r="D1" s="558" t="str">
        <f>B1</f>
        <v>Effects of Participation on Knowledge and Behavior</v>
      </c>
    </row>
    <row r="2" spans="1:7" x14ac:dyDescent="0.25">
      <c r="A2" t="s">
        <v>20</v>
      </c>
      <c r="B2" s="321" t="s">
        <v>60</v>
      </c>
      <c r="C2" s="536" t="s">
        <v>3059</v>
      </c>
    </row>
    <row r="3" spans="1:7" x14ac:dyDescent="0.25">
      <c r="A3" t="s">
        <v>1184</v>
      </c>
      <c r="B3" s="321" t="s">
        <v>2794</v>
      </c>
      <c r="C3" s="536" t="s">
        <v>1193</v>
      </c>
    </row>
    <row r="4" spans="1:7" ht="28.5" x14ac:dyDescent="0.25">
      <c r="D4" s="460"/>
      <c r="E4" s="461" t="s">
        <v>1260</v>
      </c>
      <c r="F4" s="461" t="s">
        <v>2731</v>
      </c>
      <c r="G4" s="462" t="s">
        <v>3206</v>
      </c>
    </row>
    <row r="5" spans="1:7" x14ac:dyDescent="0.25">
      <c r="D5" s="804"/>
      <c r="E5" s="807"/>
      <c r="F5" s="807"/>
      <c r="G5" s="808"/>
    </row>
    <row r="6" spans="1:7" x14ac:dyDescent="0.25">
      <c r="E6" s="464" t="s">
        <v>2864</v>
      </c>
      <c r="F6" s="464" t="s">
        <v>2820</v>
      </c>
      <c r="G6" s="465" t="s">
        <v>2807</v>
      </c>
    </row>
    <row r="7" spans="1:7" x14ac:dyDescent="0.25">
      <c r="D7" s="463" t="s">
        <v>2941</v>
      </c>
      <c r="E7" s="464"/>
      <c r="F7" s="464"/>
      <c r="G7" s="465"/>
    </row>
    <row r="8" spans="1:7" x14ac:dyDescent="0.25">
      <c r="D8" s="466" t="s">
        <v>2942</v>
      </c>
      <c r="E8" s="467">
        <v>0.82</v>
      </c>
      <c r="F8" s="345">
        <v>0.85</v>
      </c>
      <c r="G8" s="468">
        <v>0.69</v>
      </c>
    </row>
    <row r="9" spans="1:7" x14ac:dyDescent="0.25">
      <c r="D9" s="804"/>
      <c r="E9" s="807"/>
      <c r="F9" s="807"/>
      <c r="G9" s="808"/>
    </row>
    <row r="10" spans="1:7" x14ac:dyDescent="0.25">
      <c r="D10" s="474" t="s">
        <v>2943</v>
      </c>
      <c r="E10" s="475" t="s">
        <v>2806</v>
      </c>
      <c r="F10" s="475" t="s">
        <v>2944</v>
      </c>
      <c r="G10" s="476" t="s">
        <v>2945</v>
      </c>
    </row>
    <row r="11" spans="1:7" ht="30" x14ac:dyDescent="0.25">
      <c r="D11" s="469" t="s">
        <v>2946</v>
      </c>
      <c r="E11" s="472">
        <v>0.35</v>
      </c>
      <c r="F11" s="346">
        <v>0.41</v>
      </c>
      <c r="G11" s="473">
        <v>0.09</v>
      </c>
    </row>
    <row r="12" spans="1:7" ht="30" x14ac:dyDescent="0.25">
      <c r="D12" s="469" t="s">
        <v>2947</v>
      </c>
      <c r="E12" s="472">
        <v>0.34</v>
      </c>
      <c r="F12" s="346">
        <v>0.33</v>
      </c>
      <c r="G12" s="473">
        <v>0.36</v>
      </c>
    </row>
    <row r="13" spans="1:7" x14ac:dyDescent="0.25">
      <c r="D13" s="469" t="s">
        <v>2948</v>
      </c>
      <c r="E13" s="472">
        <v>0.31</v>
      </c>
      <c r="F13" s="346">
        <v>0.31</v>
      </c>
      <c r="G13" s="473">
        <v>0.27</v>
      </c>
    </row>
    <row r="14" spans="1:7" x14ac:dyDescent="0.25">
      <c r="D14" s="469" t="s">
        <v>2949</v>
      </c>
      <c r="E14" s="472">
        <v>0.27</v>
      </c>
      <c r="F14" s="346">
        <v>0.27</v>
      </c>
      <c r="G14" s="473">
        <v>0.27</v>
      </c>
    </row>
    <row r="15" spans="1:7" ht="30" x14ac:dyDescent="0.25">
      <c r="D15" s="469" t="s">
        <v>2950</v>
      </c>
      <c r="E15" s="472">
        <v>0.19</v>
      </c>
      <c r="F15" s="346">
        <v>0.16</v>
      </c>
      <c r="G15" s="473">
        <v>0.26</v>
      </c>
    </row>
    <row r="16" spans="1:7" ht="30" x14ac:dyDescent="0.25">
      <c r="D16" s="469" t="s">
        <v>2951</v>
      </c>
      <c r="E16" s="472">
        <v>0.18</v>
      </c>
      <c r="F16" s="346">
        <v>0.16</v>
      </c>
      <c r="G16" s="473">
        <v>0.27</v>
      </c>
    </row>
    <row r="17" spans="4:7" x14ac:dyDescent="0.25">
      <c r="D17" s="469" t="s">
        <v>62</v>
      </c>
      <c r="E17" s="472">
        <v>0.08</v>
      </c>
      <c r="F17" s="346">
        <v>0.08</v>
      </c>
      <c r="G17" s="473">
        <v>0.09</v>
      </c>
    </row>
    <row r="18" spans="4:7" x14ac:dyDescent="0.25">
      <c r="D18" s="804"/>
      <c r="E18" s="805"/>
      <c r="F18" s="805"/>
      <c r="G18" s="806"/>
    </row>
    <row r="19" spans="4:7" x14ac:dyDescent="0.25">
      <c r="D19" s="474"/>
      <c r="E19" s="475" t="s">
        <v>2805</v>
      </c>
      <c r="F19" s="475" t="s">
        <v>2806</v>
      </c>
      <c r="G19" s="476" t="s">
        <v>2807</v>
      </c>
    </row>
    <row r="20" spans="4:7" x14ac:dyDescent="0.25">
      <c r="D20" s="469" t="s">
        <v>2952</v>
      </c>
      <c r="E20" s="472">
        <v>0.5</v>
      </c>
      <c r="F20" s="346">
        <v>0.53</v>
      </c>
      <c r="G20" s="473">
        <v>0.38</v>
      </c>
    </row>
    <row r="21" spans="4:7" x14ac:dyDescent="0.25">
      <c r="D21" s="804"/>
      <c r="E21" s="805"/>
      <c r="F21" s="805"/>
      <c r="G21" s="806"/>
    </row>
    <row r="22" spans="4:7" x14ac:dyDescent="0.25">
      <c r="D22" s="474" t="s">
        <v>2953</v>
      </c>
      <c r="E22" s="475" t="s">
        <v>2805</v>
      </c>
      <c r="F22" s="475" t="s">
        <v>2806</v>
      </c>
      <c r="G22" s="476" t="s">
        <v>2807</v>
      </c>
    </row>
    <row r="23" spans="4:7" x14ac:dyDescent="0.25">
      <c r="D23" s="469" t="s">
        <v>2954</v>
      </c>
      <c r="E23" s="472">
        <v>0.55000000000000004</v>
      </c>
      <c r="F23" s="346">
        <v>0.55000000000000004</v>
      </c>
      <c r="G23" s="473">
        <v>0.56000000000000005</v>
      </c>
    </row>
    <row r="24" spans="4:7" x14ac:dyDescent="0.25">
      <c r="D24" s="804"/>
      <c r="E24" s="805"/>
      <c r="F24" s="805"/>
      <c r="G24" s="806"/>
    </row>
    <row r="25" spans="4:7" x14ac:dyDescent="0.25">
      <c r="D25" s="474" t="s">
        <v>2955</v>
      </c>
      <c r="E25" s="475" t="s">
        <v>2956</v>
      </c>
      <c r="F25" s="475" t="s">
        <v>2957</v>
      </c>
      <c r="G25" s="476" t="s">
        <v>2958</v>
      </c>
    </row>
    <row r="26" spans="4:7" x14ac:dyDescent="0.25">
      <c r="D26" s="469" t="s">
        <v>2959</v>
      </c>
      <c r="E26" s="472">
        <v>0.47</v>
      </c>
      <c r="F26" s="346">
        <v>0.41</v>
      </c>
      <c r="G26" s="473">
        <v>0.67</v>
      </c>
    </row>
    <row r="27" spans="4:7" ht="30" x14ac:dyDescent="0.25">
      <c r="D27" s="469" t="s">
        <v>2960</v>
      </c>
      <c r="E27" s="472">
        <v>0.28000000000000003</v>
      </c>
      <c r="F27" s="346">
        <v>0.28999999999999998</v>
      </c>
      <c r="G27" s="473">
        <v>0.22</v>
      </c>
    </row>
    <row r="28" spans="4:7" x14ac:dyDescent="0.25">
      <c r="D28" s="469" t="s">
        <v>2961</v>
      </c>
      <c r="E28" s="472">
        <v>0.21</v>
      </c>
      <c r="F28" s="346">
        <v>0.26</v>
      </c>
      <c r="G28" s="473" t="s">
        <v>2331</v>
      </c>
    </row>
    <row r="29" spans="4:7" x14ac:dyDescent="0.25">
      <c r="D29" s="469" t="s">
        <v>2962</v>
      </c>
      <c r="E29" s="472">
        <v>0.16</v>
      </c>
      <c r="F29" s="346">
        <v>0.09</v>
      </c>
      <c r="G29" s="473">
        <v>0.44</v>
      </c>
    </row>
    <row r="30" spans="4:7" x14ac:dyDescent="0.25">
      <c r="D30" s="469" t="s">
        <v>2963</v>
      </c>
      <c r="E30" s="472">
        <v>0.16</v>
      </c>
      <c r="F30" s="346">
        <v>0.18</v>
      </c>
      <c r="G30" s="473">
        <v>0.11</v>
      </c>
    </row>
    <row r="31" spans="4:7" x14ac:dyDescent="0.25">
      <c r="D31" s="469" t="s">
        <v>2964</v>
      </c>
      <c r="E31" s="472">
        <v>0.12</v>
      </c>
      <c r="F31" s="346">
        <v>0.12</v>
      </c>
      <c r="G31" s="473">
        <v>0.11</v>
      </c>
    </row>
    <row r="32" spans="4:7" x14ac:dyDescent="0.25">
      <c r="D32" s="469" t="s">
        <v>2965</v>
      </c>
      <c r="E32" s="472">
        <v>0.09</v>
      </c>
      <c r="F32" s="346">
        <v>0.09</v>
      </c>
      <c r="G32" s="473">
        <v>0.11</v>
      </c>
    </row>
    <row r="33" spans="4:7" x14ac:dyDescent="0.25">
      <c r="D33" s="469" t="s">
        <v>2966</v>
      </c>
      <c r="E33" s="472">
        <v>0.09</v>
      </c>
      <c r="F33" s="346">
        <v>0.09</v>
      </c>
      <c r="G33" s="473">
        <v>0.11</v>
      </c>
    </row>
    <row r="34" spans="4:7" x14ac:dyDescent="0.25">
      <c r="D34" s="469" t="s">
        <v>2967</v>
      </c>
      <c r="E34" s="472">
        <v>0.09</v>
      </c>
      <c r="F34" s="346">
        <v>0.12</v>
      </c>
      <c r="G34" s="473" t="s">
        <v>2331</v>
      </c>
    </row>
    <row r="35" spans="4:7" ht="30" x14ac:dyDescent="0.25">
      <c r="D35" s="469" t="s">
        <v>2968</v>
      </c>
      <c r="E35" s="472">
        <v>0.02</v>
      </c>
      <c r="F35" s="346">
        <v>0.03</v>
      </c>
      <c r="G35" s="473" t="s">
        <v>2331</v>
      </c>
    </row>
    <row r="36" spans="4:7" x14ac:dyDescent="0.25">
      <c r="D36" s="477" t="s">
        <v>62</v>
      </c>
      <c r="E36" s="478">
        <v>0.02</v>
      </c>
      <c r="F36" s="479">
        <v>0.03</v>
      </c>
      <c r="G36" s="480" t="s">
        <v>2331</v>
      </c>
    </row>
  </sheetData>
  <customSheetViews>
    <customSheetView guid="{679A3195-3DEA-4AC2-A535-82AAF5B552BC}" hiddenColumns="1" topLeftCell="C1">
      <pane xSplit="4" ySplit="6" topLeftCell="G7" activePane="bottomRight" state="frozen"/>
      <selection pane="bottomRight" activeCell="C3" sqref="C3"/>
      <pageMargins left="0.7" right="0.7" top="0.75" bottom="0.75" header="0.3" footer="0.3"/>
      <pageSetup paperSize="256" orientation="portrait" verticalDpi="0" r:id="rId1"/>
    </customSheetView>
    <customSheetView guid="{7378B641-E8D1-4C14-8151-CF4CE159D121}" hiddenColumns="1" topLeftCell="C1">
      <pane xSplit="4" ySplit="6" topLeftCell="G7" activePane="bottomRight" state="frozen"/>
      <selection pane="bottomRight" activeCell="D5" sqref="D5:G5"/>
      <pageMargins left="0.7" right="0.7" top="0.75" bottom="0.75" header="0.3" footer="0.3"/>
      <pageSetup paperSize="256" orientation="portrait" verticalDpi="0" r:id="rId2"/>
    </customSheetView>
    <customSheetView guid="{6D63B10B-E1E6-452A-80EB-4B2C7D61CF66}" hiddenColumns="1" topLeftCell="C1">
      <pane xSplit="4" ySplit="6" topLeftCell="G7" activePane="bottomRight" state="frozen"/>
      <selection pane="bottomRight" activeCell="C3" sqref="C3"/>
      <pageMargins left="0.7" right="0.7" top="0.75" bottom="0.75" header="0.3" footer="0.3"/>
      <pageSetup paperSize="256" orientation="portrait" verticalDpi="0" r:id="rId3"/>
    </customSheetView>
  </customSheetViews>
  <mergeCells count="5">
    <mergeCell ref="D5:G5"/>
    <mergeCell ref="D9:G9"/>
    <mergeCell ref="D18:G18"/>
    <mergeCell ref="D21:G21"/>
    <mergeCell ref="D24:G2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G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1.42578125" bestFit="1" customWidth="1"/>
    <col min="5" max="5" width="14" bestFit="1" customWidth="1"/>
    <col min="6" max="6" width="14" customWidth="1"/>
    <col min="7" max="7" width="17.42578125" customWidth="1"/>
    <col min="10" max="10" width="3.5703125" customWidth="1"/>
    <col min="20" max="20" width="3.7109375" customWidth="1"/>
  </cols>
  <sheetData>
    <row r="1" spans="1:7" ht="30" x14ac:dyDescent="0.25">
      <c r="A1" s="3" t="s">
        <v>26</v>
      </c>
      <c r="B1" s="4" t="s">
        <v>3372</v>
      </c>
      <c r="C1" s="535" t="s">
        <v>3058</v>
      </c>
      <c r="D1" s="558" t="str">
        <f>B1</f>
        <v>Change in Utility Bill (Participant Opinion) Due to the EUC Upgrade</v>
      </c>
    </row>
    <row r="2" spans="1:7" x14ac:dyDescent="0.25">
      <c r="A2" t="s">
        <v>20</v>
      </c>
      <c r="B2" s="321" t="s">
        <v>60</v>
      </c>
      <c r="C2" s="536" t="s">
        <v>3059</v>
      </c>
    </row>
    <row r="3" spans="1:7" x14ac:dyDescent="0.25">
      <c r="A3" t="s">
        <v>1184</v>
      </c>
      <c r="B3" s="321" t="s">
        <v>2794</v>
      </c>
      <c r="C3" s="536" t="s">
        <v>1193</v>
      </c>
    </row>
    <row r="4" spans="1:7" x14ac:dyDescent="0.25">
      <c r="D4" s="460"/>
      <c r="E4" s="461" t="s">
        <v>2608</v>
      </c>
      <c r="F4" s="461" t="s">
        <v>2609</v>
      </c>
      <c r="G4" s="462" t="s">
        <v>3172</v>
      </c>
    </row>
    <row r="5" spans="1:7" x14ac:dyDescent="0.25">
      <c r="D5" s="360" t="s">
        <v>2969</v>
      </c>
      <c r="E5" s="467">
        <v>0.05</v>
      </c>
      <c r="F5" s="345">
        <v>0.05</v>
      </c>
      <c r="G5" s="468">
        <v>0.06</v>
      </c>
    </row>
    <row r="6" spans="1:7" x14ac:dyDescent="0.25">
      <c r="D6" s="360" t="s">
        <v>2970</v>
      </c>
      <c r="E6" s="467">
        <v>0.81</v>
      </c>
      <c r="F6" s="345">
        <v>0.82</v>
      </c>
      <c r="G6" s="468">
        <v>0.75</v>
      </c>
    </row>
    <row r="7" spans="1:7" x14ac:dyDescent="0.25">
      <c r="D7" s="360" t="s">
        <v>2971</v>
      </c>
      <c r="E7" s="467">
        <v>0.08</v>
      </c>
      <c r="F7" s="345">
        <v>0.08</v>
      </c>
      <c r="G7" s="468">
        <v>0.06</v>
      </c>
    </row>
    <row r="8" spans="1:7" x14ac:dyDescent="0.25">
      <c r="D8" s="360" t="s">
        <v>2972</v>
      </c>
      <c r="E8" s="467">
        <v>0.03</v>
      </c>
      <c r="F8" s="345">
        <v>0.02</v>
      </c>
      <c r="G8" s="468">
        <v>0.06</v>
      </c>
    </row>
    <row r="9" spans="1:7" x14ac:dyDescent="0.25">
      <c r="D9" s="499" t="s">
        <v>2973</v>
      </c>
      <c r="E9" s="488">
        <v>0.04</v>
      </c>
      <c r="F9" s="489">
        <v>0.03</v>
      </c>
      <c r="G9" s="490">
        <v>0.06</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3">
    <dataValidation type="list" allowBlank="1" showInputMessage="1" showErrorMessage="1" sqref="B2">
      <formula1>Scope</formula1>
    </dataValidation>
    <dataValidation type="list" allowBlank="1" showInputMessage="1" sqref="B3">
      <formula1>DataSource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G46"/>
  <sheetViews>
    <sheetView topLeftCell="C1" zoomScaleNormal="100" workbookViewId="0">
      <pane xSplit="3" ySplit="5" topLeftCell="F6" activePane="bottomRight" state="frozen"/>
      <selection activeCell="C1" sqref="C1"/>
      <selection pane="topRight" activeCell="F1" sqref="F1"/>
      <selection pane="bottomLeft" activeCell="C6" sqref="C6"/>
      <selection pane="bottomRight" activeCell="C3" sqref="C3"/>
    </sheetView>
  </sheetViews>
  <sheetFormatPr defaultRowHeight="15" x14ac:dyDescent="0.25"/>
  <cols>
    <col min="1" max="1" width="11.5703125" hidden="1" customWidth="1"/>
    <col min="2" max="2" width="57.28515625" hidden="1" customWidth="1"/>
    <col min="3" max="3" width="18.7109375" customWidth="1"/>
    <col min="4" max="4" width="86.5703125" customWidth="1"/>
    <col min="5" max="5" width="6.5703125" bestFit="1" customWidth="1"/>
    <col min="6" max="6" width="14" customWidth="1"/>
    <col min="7" max="7" width="11.140625" customWidth="1"/>
    <col min="10" max="10" width="3.5703125" customWidth="1"/>
    <col min="20" max="20" width="3.7109375" customWidth="1"/>
  </cols>
  <sheetData>
    <row r="1" spans="1:7" x14ac:dyDescent="0.25">
      <c r="A1" s="3" t="s">
        <v>26</v>
      </c>
      <c r="B1" s="4" t="s">
        <v>2974</v>
      </c>
      <c r="C1" s="535" t="s">
        <v>3058</v>
      </c>
      <c r="D1" s="558" t="str">
        <f>B1</f>
        <v>Overall Satisfaction and Suggestions for Improvement</v>
      </c>
    </row>
    <row r="2" spans="1:7" x14ac:dyDescent="0.25">
      <c r="A2" t="s">
        <v>20</v>
      </c>
      <c r="B2" s="321" t="s">
        <v>58</v>
      </c>
      <c r="C2" s="536" t="s">
        <v>3059</v>
      </c>
    </row>
    <row r="3" spans="1:7" x14ac:dyDescent="0.25">
      <c r="A3" t="s">
        <v>1184</v>
      </c>
      <c r="B3" s="321" t="s">
        <v>2794</v>
      </c>
      <c r="C3" s="536" t="s">
        <v>1193</v>
      </c>
    </row>
    <row r="4" spans="1:7" x14ac:dyDescent="0.25">
      <c r="D4" s="448"/>
      <c r="E4" s="312" t="s">
        <v>2879</v>
      </c>
      <c r="F4" s="312" t="s">
        <v>2731</v>
      </c>
      <c r="G4" s="332" t="s">
        <v>3171</v>
      </c>
    </row>
    <row r="5" spans="1:7" x14ac:dyDescent="0.25">
      <c r="D5" s="324"/>
      <c r="E5" s="500" t="s">
        <v>2881</v>
      </c>
      <c r="F5" s="500" t="s">
        <v>2882</v>
      </c>
      <c r="G5" s="501" t="s">
        <v>2807</v>
      </c>
    </row>
    <row r="6" spans="1:7" x14ac:dyDescent="0.25">
      <c r="D6" s="502" t="s">
        <v>2975</v>
      </c>
      <c r="E6" s="503">
        <v>4.58</v>
      </c>
      <c r="F6" s="504">
        <v>4.7</v>
      </c>
      <c r="G6" s="505">
        <v>4.0999999999999996</v>
      </c>
    </row>
    <row r="7" spans="1:7" x14ac:dyDescent="0.25">
      <c r="D7" s="825" t="s">
        <v>2976</v>
      </c>
      <c r="E7" s="826"/>
      <c r="F7" s="826"/>
      <c r="G7" s="827"/>
    </row>
    <row r="8" spans="1:7" x14ac:dyDescent="0.25">
      <c r="D8" s="828"/>
      <c r="E8" s="829"/>
      <c r="F8" s="829"/>
      <c r="G8" s="830"/>
    </row>
    <row r="9" spans="1:7" x14ac:dyDescent="0.25">
      <c r="D9" s="502" t="s">
        <v>2977</v>
      </c>
      <c r="E9" s="506" t="s">
        <v>2978</v>
      </c>
      <c r="F9" s="506" t="s">
        <v>2979</v>
      </c>
      <c r="G9" s="507" t="s">
        <v>2980</v>
      </c>
    </row>
    <row r="10" spans="1:7" x14ac:dyDescent="0.25">
      <c r="D10" s="831" t="s">
        <v>2981</v>
      </c>
      <c r="E10" s="832"/>
      <c r="F10" s="832"/>
      <c r="G10" s="833"/>
    </row>
    <row r="11" spans="1:7" x14ac:dyDescent="0.25">
      <c r="D11" s="508" t="s">
        <v>2982</v>
      </c>
      <c r="E11" s="450">
        <v>0.4</v>
      </c>
      <c r="F11" s="451">
        <v>0.36206896551724133</v>
      </c>
      <c r="G11" s="452">
        <v>0.58333333333333337</v>
      </c>
    </row>
    <row r="12" spans="1:7" x14ac:dyDescent="0.25">
      <c r="D12" s="508" t="s">
        <v>2983</v>
      </c>
      <c r="E12" s="450">
        <v>0.28571428571428575</v>
      </c>
      <c r="F12" s="451">
        <v>0.27586206896551724</v>
      </c>
      <c r="G12" s="452">
        <v>0.33333333333333337</v>
      </c>
    </row>
    <row r="13" spans="1:7" x14ac:dyDescent="0.25">
      <c r="D13" s="508" t="s">
        <v>2984</v>
      </c>
      <c r="E13" s="450">
        <v>0.22857142857142856</v>
      </c>
      <c r="F13" s="451">
        <v>0.24137931034482757</v>
      </c>
      <c r="G13" s="452">
        <v>0.16666666666666669</v>
      </c>
    </row>
    <row r="14" spans="1:7" x14ac:dyDescent="0.25">
      <c r="D14" s="508" t="s">
        <v>2985</v>
      </c>
      <c r="E14" s="450">
        <v>0.22857142857142856</v>
      </c>
      <c r="F14" s="451">
        <v>0.22413793103448276</v>
      </c>
      <c r="G14" s="452">
        <v>0.25</v>
      </c>
    </row>
    <row r="15" spans="1:7" x14ac:dyDescent="0.25">
      <c r="D15" s="508" t="s">
        <v>2986</v>
      </c>
      <c r="E15" s="450">
        <v>0.2</v>
      </c>
      <c r="F15" s="451">
        <v>0.20689655172413793</v>
      </c>
      <c r="G15" s="452">
        <v>0.16666666666666669</v>
      </c>
    </row>
    <row r="16" spans="1:7" x14ac:dyDescent="0.25">
      <c r="D16" s="508" t="s">
        <v>2987</v>
      </c>
      <c r="E16" s="450">
        <v>0.15714285714285714</v>
      </c>
      <c r="F16" s="451">
        <v>0.18965517241379309</v>
      </c>
      <c r="G16" s="452" t="s">
        <v>2331</v>
      </c>
    </row>
    <row r="17" spans="4:7" x14ac:dyDescent="0.25">
      <c r="D17" s="508" t="s">
        <v>2988</v>
      </c>
      <c r="E17" s="450">
        <v>0.11428571428571428</v>
      </c>
      <c r="F17" s="451">
        <v>0.12068965517241378</v>
      </c>
      <c r="G17" s="452">
        <v>8.3333333333333343E-2</v>
      </c>
    </row>
    <row r="18" spans="4:7" x14ac:dyDescent="0.25">
      <c r="D18" s="508" t="s">
        <v>2989</v>
      </c>
      <c r="E18" s="450">
        <v>8.5714285714285715E-2</v>
      </c>
      <c r="F18" s="451">
        <v>0.10344827586206896</v>
      </c>
      <c r="G18" s="452" t="s">
        <v>2331</v>
      </c>
    </row>
    <row r="19" spans="4:7" x14ac:dyDescent="0.25">
      <c r="D19" s="508" t="s">
        <v>2990</v>
      </c>
      <c r="E19" s="450">
        <v>4.2857142857142858E-2</v>
      </c>
      <c r="F19" s="451">
        <v>5.1724137931034482E-2</v>
      </c>
      <c r="G19" s="452" t="s">
        <v>2331</v>
      </c>
    </row>
    <row r="20" spans="4:7" x14ac:dyDescent="0.25">
      <c r="D20" s="822" t="s">
        <v>2991</v>
      </c>
      <c r="E20" s="823"/>
      <c r="F20" s="823"/>
      <c r="G20" s="824"/>
    </row>
    <row r="21" spans="4:7" x14ac:dyDescent="0.25">
      <c r="D21" s="508" t="s">
        <v>2992</v>
      </c>
      <c r="E21" s="450">
        <v>0.1</v>
      </c>
      <c r="F21" s="451">
        <v>8.6206896551724144E-2</v>
      </c>
      <c r="G21" s="452">
        <v>0.16666666666666669</v>
      </c>
    </row>
    <row r="22" spans="4:7" x14ac:dyDescent="0.25">
      <c r="D22" s="508" t="s">
        <v>2993</v>
      </c>
      <c r="E22" s="450">
        <v>5.7142857142857141E-2</v>
      </c>
      <c r="F22" s="451">
        <v>6.8965517241379309E-2</v>
      </c>
      <c r="G22" s="452" t="s">
        <v>2331</v>
      </c>
    </row>
    <row r="23" spans="4:7" x14ac:dyDescent="0.25">
      <c r="D23" s="508" t="s">
        <v>2994</v>
      </c>
      <c r="E23" s="450">
        <v>1.4285714285714285E-2</v>
      </c>
      <c r="F23" s="451">
        <v>1.7241379310344827E-2</v>
      </c>
      <c r="G23" s="452" t="s">
        <v>2331</v>
      </c>
    </row>
    <row r="24" spans="4:7" x14ac:dyDescent="0.25">
      <c r="D24" s="508" t="s">
        <v>2995</v>
      </c>
      <c r="E24" s="450">
        <v>1.4285714285714285E-2</v>
      </c>
      <c r="F24" s="451" t="s">
        <v>2331</v>
      </c>
      <c r="G24" s="452">
        <v>8.3333333333333343E-2</v>
      </c>
    </row>
    <row r="25" spans="4:7" x14ac:dyDescent="0.25">
      <c r="D25" s="828"/>
      <c r="E25" s="829"/>
      <c r="F25" s="829"/>
      <c r="G25" s="830"/>
    </row>
    <row r="26" spans="4:7" x14ac:dyDescent="0.25">
      <c r="D26" s="502" t="s">
        <v>2996</v>
      </c>
      <c r="E26" s="506" t="s">
        <v>2909</v>
      </c>
      <c r="F26" s="506" t="s">
        <v>2997</v>
      </c>
      <c r="G26" s="507" t="s">
        <v>2998</v>
      </c>
    </row>
    <row r="27" spans="4:7" x14ac:dyDescent="0.25">
      <c r="D27" s="831" t="s">
        <v>2981</v>
      </c>
      <c r="E27" s="832"/>
      <c r="F27" s="832"/>
      <c r="G27" s="833"/>
    </row>
    <row r="28" spans="4:7" x14ac:dyDescent="0.25">
      <c r="D28" s="508" t="s">
        <v>2989</v>
      </c>
      <c r="E28" s="509">
        <v>0.14000000000000001</v>
      </c>
      <c r="F28" s="510">
        <v>0.33</v>
      </c>
      <c r="G28" s="511" t="s">
        <v>2331</v>
      </c>
    </row>
    <row r="29" spans="4:7" x14ac:dyDescent="0.25">
      <c r="D29" s="822" t="s">
        <v>2991</v>
      </c>
      <c r="E29" s="823"/>
      <c r="F29" s="823"/>
      <c r="G29" s="824"/>
    </row>
    <row r="30" spans="4:7" x14ac:dyDescent="0.25">
      <c r="D30" s="508" t="s">
        <v>2992</v>
      </c>
      <c r="E30" s="509">
        <v>0.71</v>
      </c>
      <c r="F30" s="510">
        <v>0.67</v>
      </c>
      <c r="G30" s="511">
        <v>0.75</v>
      </c>
    </row>
    <row r="31" spans="4:7" x14ac:dyDescent="0.25">
      <c r="D31" s="508" t="s">
        <v>2999</v>
      </c>
      <c r="E31" s="509">
        <v>0.43</v>
      </c>
      <c r="F31" s="510">
        <v>0.33</v>
      </c>
      <c r="G31" s="511">
        <v>0.5</v>
      </c>
    </row>
    <row r="32" spans="4:7" x14ac:dyDescent="0.25">
      <c r="D32" s="508" t="s">
        <v>2993</v>
      </c>
      <c r="E32" s="509">
        <v>0.28999999999999998</v>
      </c>
      <c r="F32" s="510">
        <v>0.33</v>
      </c>
      <c r="G32" s="511">
        <v>0.25</v>
      </c>
    </row>
    <row r="33" spans="4:7" x14ac:dyDescent="0.25">
      <c r="D33" s="508" t="s">
        <v>2995</v>
      </c>
      <c r="E33" s="509">
        <v>0.28999999999999998</v>
      </c>
      <c r="F33" s="510" t="s">
        <v>2331</v>
      </c>
      <c r="G33" s="511">
        <v>0.5</v>
      </c>
    </row>
    <row r="34" spans="4:7" x14ac:dyDescent="0.25">
      <c r="D34" s="508" t="s">
        <v>2994</v>
      </c>
      <c r="E34" s="509">
        <v>0.14000000000000001</v>
      </c>
      <c r="F34" s="510">
        <v>0.33</v>
      </c>
      <c r="G34" s="511" t="s">
        <v>2331</v>
      </c>
    </row>
    <row r="35" spans="4:7" x14ac:dyDescent="0.25">
      <c r="D35" s="512"/>
      <c r="E35" s="492"/>
      <c r="F35" s="492"/>
      <c r="G35" s="493"/>
    </row>
    <row r="36" spans="4:7" x14ac:dyDescent="0.25">
      <c r="D36" s="502" t="s">
        <v>3000</v>
      </c>
      <c r="E36" s="506" t="s">
        <v>2902</v>
      </c>
      <c r="F36" s="506" t="s">
        <v>3001</v>
      </c>
      <c r="G36" s="507" t="s">
        <v>2903</v>
      </c>
    </row>
    <row r="37" spans="4:7" x14ac:dyDescent="0.25">
      <c r="D37" s="508" t="s">
        <v>3002</v>
      </c>
      <c r="E37" s="513">
        <v>0.22222222222222221</v>
      </c>
      <c r="F37" s="514">
        <v>0.26315789473684209</v>
      </c>
      <c r="G37" s="515">
        <v>6.6666666666666666E-2</v>
      </c>
    </row>
    <row r="38" spans="4:7" x14ac:dyDescent="0.25">
      <c r="D38" s="508" t="s">
        <v>3003</v>
      </c>
      <c r="E38" s="513">
        <v>0.19444444444444442</v>
      </c>
      <c r="F38" s="514">
        <v>0.2105263157894737</v>
      </c>
      <c r="G38" s="515">
        <v>0.13333333333333333</v>
      </c>
    </row>
    <row r="39" spans="4:7" x14ac:dyDescent="0.25">
      <c r="D39" s="508" t="s">
        <v>3004</v>
      </c>
      <c r="E39" s="513">
        <v>0.16666666666666669</v>
      </c>
      <c r="F39" s="514">
        <v>0.15789473684210525</v>
      </c>
      <c r="G39" s="515">
        <v>0.2</v>
      </c>
    </row>
    <row r="40" spans="4:7" x14ac:dyDescent="0.25">
      <c r="D40" s="508" t="s">
        <v>3005</v>
      </c>
      <c r="E40" s="513">
        <v>0.1388888888888889</v>
      </c>
      <c r="F40" s="514">
        <v>0.12280701754385966</v>
      </c>
      <c r="G40" s="515">
        <v>0.2</v>
      </c>
    </row>
    <row r="41" spans="4:7" x14ac:dyDescent="0.25">
      <c r="D41" s="508" t="s">
        <v>3006</v>
      </c>
      <c r="E41" s="513">
        <v>0.125</v>
      </c>
      <c r="F41" s="514">
        <v>0.15789473684210525</v>
      </c>
      <c r="G41" s="516" t="s">
        <v>2331</v>
      </c>
    </row>
    <row r="42" spans="4:7" x14ac:dyDescent="0.25">
      <c r="D42" s="508" t="s">
        <v>3007</v>
      </c>
      <c r="E42" s="513">
        <v>9.722222222222221E-2</v>
      </c>
      <c r="F42" s="514">
        <v>8.7719298245614044E-2</v>
      </c>
      <c r="G42" s="515">
        <v>0.13333333333333333</v>
      </c>
    </row>
    <row r="43" spans="4:7" x14ac:dyDescent="0.25">
      <c r="D43" s="508" t="s">
        <v>3008</v>
      </c>
      <c r="E43" s="513">
        <v>9.722222222222221E-2</v>
      </c>
      <c r="F43" s="514">
        <v>5.2631578947368425E-2</v>
      </c>
      <c r="G43" s="515">
        <v>0.26666666666666666</v>
      </c>
    </row>
    <row r="44" spans="4:7" x14ac:dyDescent="0.25">
      <c r="D44" s="508" t="s">
        <v>62</v>
      </c>
      <c r="E44" s="513">
        <v>8.3333333333333343E-2</v>
      </c>
      <c r="F44" s="514">
        <v>7.0175438596491224E-2</v>
      </c>
      <c r="G44" s="515">
        <v>0.13333333333333333</v>
      </c>
    </row>
    <row r="45" spans="4:7" x14ac:dyDescent="0.25">
      <c r="D45" s="508" t="s">
        <v>3009</v>
      </c>
      <c r="E45" s="513">
        <v>6.9444444444444448E-2</v>
      </c>
      <c r="F45" s="514">
        <v>7.0175438596491224E-2</v>
      </c>
      <c r="G45" s="515">
        <v>6.6666666666666666E-2</v>
      </c>
    </row>
    <row r="46" spans="4:7" x14ac:dyDescent="0.25">
      <c r="D46" s="517" t="s">
        <v>3010</v>
      </c>
      <c r="E46" s="518">
        <v>4.1666666666666671E-2</v>
      </c>
      <c r="F46" s="519">
        <v>3.5087719298245612E-2</v>
      </c>
      <c r="G46" s="520">
        <v>6.6666666666666666E-2</v>
      </c>
    </row>
  </sheetData>
  <customSheetViews>
    <customSheetView guid="{679A3195-3DEA-4AC2-A535-82AAF5B552BC}" hiddenColumns="1" topLeftCell="C1">
      <pane xSplit="3" ySplit="5" topLeftCell="F6" activePane="bottomRight" state="frozen"/>
      <selection pane="bottomRight" activeCell="C3" sqref="C3"/>
      <pageMargins left="0.7" right="0.7" top="0.75" bottom="0.75" header="0.3" footer="0.3"/>
      <pageSetup paperSize="256" orientation="portrait" verticalDpi="0" r:id="rId1"/>
    </customSheetView>
    <customSheetView guid="{7378B641-E8D1-4C14-8151-CF4CE159D121}" hiddenColumns="1" topLeftCell="C1">
      <pane xSplit="4" ySplit="5" topLeftCell="G6" activePane="bottomRight" state="frozen"/>
      <selection pane="bottomRight" activeCell="B1" sqref="B1"/>
      <pageMargins left="0.7" right="0.7" top="0.75" bottom="0.75" header="0.3" footer="0.3"/>
      <pageSetup paperSize="256" orientation="portrait" verticalDpi="0" r:id="rId2"/>
    </customSheetView>
    <customSheetView guid="{6D63B10B-E1E6-452A-80EB-4B2C7D61CF66}" hiddenColumns="1" topLeftCell="C1">
      <pane xSplit="3" ySplit="5" topLeftCell="F6" activePane="bottomRight" state="frozen"/>
      <selection pane="bottomRight" activeCell="C3" sqref="C3"/>
      <pageMargins left="0.7" right="0.7" top="0.75" bottom="0.75" header="0.3" footer="0.3"/>
      <pageSetup paperSize="256" orientation="portrait" verticalDpi="0" r:id="rId3"/>
    </customSheetView>
  </customSheetViews>
  <mergeCells count="7">
    <mergeCell ref="D29:G29"/>
    <mergeCell ref="D7:G7"/>
    <mergeCell ref="D8:G8"/>
    <mergeCell ref="D10:G10"/>
    <mergeCell ref="D20:G20"/>
    <mergeCell ref="D25:G25"/>
    <mergeCell ref="D27:G27"/>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H22"/>
  <sheetViews>
    <sheetView showGridLines="0" workbookViewId="0">
      <selection activeCell="A9" sqref="A9"/>
    </sheetView>
  </sheetViews>
  <sheetFormatPr defaultRowHeight="15" x14ac:dyDescent="0.25"/>
  <cols>
    <col min="1" max="8" width="12.7109375" style="3" customWidth="1"/>
    <col min="9" max="16384" width="9.140625" style="3"/>
  </cols>
  <sheetData>
    <row r="1" spans="1:8" ht="15.75" x14ac:dyDescent="0.25">
      <c r="A1" s="38" t="s">
        <v>1316</v>
      </c>
    </row>
    <row r="2" spans="1:8" ht="50.1" customHeight="1" x14ac:dyDescent="0.25">
      <c r="A2" s="834" t="s">
        <v>1303</v>
      </c>
      <c r="B2" s="834"/>
      <c r="C2" s="834"/>
      <c r="D2" s="834"/>
      <c r="E2" s="834"/>
      <c r="F2" s="834"/>
      <c r="G2" s="834"/>
      <c r="H2" s="834"/>
    </row>
    <row r="4" spans="1:8" x14ac:dyDescent="0.25">
      <c r="A4" s="39" t="s">
        <v>1300</v>
      </c>
      <c r="B4" s="39"/>
      <c r="C4" s="39" t="s">
        <v>1301</v>
      </c>
      <c r="D4" s="39" t="s">
        <v>1302</v>
      </c>
    </row>
    <row r="5" spans="1:8" x14ac:dyDescent="0.25">
      <c r="A5" s="40" t="s">
        <v>1311</v>
      </c>
      <c r="B5" s="40"/>
      <c r="C5" s="40" t="str">
        <f ca="1">MID(CELL("filename",ChtL!$A$1), FIND("]", CELL("filename", ChtL!$A$1))+ 1, 255)</f>
        <v>ChtL</v>
      </c>
      <c r="D5" s="40" t="str">
        <f ca="1">MID(CELL("filename",ChtLd!$A$1), FIND("]", CELL("filename", ChtLd!$A$1))+ 1, 255)</f>
        <v>ChtLd</v>
      </c>
    </row>
    <row r="6" spans="1:8" x14ac:dyDescent="0.25">
      <c r="A6" s="40" t="s">
        <v>1312</v>
      </c>
      <c r="B6" s="40"/>
      <c r="C6" s="40" t="str">
        <f ca="1">MID(CELL("filename",ChtLM!$A$1), FIND("]", CELL("filename", ChtLM!$A$1))+ 1, 255)</f>
        <v>ChtLM</v>
      </c>
      <c r="D6" s="40" t="str">
        <f ca="1">MID(CELL("filename",ChtLMd!$A$1), FIND("]", CELL("filename", ChtLMd!$A$1))+ 1, 255)</f>
        <v>ChtLMd</v>
      </c>
    </row>
    <row r="7" spans="1:8" x14ac:dyDescent="0.25">
      <c r="A7" s="40" t="s">
        <v>1313</v>
      </c>
      <c r="B7" s="40"/>
      <c r="C7" s="40" t="str">
        <f ca="1">MID(CELL("filename",ChtCC!$A$1), FIND("]", CELL("filename", ChtCC!$A$1))+ 1, 255)</f>
        <v>ChtCC</v>
      </c>
      <c r="D7" s="40" t="str">
        <f ca="1">MID(CELL("filename",ChtCCd!$A$1), FIND("]", CELL("filename", ChtCCd!$A$1))+ 1, 255)</f>
        <v>ChtCCd</v>
      </c>
    </row>
    <row r="8" spans="1:8" x14ac:dyDescent="0.25">
      <c r="A8" s="40" t="s">
        <v>1314</v>
      </c>
      <c r="B8" s="40"/>
      <c r="C8" s="40" t="str">
        <f ca="1">MID(CELL("filename",ChtSC!$A$1), FIND("]", CELL("filename", ChtSC!$A$1))+ 1, 255)</f>
        <v>ChtSC</v>
      </c>
      <c r="D8" s="40" t="str">
        <f ca="1">MID(CELL("filename",ChtSCd!$A$1), FIND("]", CELL("filename", ChtSCd!$A$1))+ 1, 255)</f>
        <v>ChtSCd</v>
      </c>
    </row>
    <row r="9" spans="1:8" x14ac:dyDescent="0.25">
      <c r="A9" s="40" t="s">
        <v>1315</v>
      </c>
      <c r="B9" s="40"/>
      <c r="C9" s="40" t="str">
        <f ca="1">MID(CELL("filename",ChtP!$A$1), FIND("]", CELL("filename", ChtP!$A$1))+ 1, 255)</f>
        <v>ChtP</v>
      </c>
      <c r="D9" s="40" t="str">
        <f ca="1">MID(CELL("filename",ChtPd!$A$1), FIND("]", CELL("filename", ChtPd!$A$1))+ 1, 255)</f>
        <v>ChtPd</v>
      </c>
    </row>
    <row r="10" spans="1:8" x14ac:dyDescent="0.25">
      <c r="A10" s="72" t="s">
        <v>1359</v>
      </c>
      <c r="B10" s="40"/>
      <c r="C10" s="40" t="str">
        <f ca="1">MID(CELL("filename",ChtXY!$A$1), FIND("]", CELL("filename", ChtXY!$A$1))+ 1, 255)</f>
        <v>ChtXY</v>
      </c>
      <c r="D10" s="40" t="str">
        <f ca="1">MID(CELL("filename",ChtXYd!$A$1), FIND("]", CELL("filename", ChtXYd!$A$1))+ 1, 255)</f>
        <v>ChtXYd</v>
      </c>
    </row>
    <row r="11" spans="1:8" x14ac:dyDescent="0.25">
      <c r="A11" s="72" t="s">
        <v>1380</v>
      </c>
      <c r="B11" s="40"/>
      <c r="C11" s="40" t="str">
        <f ca="1">MID(CELL("filename",'ChtB&amp;W'!$A$1), FIND("]", CELL("filename", 'ChtB&amp;W'!$A$1))+ 1, 255)</f>
        <v>ChtB&amp;W</v>
      </c>
      <c r="D11" s="40" t="str">
        <f ca="1">MID(CELL("filename",'ChtB&amp;Wd'!$A$1), FIND("]", CELL("filename", 'ChtB&amp;Wd'!$A$1))+ 1, 255)</f>
        <v>ChtB&amp;Wd</v>
      </c>
    </row>
    <row r="13" spans="1:8" ht="80.099999999999994" customHeight="1" x14ac:dyDescent="0.25">
      <c r="A13" s="834" t="s">
        <v>1317</v>
      </c>
      <c r="B13" s="834"/>
      <c r="C13" s="834"/>
      <c r="D13" s="834"/>
      <c r="E13" s="834"/>
      <c r="F13" s="834"/>
      <c r="G13" s="834"/>
      <c r="H13" s="834"/>
    </row>
    <row r="14" spans="1:8" x14ac:dyDescent="0.25">
      <c r="A14" s="37" t="s">
        <v>1318</v>
      </c>
    </row>
    <row r="15" spans="1:8" x14ac:dyDescent="0.25">
      <c r="A15" s="41" t="s">
        <v>1319</v>
      </c>
      <c r="B15" s="41"/>
      <c r="C15" s="41"/>
      <c r="D15" s="41"/>
      <c r="E15" s="41"/>
      <c r="F15" s="41"/>
      <c r="G15" s="41"/>
      <c r="H15" s="41"/>
    </row>
    <row r="16" spans="1:8" x14ac:dyDescent="0.25">
      <c r="A16" s="41" t="s">
        <v>1320</v>
      </c>
      <c r="B16" s="41"/>
      <c r="C16" s="41"/>
      <c r="D16" s="41"/>
      <c r="E16" s="41"/>
      <c r="F16" s="41"/>
      <c r="G16" s="41"/>
      <c r="H16" s="41"/>
    </row>
    <row r="17" spans="1:8" x14ac:dyDescent="0.25">
      <c r="A17" s="41" t="s">
        <v>1304</v>
      </c>
      <c r="B17" s="41"/>
      <c r="C17" s="41"/>
      <c r="D17" s="41"/>
      <c r="E17" s="41"/>
      <c r="F17" s="41"/>
      <c r="G17" s="41"/>
      <c r="H17" s="41"/>
    </row>
    <row r="18" spans="1:8" x14ac:dyDescent="0.25">
      <c r="A18" s="41" t="s">
        <v>1321</v>
      </c>
      <c r="B18" s="41"/>
      <c r="C18" s="41"/>
      <c r="D18" s="41"/>
      <c r="E18" s="41"/>
      <c r="F18" s="41"/>
      <c r="G18" s="41"/>
      <c r="H18" s="41"/>
    </row>
    <row r="19" spans="1:8" x14ac:dyDescent="0.25">
      <c r="A19" s="41" t="s">
        <v>1322</v>
      </c>
      <c r="B19" s="41"/>
      <c r="C19" s="41"/>
      <c r="D19" s="41"/>
      <c r="E19" s="41"/>
      <c r="F19" s="41"/>
      <c r="G19" s="41"/>
      <c r="H19" s="41"/>
    </row>
    <row r="20" spans="1:8" x14ac:dyDescent="0.25">
      <c r="A20" s="41" t="s">
        <v>1305</v>
      </c>
      <c r="B20" s="41"/>
      <c r="C20" s="41"/>
      <c r="D20" s="41"/>
      <c r="E20" s="41"/>
      <c r="F20" s="41"/>
      <c r="G20" s="41"/>
      <c r="H20" s="41"/>
    </row>
    <row r="21" spans="1:8" ht="30" customHeight="1" x14ac:dyDescent="0.25">
      <c r="A21" s="835" t="s">
        <v>1324</v>
      </c>
      <c r="B21" s="835"/>
      <c r="C21" s="835"/>
      <c r="D21" s="835"/>
      <c r="E21" s="835"/>
      <c r="F21" s="835"/>
      <c r="G21" s="835"/>
      <c r="H21" s="835"/>
    </row>
    <row r="22" spans="1:8" ht="30" customHeight="1" x14ac:dyDescent="0.25">
      <c r="A22" s="836" t="s">
        <v>1323</v>
      </c>
      <c r="B22" s="836"/>
      <c r="C22" s="836"/>
      <c r="D22" s="836"/>
      <c r="E22" s="836"/>
      <c r="F22" s="836"/>
      <c r="G22" s="836"/>
      <c r="H22" s="836"/>
    </row>
  </sheetData>
  <customSheetViews>
    <customSheetView guid="{679A3195-3DEA-4AC2-A535-82AAF5B552BC}" showGridLines="0" state="hidden">
      <selection activeCell="A9" sqref="A9"/>
      <pageMargins left="0.7" right="0.7" top="0.75" bottom="0.75" header="0.3" footer="0.3"/>
      <pageSetup orientation="portrait" horizontalDpi="4294967293" verticalDpi="4294967293" r:id="rId1"/>
    </customSheetView>
    <customSheetView guid="{7378B641-E8D1-4C14-8151-CF4CE159D121}" showGridLines="0" state="hidden">
      <selection activeCell="A9" sqref="A9"/>
      <pageMargins left="0.7" right="0.7" top="0.75" bottom="0.75" header="0.3" footer="0.3"/>
      <pageSetup orientation="portrait" horizontalDpi="4294967293" verticalDpi="4294967293" r:id="rId2"/>
    </customSheetView>
    <customSheetView guid="{6D63B10B-E1E6-452A-80EB-4B2C7D61CF66}" showGridLines="0" state="hidden">
      <selection activeCell="A9" sqref="A9"/>
      <pageMargins left="0.7" right="0.7" top="0.75" bottom="0.75" header="0.3" footer="0.3"/>
      <pageSetup orientation="portrait" horizontalDpi="4294967293" verticalDpi="4294967293" r:id="rId3"/>
    </customSheetView>
  </customSheetViews>
  <mergeCells count="4">
    <mergeCell ref="A2:H2"/>
    <mergeCell ref="A13:H13"/>
    <mergeCell ref="A21:H21"/>
    <mergeCell ref="A22:H22"/>
  </mergeCells>
  <pageMargins left="0.7" right="0.7" top="0.75" bottom="0.75" header="0.3" footer="0.3"/>
  <pageSetup orientation="portrait" horizontalDpi="4294967293" verticalDpi="4294967293" r:id="rId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Z35"/>
  <sheetViews>
    <sheetView workbookViewId="0">
      <selection activeCell="A9" sqref="A9"/>
    </sheetView>
  </sheetViews>
  <sheetFormatPr defaultRowHeight="15" x14ac:dyDescent="0.25"/>
  <cols>
    <col min="1" max="1" width="11.5703125" style="3" customWidth="1"/>
    <col min="2" max="2" width="57.28515625" style="3" customWidth="1"/>
    <col min="3" max="14" width="9.140625" style="3"/>
    <col min="15" max="15" width="3.28515625" style="47" customWidth="1"/>
    <col min="16" max="16384" width="9.140625" style="3"/>
  </cols>
  <sheetData>
    <row r="1" spans="1:26" ht="33.75" customHeight="1" x14ac:dyDescent="0.25">
      <c r="A1" s="3" t="s">
        <v>26</v>
      </c>
      <c r="B1" s="4" t="s">
        <v>1177</v>
      </c>
    </row>
    <row r="2" spans="1:26" x14ac:dyDescent="0.25">
      <c r="A2" s="3" t="s">
        <v>20</v>
      </c>
      <c r="B2" s="4" t="s">
        <v>58</v>
      </c>
    </row>
    <row r="3" spans="1:26" x14ac:dyDescent="0.25">
      <c r="A3" s="3" t="s">
        <v>1184</v>
      </c>
      <c r="B3" s="4" t="s">
        <v>1190</v>
      </c>
      <c r="C3" s="837" t="s">
        <v>1202</v>
      </c>
      <c r="D3" s="837"/>
      <c r="E3" s="837"/>
      <c r="F3" s="837"/>
      <c r="G3" s="837"/>
      <c r="H3" s="837"/>
      <c r="I3" s="837"/>
      <c r="J3" s="837"/>
      <c r="K3" s="837"/>
      <c r="L3" s="837"/>
      <c r="M3" s="837"/>
      <c r="N3" s="837"/>
    </row>
    <row r="4" spans="1:26" x14ac:dyDescent="0.25">
      <c r="B4" s="4"/>
      <c r="C4" s="3" t="s">
        <v>61</v>
      </c>
      <c r="O4" s="838" t="s">
        <v>1203</v>
      </c>
      <c r="P4" s="48"/>
      <c r="Q4" s="48"/>
      <c r="R4" s="48"/>
      <c r="S4" s="48"/>
      <c r="T4" s="48"/>
      <c r="U4" s="48"/>
      <c r="V4" s="48"/>
      <c r="W4" s="48"/>
      <c r="X4" s="48"/>
      <c r="Y4" s="48"/>
      <c r="Z4" s="48"/>
    </row>
    <row r="5" spans="1:26" x14ac:dyDescent="0.25">
      <c r="B5" s="4"/>
      <c r="O5" s="838"/>
    </row>
    <row r="6" spans="1:26" x14ac:dyDescent="0.25">
      <c r="O6" s="838"/>
    </row>
    <row r="7" spans="1:26" x14ac:dyDescent="0.25">
      <c r="O7" s="838"/>
    </row>
    <row r="8" spans="1:26" x14ac:dyDescent="0.25">
      <c r="O8" s="838"/>
    </row>
    <row r="9" spans="1:26" x14ac:dyDescent="0.25">
      <c r="O9" s="838"/>
    </row>
    <row r="10" spans="1:26" x14ac:dyDescent="0.25">
      <c r="O10" s="838"/>
    </row>
    <row r="11" spans="1:26" x14ac:dyDescent="0.25">
      <c r="O11" s="838"/>
    </row>
    <row r="12" spans="1:26" x14ac:dyDescent="0.25">
      <c r="O12" s="838"/>
    </row>
    <row r="13" spans="1:26" x14ac:dyDescent="0.25">
      <c r="O13" s="838"/>
    </row>
    <row r="14" spans="1:26" x14ac:dyDescent="0.25">
      <c r="O14" s="838"/>
    </row>
    <row r="15" spans="1:26" x14ac:dyDescent="0.25">
      <c r="O15" s="838"/>
    </row>
    <row r="16" spans="1:26" x14ac:dyDescent="0.25">
      <c r="O16" s="838"/>
    </row>
    <row r="17" spans="15:15" x14ac:dyDescent="0.25">
      <c r="O17" s="838"/>
    </row>
    <row r="18" spans="15:15" x14ac:dyDescent="0.25">
      <c r="O18" s="838"/>
    </row>
    <row r="19" spans="15:15" x14ac:dyDescent="0.25">
      <c r="O19" s="838"/>
    </row>
    <row r="20" spans="15:15" x14ac:dyDescent="0.25">
      <c r="O20" s="838"/>
    </row>
    <row r="21" spans="15:15" x14ac:dyDescent="0.25">
      <c r="O21" s="838"/>
    </row>
    <row r="22" spans="15:15" x14ac:dyDescent="0.25">
      <c r="O22" s="838"/>
    </row>
    <row r="23" spans="15:15" x14ac:dyDescent="0.25">
      <c r="O23" s="838"/>
    </row>
    <row r="24" spans="15:15" x14ac:dyDescent="0.25">
      <c r="O24" s="838"/>
    </row>
    <row r="25" spans="15:15" x14ac:dyDescent="0.25">
      <c r="O25" s="838"/>
    </row>
    <row r="26" spans="15:15" x14ac:dyDescent="0.25">
      <c r="O26" s="838"/>
    </row>
    <row r="27" spans="15:15" x14ac:dyDescent="0.25">
      <c r="O27" s="838"/>
    </row>
    <row r="28" spans="15:15" x14ac:dyDescent="0.25">
      <c r="O28" s="838"/>
    </row>
    <row r="29" spans="15:15" x14ac:dyDescent="0.25">
      <c r="O29" s="838"/>
    </row>
    <row r="30" spans="15:15" x14ac:dyDescent="0.25">
      <c r="O30" s="838"/>
    </row>
    <row r="31" spans="15:15" x14ac:dyDescent="0.25">
      <c r="O31" s="838"/>
    </row>
    <row r="33" spans="3:3" x14ac:dyDescent="0.25">
      <c r="C33" s="37" t="s">
        <v>1207</v>
      </c>
    </row>
    <row r="34" spans="3:3" x14ac:dyDescent="0.25">
      <c r="C34" s="3" t="s">
        <v>1336</v>
      </c>
    </row>
    <row r="35" spans="3:3" x14ac:dyDescent="0.25">
      <c r="C35" s="3" t="s">
        <v>1334</v>
      </c>
    </row>
  </sheetData>
  <customSheetViews>
    <customSheetView guid="{679A3195-3DEA-4AC2-A535-82AAF5B552BC}" fitToPage="1" state="hidden">
      <selection activeCell="A9" sqref="A9"/>
      <pageMargins left="0.7" right="0.7" top="0.75" bottom="0.75" header="0.3" footer="0.3"/>
      <pageSetup scale="67" orientation="landscape" horizontalDpi="4294967293" verticalDpi="4294967293" r:id="rId1"/>
    </customSheetView>
    <customSheetView guid="{7378B641-E8D1-4C14-8151-CF4CE159D121}" fitToPage="1" state="hidden">
      <selection activeCell="A9" sqref="A9"/>
      <pageMargins left="0.7" right="0.7" top="0.75" bottom="0.75" header="0.3" footer="0.3"/>
      <pageSetup scale="67" orientation="landscape" horizontalDpi="4294967293" verticalDpi="4294967293" r:id="rId2"/>
    </customSheetView>
    <customSheetView guid="{6D63B10B-E1E6-452A-80EB-4B2C7D61CF66}" fitToPage="1" state="hidden">
      <selection activeCell="A9" sqref="A9"/>
      <pageMargins left="0.7" right="0.7" top="0.75" bottom="0.75" header="0.3" footer="0.3"/>
      <pageSetup scale="67" orientation="landscape" horizontalDpi="4294967293" verticalDpi="4294967293" r:id="rId3"/>
    </customSheetView>
  </customSheetViews>
  <mergeCells count="2">
    <mergeCell ref="C3:N3"/>
    <mergeCell ref="O4:O31"/>
  </mergeCells>
  <dataValidations count="1">
    <dataValidation type="list" allowBlank="1" showInputMessage="1" showErrorMessage="1" sqref="B2">
      <formula1>"PG&amp;E,SCE,Combined"</formula1>
    </dataValidation>
  </dataValidations>
  <pageMargins left="0.7" right="0.7" top="0.75" bottom="0.75" header="0.3" footer="0.3"/>
  <pageSetup scale="67" orientation="landscape" horizontalDpi="4294967293" verticalDpi="4294967293" r:id="rId4"/>
  <drawing r:id="rId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K290"/>
  <sheetViews>
    <sheetView workbookViewId="0">
      <selection activeCell="A9" sqref="A9"/>
    </sheetView>
  </sheetViews>
  <sheetFormatPr defaultRowHeight="15" x14ac:dyDescent="0.25"/>
  <cols>
    <col min="1" max="1" width="6.42578125" style="3" bestFit="1" customWidth="1"/>
    <col min="2" max="10" width="7.28515625" style="3" bestFit="1" customWidth="1"/>
    <col min="11" max="11" width="53.42578125" style="3" customWidth="1"/>
    <col min="12" max="247" width="9.140625" style="3"/>
    <col min="248" max="248" width="17.85546875" style="3" customWidth="1"/>
    <col min="249" max="503" width="9.140625" style="3"/>
    <col min="504" max="504" width="17.85546875" style="3" customWidth="1"/>
    <col min="505" max="759" width="9.140625" style="3"/>
    <col min="760" max="760" width="17.85546875" style="3" customWidth="1"/>
    <col min="761" max="1015" width="9.140625" style="3"/>
    <col min="1016" max="1016" width="17.85546875" style="3" customWidth="1"/>
    <col min="1017" max="1271" width="9.140625" style="3"/>
    <col min="1272" max="1272" width="17.85546875" style="3" customWidth="1"/>
    <col min="1273" max="1527" width="9.140625" style="3"/>
    <col min="1528" max="1528" width="17.85546875" style="3" customWidth="1"/>
    <col min="1529" max="1783" width="9.140625" style="3"/>
    <col min="1784" max="1784" width="17.85546875" style="3" customWidth="1"/>
    <col min="1785" max="2039" width="9.140625" style="3"/>
    <col min="2040" max="2040" width="17.85546875" style="3" customWidth="1"/>
    <col min="2041" max="2295" width="9.140625" style="3"/>
    <col min="2296" max="2296" width="17.85546875" style="3" customWidth="1"/>
    <col min="2297" max="2551" width="9.140625" style="3"/>
    <col min="2552" max="2552" width="17.85546875" style="3" customWidth="1"/>
    <col min="2553" max="2807" width="9.140625" style="3"/>
    <col min="2808" max="2808" width="17.85546875" style="3" customWidth="1"/>
    <col min="2809" max="3063" width="9.140625" style="3"/>
    <col min="3064" max="3064" width="17.85546875" style="3" customWidth="1"/>
    <col min="3065" max="3319" width="9.140625" style="3"/>
    <col min="3320" max="3320" width="17.85546875" style="3" customWidth="1"/>
    <col min="3321" max="3575" width="9.140625" style="3"/>
    <col min="3576" max="3576" width="17.85546875" style="3" customWidth="1"/>
    <col min="3577" max="3831" width="9.140625" style="3"/>
    <col min="3832" max="3832" width="17.85546875" style="3" customWidth="1"/>
    <col min="3833" max="4087" width="9.140625" style="3"/>
    <col min="4088" max="4088" width="17.85546875" style="3" customWidth="1"/>
    <col min="4089" max="4343" width="9.140625" style="3"/>
    <col min="4344" max="4344" width="17.85546875" style="3" customWidth="1"/>
    <col min="4345" max="4599" width="9.140625" style="3"/>
    <col min="4600" max="4600" width="17.85546875" style="3" customWidth="1"/>
    <col min="4601" max="4855" width="9.140625" style="3"/>
    <col min="4856" max="4856" width="17.85546875" style="3" customWidth="1"/>
    <col min="4857" max="5111" width="9.140625" style="3"/>
    <col min="5112" max="5112" width="17.85546875" style="3" customWidth="1"/>
    <col min="5113" max="5367" width="9.140625" style="3"/>
    <col min="5368" max="5368" width="17.85546875" style="3" customWidth="1"/>
    <col min="5369" max="5623" width="9.140625" style="3"/>
    <col min="5624" max="5624" width="17.85546875" style="3" customWidth="1"/>
    <col min="5625" max="5879" width="9.140625" style="3"/>
    <col min="5880" max="5880" width="17.85546875" style="3" customWidth="1"/>
    <col min="5881" max="6135" width="9.140625" style="3"/>
    <col min="6136" max="6136" width="17.85546875" style="3" customWidth="1"/>
    <col min="6137" max="6391" width="9.140625" style="3"/>
    <col min="6392" max="6392" width="17.85546875" style="3" customWidth="1"/>
    <col min="6393" max="6647" width="9.140625" style="3"/>
    <col min="6648" max="6648" width="17.85546875" style="3" customWidth="1"/>
    <col min="6649" max="6903" width="9.140625" style="3"/>
    <col min="6904" max="6904" width="17.85546875" style="3" customWidth="1"/>
    <col min="6905" max="7159" width="9.140625" style="3"/>
    <col min="7160" max="7160" width="17.85546875" style="3" customWidth="1"/>
    <col min="7161" max="7415" width="9.140625" style="3"/>
    <col min="7416" max="7416" width="17.85546875" style="3" customWidth="1"/>
    <col min="7417" max="7671" width="9.140625" style="3"/>
    <col min="7672" max="7672" width="17.85546875" style="3" customWidth="1"/>
    <col min="7673" max="7927" width="9.140625" style="3"/>
    <col min="7928" max="7928" width="17.85546875" style="3" customWidth="1"/>
    <col min="7929" max="8183" width="9.140625" style="3"/>
    <col min="8184" max="8184" width="17.85546875" style="3" customWidth="1"/>
    <col min="8185" max="8439" width="9.140625" style="3"/>
    <col min="8440" max="8440" width="17.85546875" style="3" customWidth="1"/>
    <col min="8441" max="8695" width="9.140625" style="3"/>
    <col min="8696" max="8696" width="17.85546875" style="3" customWidth="1"/>
    <col min="8697" max="8951" width="9.140625" style="3"/>
    <col min="8952" max="8952" width="17.85546875" style="3" customWidth="1"/>
    <col min="8953" max="9207" width="9.140625" style="3"/>
    <col min="9208" max="9208" width="17.85546875" style="3" customWidth="1"/>
    <col min="9209" max="9463" width="9.140625" style="3"/>
    <col min="9464" max="9464" width="17.85546875" style="3" customWidth="1"/>
    <col min="9465" max="9719" width="9.140625" style="3"/>
    <col min="9720" max="9720" width="17.85546875" style="3" customWidth="1"/>
    <col min="9721" max="9975" width="9.140625" style="3"/>
    <col min="9976" max="9976" width="17.85546875" style="3" customWidth="1"/>
    <col min="9977" max="10231" width="9.140625" style="3"/>
    <col min="10232" max="10232" width="17.85546875" style="3" customWidth="1"/>
    <col min="10233" max="10487" width="9.140625" style="3"/>
    <col min="10488" max="10488" width="17.85546875" style="3" customWidth="1"/>
    <col min="10489" max="10743" width="9.140625" style="3"/>
    <col min="10744" max="10744" width="17.85546875" style="3" customWidth="1"/>
    <col min="10745" max="10999" width="9.140625" style="3"/>
    <col min="11000" max="11000" width="17.85546875" style="3" customWidth="1"/>
    <col min="11001" max="11255" width="9.140625" style="3"/>
    <col min="11256" max="11256" width="17.85546875" style="3" customWidth="1"/>
    <col min="11257" max="11511" width="9.140625" style="3"/>
    <col min="11512" max="11512" width="17.85546875" style="3" customWidth="1"/>
    <col min="11513" max="11767" width="9.140625" style="3"/>
    <col min="11768" max="11768" width="17.85546875" style="3" customWidth="1"/>
    <col min="11769" max="12023" width="9.140625" style="3"/>
    <col min="12024" max="12024" width="17.85546875" style="3" customWidth="1"/>
    <col min="12025" max="12279" width="9.140625" style="3"/>
    <col min="12280" max="12280" width="17.85546875" style="3" customWidth="1"/>
    <col min="12281" max="12535" width="9.140625" style="3"/>
    <col min="12536" max="12536" width="17.85546875" style="3" customWidth="1"/>
    <col min="12537" max="12791" width="9.140625" style="3"/>
    <col min="12792" max="12792" width="17.85546875" style="3" customWidth="1"/>
    <col min="12793" max="13047" width="9.140625" style="3"/>
    <col min="13048" max="13048" width="17.85546875" style="3" customWidth="1"/>
    <col min="13049" max="13303" width="9.140625" style="3"/>
    <col min="13304" max="13304" width="17.85546875" style="3" customWidth="1"/>
    <col min="13305" max="13559" width="9.140625" style="3"/>
    <col min="13560" max="13560" width="17.85546875" style="3" customWidth="1"/>
    <col min="13561" max="13815" width="9.140625" style="3"/>
    <col min="13816" max="13816" width="17.85546875" style="3" customWidth="1"/>
    <col min="13817" max="14071" width="9.140625" style="3"/>
    <col min="14072" max="14072" width="17.85546875" style="3" customWidth="1"/>
    <col min="14073" max="14327" width="9.140625" style="3"/>
    <col min="14328" max="14328" width="17.85546875" style="3" customWidth="1"/>
    <col min="14329" max="14583" width="9.140625" style="3"/>
    <col min="14584" max="14584" width="17.85546875" style="3" customWidth="1"/>
    <col min="14585" max="14839" width="9.140625" style="3"/>
    <col min="14840" max="14840" width="17.85546875" style="3" customWidth="1"/>
    <col min="14841" max="15095" width="9.140625" style="3"/>
    <col min="15096" max="15096" width="17.85546875" style="3" customWidth="1"/>
    <col min="15097" max="15351" width="9.140625" style="3"/>
    <col min="15352" max="15352" width="17.85546875" style="3" customWidth="1"/>
    <col min="15353" max="15607" width="9.140625" style="3"/>
    <col min="15608" max="15608" width="17.85546875" style="3" customWidth="1"/>
    <col min="15609" max="15863" width="9.140625" style="3"/>
    <col min="15864" max="15864" width="17.85546875" style="3" customWidth="1"/>
    <col min="15865" max="16119" width="9.140625" style="3"/>
    <col min="16120" max="16120" width="17.85546875" style="3" customWidth="1"/>
    <col min="16121" max="16384" width="9.140625" style="3"/>
  </cols>
  <sheetData>
    <row r="1" spans="1:11" s="43" customFormat="1" ht="14.25" x14ac:dyDescent="0.25">
      <c r="A1" s="42" t="s">
        <v>1205</v>
      </c>
      <c r="B1" s="43" t="s">
        <v>1325</v>
      </c>
      <c r="C1" s="43" t="s">
        <v>1326</v>
      </c>
      <c r="D1" s="43" t="s">
        <v>1327</v>
      </c>
      <c r="E1" s="43" t="s">
        <v>1328</v>
      </c>
      <c r="F1" s="43" t="s">
        <v>1330</v>
      </c>
      <c r="G1" s="43" t="s">
        <v>1331</v>
      </c>
      <c r="H1" s="43" t="s">
        <v>1332</v>
      </c>
      <c r="I1" s="43" t="s">
        <v>1333</v>
      </c>
      <c r="J1" s="43" t="s">
        <v>1329</v>
      </c>
    </row>
    <row r="2" spans="1:11" x14ac:dyDescent="0.25">
      <c r="A2" s="44">
        <v>0</v>
      </c>
      <c r="B2" s="45">
        <v>5</v>
      </c>
      <c r="C2" s="45">
        <v>10</v>
      </c>
      <c r="D2" s="45">
        <v>15</v>
      </c>
      <c r="E2" s="45">
        <v>20</v>
      </c>
      <c r="F2" s="45">
        <v>25</v>
      </c>
      <c r="G2" s="45">
        <v>30</v>
      </c>
      <c r="H2" s="45">
        <v>1</v>
      </c>
      <c r="I2" s="45">
        <v>2</v>
      </c>
      <c r="J2" s="45">
        <v>3</v>
      </c>
      <c r="K2" s="46" t="s">
        <v>1208</v>
      </c>
    </row>
    <row r="3" spans="1:11" x14ac:dyDescent="0.25">
      <c r="A3" s="44">
        <v>3.472222222222222E-3</v>
      </c>
      <c r="B3" s="69">
        <v>5.09</v>
      </c>
      <c r="C3" s="69">
        <v>10.08</v>
      </c>
      <c r="D3" s="69">
        <v>15.07</v>
      </c>
      <c r="E3" s="69">
        <v>20.059999999999999</v>
      </c>
      <c r="F3" s="69">
        <v>25.05</v>
      </c>
      <c r="G3" s="69">
        <v>30.04</v>
      </c>
      <c r="H3" s="69">
        <v>0.97</v>
      </c>
      <c r="I3" s="69">
        <v>1.98</v>
      </c>
      <c r="J3" s="69">
        <v>2.99</v>
      </c>
    </row>
    <row r="4" spans="1:11" x14ac:dyDescent="0.25">
      <c r="A4" s="44">
        <v>6.9444444444444397E-3</v>
      </c>
      <c r="B4" s="69">
        <v>5.18</v>
      </c>
      <c r="C4" s="69">
        <v>10.16</v>
      </c>
      <c r="D4" s="69">
        <v>15.14</v>
      </c>
      <c r="E4" s="69">
        <v>20.119999999999997</v>
      </c>
      <c r="F4" s="69">
        <v>25.1</v>
      </c>
      <c r="G4" s="69">
        <v>30.08</v>
      </c>
      <c r="H4" s="69">
        <v>0.94</v>
      </c>
      <c r="I4" s="69">
        <v>1.96</v>
      </c>
      <c r="J4" s="69">
        <v>2.9800000000000004</v>
      </c>
    </row>
    <row r="5" spans="1:11" x14ac:dyDescent="0.25">
      <c r="A5" s="44">
        <v>1.0416666666666701E-2</v>
      </c>
      <c r="B5" s="69">
        <v>5.27</v>
      </c>
      <c r="C5" s="69">
        <v>10.24</v>
      </c>
      <c r="D5" s="69">
        <v>15.21</v>
      </c>
      <c r="E5" s="69">
        <v>20.179999999999996</v>
      </c>
      <c r="F5" s="69">
        <v>25.150000000000002</v>
      </c>
      <c r="G5" s="69">
        <v>30.119999999999997</v>
      </c>
      <c r="H5" s="69">
        <v>0.90999999999999992</v>
      </c>
      <c r="I5" s="69">
        <v>1.94</v>
      </c>
      <c r="J5" s="69">
        <v>2.9700000000000006</v>
      </c>
    </row>
    <row r="6" spans="1:11" x14ac:dyDescent="0.25">
      <c r="A6" s="44">
        <v>1.38888888888889E-2</v>
      </c>
      <c r="B6" s="69">
        <v>5.3599999999999994</v>
      </c>
      <c r="C6" s="69">
        <v>10.32</v>
      </c>
      <c r="D6" s="69">
        <v>15.280000000000001</v>
      </c>
      <c r="E6" s="69">
        <v>20.239999999999995</v>
      </c>
      <c r="F6" s="69">
        <v>25.200000000000003</v>
      </c>
      <c r="G6" s="69">
        <v>30.159999999999997</v>
      </c>
      <c r="H6" s="69">
        <v>0.87999999999999989</v>
      </c>
      <c r="I6" s="69">
        <v>1.92</v>
      </c>
      <c r="J6" s="69">
        <v>2.9600000000000009</v>
      </c>
    </row>
    <row r="7" spans="1:11" x14ac:dyDescent="0.25">
      <c r="A7" s="44">
        <v>1.7361111111111101E-2</v>
      </c>
      <c r="B7" s="69">
        <v>5.4499999999999993</v>
      </c>
      <c r="C7" s="69">
        <v>10.4</v>
      </c>
      <c r="D7" s="69">
        <v>15.350000000000001</v>
      </c>
      <c r="E7" s="69">
        <v>20.299999999999994</v>
      </c>
      <c r="F7" s="69">
        <v>25.250000000000004</v>
      </c>
      <c r="G7" s="69">
        <v>30.199999999999996</v>
      </c>
      <c r="H7" s="69">
        <v>0.84999999999999987</v>
      </c>
      <c r="I7" s="69">
        <v>1.9</v>
      </c>
      <c r="J7" s="69">
        <v>2.9500000000000011</v>
      </c>
    </row>
    <row r="8" spans="1:11" x14ac:dyDescent="0.25">
      <c r="A8" s="44">
        <v>2.0833333333333301E-2</v>
      </c>
      <c r="B8" s="69">
        <v>5.5399999999999991</v>
      </c>
      <c r="C8" s="69">
        <v>10.48</v>
      </c>
      <c r="D8" s="69">
        <v>15.420000000000002</v>
      </c>
      <c r="E8" s="69">
        <v>20.359999999999992</v>
      </c>
      <c r="F8" s="69">
        <v>25.300000000000004</v>
      </c>
      <c r="G8" s="69">
        <v>30.239999999999995</v>
      </c>
      <c r="H8" s="69">
        <v>0.81999999999999984</v>
      </c>
      <c r="I8" s="69">
        <v>1.88</v>
      </c>
      <c r="J8" s="69">
        <v>2.9400000000000013</v>
      </c>
    </row>
    <row r="9" spans="1:11" x14ac:dyDescent="0.25">
      <c r="A9" s="44">
        <v>2.4305555555555601E-2</v>
      </c>
      <c r="B9" s="69">
        <v>5.629999999999999</v>
      </c>
      <c r="C9" s="69">
        <v>10.56</v>
      </c>
      <c r="D9" s="69">
        <v>15.490000000000002</v>
      </c>
      <c r="E9" s="69">
        <v>20.419999999999991</v>
      </c>
      <c r="F9" s="69">
        <v>25.350000000000005</v>
      </c>
      <c r="G9" s="69">
        <v>30.279999999999994</v>
      </c>
      <c r="H9" s="69">
        <v>0.78999999999999981</v>
      </c>
      <c r="I9" s="69">
        <v>1.8599999999999999</v>
      </c>
      <c r="J9" s="69">
        <v>2.9300000000000015</v>
      </c>
    </row>
    <row r="10" spans="1:11" x14ac:dyDescent="0.25">
      <c r="A10" s="44">
        <v>2.7777777777777801E-2</v>
      </c>
      <c r="B10" s="69">
        <v>5.7199999999999989</v>
      </c>
      <c r="C10" s="69">
        <v>10.64</v>
      </c>
      <c r="D10" s="69">
        <v>15.560000000000002</v>
      </c>
      <c r="E10" s="69">
        <v>20.47999999999999</v>
      </c>
      <c r="F10" s="69">
        <v>25.400000000000006</v>
      </c>
      <c r="G10" s="69">
        <v>30.319999999999993</v>
      </c>
      <c r="H10" s="69">
        <v>0.75999999999999979</v>
      </c>
      <c r="I10" s="69">
        <v>1.8399999999999999</v>
      </c>
      <c r="J10" s="69">
        <v>2.9200000000000017</v>
      </c>
    </row>
    <row r="11" spans="1:11" x14ac:dyDescent="0.25">
      <c r="A11" s="44">
        <v>3.125E-2</v>
      </c>
      <c r="B11" s="69">
        <v>5.8099999999999987</v>
      </c>
      <c r="C11" s="69">
        <v>10.72</v>
      </c>
      <c r="D11" s="69">
        <v>15.630000000000003</v>
      </c>
      <c r="E11" s="69">
        <v>20.539999999999988</v>
      </c>
      <c r="F11" s="69">
        <v>25.450000000000006</v>
      </c>
      <c r="G11" s="69">
        <v>30.359999999999992</v>
      </c>
      <c r="H11" s="69">
        <v>0.72999999999999976</v>
      </c>
      <c r="I11" s="69">
        <v>1.8199999999999998</v>
      </c>
      <c r="J11" s="69">
        <v>2.9100000000000019</v>
      </c>
    </row>
    <row r="12" spans="1:11" x14ac:dyDescent="0.25">
      <c r="A12" s="44">
        <v>3.4722222222222203E-2</v>
      </c>
      <c r="B12" s="69">
        <v>5.8999999999999986</v>
      </c>
      <c r="C12" s="69">
        <v>10.8</v>
      </c>
      <c r="D12" s="69">
        <v>15.700000000000003</v>
      </c>
      <c r="E12" s="69">
        <v>20.599999999999987</v>
      </c>
      <c r="F12" s="69">
        <v>25.500000000000007</v>
      </c>
      <c r="G12" s="69">
        <v>30.399999999999991</v>
      </c>
      <c r="H12" s="69">
        <v>0.69999999999999973</v>
      </c>
      <c r="I12" s="69">
        <v>1.7999999999999998</v>
      </c>
      <c r="J12" s="69">
        <v>2.9000000000000021</v>
      </c>
    </row>
    <row r="13" spans="1:11" x14ac:dyDescent="0.25">
      <c r="A13" s="44">
        <v>3.8194444444444399E-2</v>
      </c>
      <c r="B13" s="69">
        <v>5.9899999999999984</v>
      </c>
      <c r="C13" s="69">
        <v>10.88</v>
      </c>
      <c r="D13" s="69">
        <v>15.770000000000003</v>
      </c>
      <c r="E13" s="69">
        <v>20.659999999999986</v>
      </c>
      <c r="F13" s="69">
        <v>25.550000000000008</v>
      </c>
      <c r="G13" s="69">
        <v>30.439999999999991</v>
      </c>
      <c r="H13" s="69">
        <v>0.66999999999999971</v>
      </c>
      <c r="I13" s="69">
        <v>1.7799999999999998</v>
      </c>
      <c r="J13" s="69">
        <v>2.8900000000000023</v>
      </c>
    </row>
    <row r="14" spans="1:11" x14ac:dyDescent="0.25">
      <c r="A14" s="44">
        <v>4.1666666666666699E-2</v>
      </c>
      <c r="B14" s="69">
        <v>6.0799999999999983</v>
      </c>
      <c r="C14" s="69">
        <v>10.96</v>
      </c>
      <c r="D14" s="69">
        <v>15.840000000000003</v>
      </c>
      <c r="E14" s="69">
        <v>20.719999999999985</v>
      </c>
      <c r="F14" s="69">
        <v>25.600000000000009</v>
      </c>
      <c r="G14" s="69">
        <v>30.47999999999999</v>
      </c>
      <c r="H14" s="69">
        <v>0.63999999999999968</v>
      </c>
      <c r="I14" s="69">
        <v>1.7599999999999998</v>
      </c>
      <c r="J14" s="69">
        <v>2.8800000000000026</v>
      </c>
    </row>
    <row r="15" spans="1:11" x14ac:dyDescent="0.25">
      <c r="A15" s="44">
        <v>4.5138888888888902E-2</v>
      </c>
      <c r="B15" s="69">
        <v>6.1699999999999982</v>
      </c>
      <c r="C15" s="69">
        <v>11.040000000000001</v>
      </c>
      <c r="D15" s="69">
        <v>15.910000000000004</v>
      </c>
      <c r="E15" s="69">
        <v>20.779999999999983</v>
      </c>
      <c r="F15" s="69">
        <v>25.650000000000009</v>
      </c>
      <c r="G15" s="69">
        <v>30.519999999999989</v>
      </c>
      <c r="H15" s="69">
        <v>0.60999999999999965</v>
      </c>
      <c r="I15" s="69">
        <v>1.7399999999999998</v>
      </c>
      <c r="J15" s="69">
        <v>2.8700000000000028</v>
      </c>
    </row>
    <row r="16" spans="1:11" x14ac:dyDescent="0.25">
      <c r="A16" s="44">
        <v>4.8611111111111098E-2</v>
      </c>
      <c r="B16" s="69">
        <v>6.259999999999998</v>
      </c>
      <c r="C16" s="69">
        <v>11.120000000000001</v>
      </c>
      <c r="D16" s="69">
        <v>15.980000000000004</v>
      </c>
      <c r="E16" s="69">
        <v>20.839999999999982</v>
      </c>
      <c r="F16" s="69">
        <v>25.70000000000001</v>
      </c>
      <c r="G16" s="69">
        <v>30.559999999999988</v>
      </c>
      <c r="H16" s="69">
        <v>0.57999999999999963</v>
      </c>
      <c r="I16" s="69">
        <v>1.7199999999999998</v>
      </c>
      <c r="J16" s="69">
        <v>2.860000000000003</v>
      </c>
    </row>
    <row r="17" spans="1:10" x14ac:dyDescent="0.25">
      <c r="A17" s="44">
        <v>5.2083333333333301E-2</v>
      </c>
      <c r="B17" s="69">
        <v>6.3499999999999979</v>
      </c>
      <c r="C17" s="69">
        <v>11.200000000000001</v>
      </c>
      <c r="D17" s="69">
        <v>16.050000000000004</v>
      </c>
      <c r="E17" s="69">
        <v>20.899999999999981</v>
      </c>
      <c r="F17" s="69">
        <v>25.750000000000011</v>
      </c>
      <c r="G17" s="69">
        <v>30.599999999999987</v>
      </c>
      <c r="H17" s="69">
        <v>0.5499999999999996</v>
      </c>
      <c r="I17" s="69">
        <v>1.6999999999999997</v>
      </c>
      <c r="J17" s="69">
        <v>2.8500000000000032</v>
      </c>
    </row>
    <row r="18" spans="1:10" x14ac:dyDescent="0.25">
      <c r="A18" s="44">
        <v>5.5555555555555601E-2</v>
      </c>
      <c r="B18" s="69">
        <v>6.4399999999999977</v>
      </c>
      <c r="C18" s="69">
        <v>11.280000000000001</v>
      </c>
      <c r="D18" s="69">
        <v>16.120000000000005</v>
      </c>
      <c r="E18" s="69">
        <v>20.95999999999998</v>
      </c>
      <c r="F18" s="69">
        <v>25.800000000000011</v>
      </c>
      <c r="G18" s="69">
        <v>30.639999999999986</v>
      </c>
      <c r="H18" s="69">
        <v>0.51999999999999957</v>
      </c>
      <c r="I18" s="69">
        <v>1.6799999999999997</v>
      </c>
      <c r="J18" s="69">
        <v>2.8400000000000034</v>
      </c>
    </row>
    <row r="19" spans="1:10" x14ac:dyDescent="0.25">
      <c r="A19" s="44">
        <v>5.9027777777777797E-2</v>
      </c>
      <c r="B19" s="69">
        <v>6.5299999999999976</v>
      </c>
      <c r="C19" s="69">
        <v>11.360000000000001</v>
      </c>
      <c r="D19" s="69">
        <v>16.190000000000005</v>
      </c>
      <c r="E19" s="69">
        <v>21.019999999999978</v>
      </c>
      <c r="F19" s="69">
        <v>25.850000000000012</v>
      </c>
      <c r="G19" s="69">
        <v>30.679999999999986</v>
      </c>
      <c r="H19" s="69">
        <v>0.48999999999999955</v>
      </c>
      <c r="I19" s="69">
        <v>1.6599999999999997</v>
      </c>
      <c r="J19" s="69">
        <v>2.8300000000000036</v>
      </c>
    </row>
    <row r="20" spans="1:10" x14ac:dyDescent="0.25">
      <c r="A20" s="44">
        <v>6.25E-2</v>
      </c>
      <c r="B20" s="69">
        <v>6.6199999999999974</v>
      </c>
      <c r="C20" s="69">
        <v>11.440000000000001</v>
      </c>
      <c r="D20" s="69">
        <v>16.260000000000005</v>
      </c>
      <c r="E20" s="69">
        <v>21.079999999999977</v>
      </c>
      <c r="F20" s="69">
        <v>25.900000000000013</v>
      </c>
      <c r="G20" s="69">
        <v>30.719999999999985</v>
      </c>
      <c r="H20" s="69">
        <v>0.45999999999999952</v>
      </c>
      <c r="I20" s="69">
        <v>1.6399999999999997</v>
      </c>
      <c r="J20" s="69">
        <v>2.8200000000000038</v>
      </c>
    </row>
    <row r="21" spans="1:10" x14ac:dyDescent="0.25">
      <c r="A21" s="44">
        <v>6.5972222222222196E-2</v>
      </c>
      <c r="B21" s="69">
        <v>6.7099999999999973</v>
      </c>
      <c r="C21" s="69">
        <v>11.520000000000001</v>
      </c>
      <c r="D21" s="69">
        <v>16.330000000000005</v>
      </c>
      <c r="E21" s="69">
        <v>21.139999999999976</v>
      </c>
      <c r="F21" s="69">
        <v>25.950000000000014</v>
      </c>
      <c r="G21" s="69">
        <v>30.759999999999984</v>
      </c>
      <c r="H21" s="69">
        <v>0.42999999999999949</v>
      </c>
      <c r="I21" s="69">
        <v>1.6199999999999997</v>
      </c>
      <c r="J21" s="69">
        <v>2.8100000000000041</v>
      </c>
    </row>
    <row r="22" spans="1:10" x14ac:dyDescent="0.25">
      <c r="A22" s="44">
        <v>6.9444444444444406E-2</v>
      </c>
      <c r="B22" s="69">
        <v>6.7999999999999972</v>
      </c>
      <c r="C22" s="69">
        <v>11.600000000000001</v>
      </c>
      <c r="D22" s="69">
        <v>16.400000000000006</v>
      </c>
      <c r="E22" s="69">
        <v>21.199999999999974</v>
      </c>
      <c r="F22" s="69">
        <v>26.000000000000014</v>
      </c>
      <c r="G22" s="69">
        <v>30.799999999999983</v>
      </c>
      <c r="H22" s="69">
        <v>0.39999999999999947</v>
      </c>
      <c r="I22" s="69">
        <v>1.5999999999999996</v>
      </c>
      <c r="J22" s="69">
        <v>2.8000000000000043</v>
      </c>
    </row>
    <row r="23" spans="1:10" x14ac:dyDescent="0.25">
      <c r="A23" s="44">
        <v>7.2916666666666699E-2</v>
      </c>
      <c r="B23" s="69">
        <v>6.889999999999997</v>
      </c>
      <c r="C23" s="69">
        <v>11.680000000000001</v>
      </c>
      <c r="D23" s="69">
        <v>16.470000000000006</v>
      </c>
      <c r="E23" s="69">
        <v>21.259999999999973</v>
      </c>
      <c r="F23" s="69">
        <v>26.050000000000015</v>
      </c>
      <c r="G23" s="69">
        <v>30.839999999999982</v>
      </c>
      <c r="H23" s="69">
        <v>0.36999999999999944</v>
      </c>
      <c r="I23" s="69">
        <v>1.5799999999999996</v>
      </c>
      <c r="J23" s="69">
        <v>2.7900000000000045</v>
      </c>
    </row>
    <row r="24" spans="1:10" x14ac:dyDescent="0.25">
      <c r="A24" s="44">
        <v>7.6388888888888895E-2</v>
      </c>
      <c r="B24" s="69">
        <v>6.9799999999999969</v>
      </c>
      <c r="C24" s="69">
        <v>11.760000000000002</v>
      </c>
      <c r="D24" s="69">
        <v>16.540000000000006</v>
      </c>
      <c r="E24" s="69">
        <v>21.319999999999972</v>
      </c>
      <c r="F24" s="69">
        <v>26.100000000000016</v>
      </c>
      <c r="G24" s="69">
        <v>30.879999999999981</v>
      </c>
      <c r="H24" s="69">
        <v>0.33999999999999941</v>
      </c>
      <c r="I24" s="69">
        <v>1.5599999999999996</v>
      </c>
      <c r="J24" s="69">
        <v>2.7800000000000047</v>
      </c>
    </row>
    <row r="25" spans="1:10" x14ac:dyDescent="0.25">
      <c r="A25" s="44">
        <v>7.9861111111111105E-2</v>
      </c>
      <c r="B25" s="69">
        <v>7.0699999999999967</v>
      </c>
      <c r="C25" s="69">
        <v>11.840000000000002</v>
      </c>
      <c r="D25" s="69">
        <v>16.610000000000007</v>
      </c>
      <c r="E25" s="69">
        <v>21.379999999999971</v>
      </c>
      <c r="F25" s="69">
        <v>26.150000000000016</v>
      </c>
      <c r="G25" s="69">
        <v>30.91999999999998</v>
      </c>
      <c r="H25" s="69">
        <v>0.30999999999999939</v>
      </c>
      <c r="I25" s="69">
        <v>1.5399999999999996</v>
      </c>
      <c r="J25" s="69">
        <v>2.7700000000000049</v>
      </c>
    </row>
    <row r="26" spans="1:10" x14ac:dyDescent="0.25">
      <c r="A26" s="44">
        <v>8.3333333333333301E-2</v>
      </c>
      <c r="B26" s="69">
        <v>7.1599999999999966</v>
      </c>
      <c r="C26" s="69">
        <v>11.920000000000002</v>
      </c>
      <c r="D26" s="69">
        <v>16.680000000000007</v>
      </c>
      <c r="E26" s="69">
        <v>21.439999999999969</v>
      </c>
      <c r="F26" s="69">
        <v>26.200000000000017</v>
      </c>
      <c r="G26" s="69">
        <v>30.95999999999998</v>
      </c>
      <c r="H26" s="69">
        <v>0.27999999999999936</v>
      </c>
      <c r="I26" s="69">
        <v>1.5199999999999996</v>
      </c>
      <c r="J26" s="69">
        <v>2.7600000000000051</v>
      </c>
    </row>
    <row r="27" spans="1:10" x14ac:dyDescent="0.25">
      <c r="A27" s="44">
        <v>8.6805555555555594E-2</v>
      </c>
      <c r="B27" s="69">
        <v>7.2499999999999964</v>
      </c>
      <c r="C27" s="69">
        <v>12.000000000000002</v>
      </c>
      <c r="D27" s="69">
        <v>16.750000000000007</v>
      </c>
      <c r="E27" s="69">
        <v>21.499999999999968</v>
      </c>
      <c r="F27" s="69">
        <v>26.250000000000018</v>
      </c>
      <c r="G27" s="69">
        <v>30.999999999999979</v>
      </c>
      <c r="H27" s="69">
        <v>0.24999999999999936</v>
      </c>
      <c r="I27" s="69">
        <v>1.4999999999999996</v>
      </c>
      <c r="J27" s="69">
        <v>2.7500000000000053</v>
      </c>
    </row>
    <row r="28" spans="1:10" x14ac:dyDescent="0.25">
      <c r="A28" s="44">
        <v>9.0277777777777804E-2</v>
      </c>
      <c r="B28" s="69">
        <v>7.3399999999999963</v>
      </c>
      <c r="C28" s="69">
        <v>12.080000000000002</v>
      </c>
      <c r="D28" s="69">
        <v>16.820000000000007</v>
      </c>
      <c r="E28" s="69">
        <v>21.559999999999967</v>
      </c>
      <c r="F28" s="69">
        <v>26.300000000000018</v>
      </c>
      <c r="G28" s="69">
        <v>31.039999999999978</v>
      </c>
      <c r="H28" s="69">
        <v>0.21999999999999936</v>
      </c>
      <c r="I28" s="69">
        <v>1.4799999999999995</v>
      </c>
      <c r="J28" s="69">
        <v>2.7400000000000055</v>
      </c>
    </row>
    <row r="29" spans="1:10" x14ac:dyDescent="0.25">
      <c r="A29" s="44">
        <v>9.375E-2</v>
      </c>
      <c r="B29" s="69">
        <v>7.4299999999999962</v>
      </c>
      <c r="C29" s="69">
        <v>12.160000000000002</v>
      </c>
      <c r="D29" s="69">
        <v>16.890000000000008</v>
      </c>
      <c r="E29" s="69">
        <v>21.619999999999965</v>
      </c>
      <c r="F29" s="69">
        <v>26.350000000000019</v>
      </c>
      <c r="G29" s="69">
        <v>31.079999999999977</v>
      </c>
      <c r="H29" s="69">
        <v>0.18999999999999936</v>
      </c>
      <c r="I29" s="69">
        <v>1.4599999999999995</v>
      </c>
      <c r="J29" s="69">
        <v>2.7300000000000058</v>
      </c>
    </row>
    <row r="30" spans="1:10" x14ac:dyDescent="0.25">
      <c r="A30" s="44">
        <v>9.7222222222222196E-2</v>
      </c>
      <c r="B30" s="69">
        <v>7.519999999999996</v>
      </c>
      <c r="C30" s="69">
        <v>12.240000000000002</v>
      </c>
      <c r="D30" s="69">
        <v>16.960000000000008</v>
      </c>
      <c r="E30" s="69">
        <v>21.679999999999964</v>
      </c>
      <c r="F30" s="69">
        <v>26.40000000000002</v>
      </c>
      <c r="G30" s="69">
        <v>31.119999999999976</v>
      </c>
      <c r="H30" s="69">
        <v>0.15999999999999936</v>
      </c>
      <c r="I30" s="69">
        <v>1.4399999999999995</v>
      </c>
      <c r="J30" s="69">
        <v>2.720000000000006</v>
      </c>
    </row>
    <row r="31" spans="1:10" x14ac:dyDescent="0.25">
      <c r="A31" s="44">
        <v>0.100694444444444</v>
      </c>
      <c r="B31" s="69">
        <v>7.6099999999999959</v>
      </c>
      <c r="C31" s="69">
        <v>12.320000000000002</v>
      </c>
      <c r="D31" s="69">
        <v>17.030000000000008</v>
      </c>
      <c r="E31" s="69">
        <v>21.739999999999963</v>
      </c>
      <c r="F31" s="69">
        <v>26.450000000000021</v>
      </c>
      <c r="G31" s="69">
        <v>31.159999999999975</v>
      </c>
      <c r="H31" s="69">
        <v>0.12999999999999937</v>
      </c>
      <c r="I31" s="69">
        <v>1.4199999999999995</v>
      </c>
      <c r="J31" s="69">
        <v>2.7100000000000062</v>
      </c>
    </row>
    <row r="32" spans="1:10" x14ac:dyDescent="0.25">
      <c r="A32" s="44">
        <v>0.104166666666667</v>
      </c>
      <c r="B32" s="69">
        <v>7.6999999999999957</v>
      </c>
      <c r="C32" s="69">
        <v>12.400000000000002</v>
      </c>
      <c r="D32" s="69">
        <v>17.100000000000009</v>
      </c>
      <c r="E32" s="69">
        <v>21.799999999999962</v>
      </c>
      <c r="F32" s="69">
        <v>26.500000000000021</v>
      </c>
      <c r="G32" s="69">
        <v>31.199999999999974</v>
      </c>
      <c r="H32" s="69">
        <v>9.9999999999999367E-2</v>
      </c>
      <c r="I32" s="69">
        <v>1.3999999999999995</v>
      </c>
      <c r="J32" s="69">
        <v>2.7000000000000064</v>
      </c>
    </row>
    <row r="33" spans="1:10" x14ac:dyDescent="0.25">
      <c r="A33" s="44">
        <v>0.10763888888888901</v>
      </c>
      <c r="B33" s="69">
        <v>7.7899999999999956</v>
      </c>
      <c r="C33" s="69">
        <v>12.480000000000002</v>
      </c>
      <c r="D33" s="69">
        <v>17.170000000000009</v>
      </c>
      <c r="E33" s="69">
        <v>21.85999999999996</v>
      </c>
      <c r="F33" s="69">
        <v>26.550000000000022</v>
      </c>
      <c r="G33" s="69">
        <v>31.239999999999974</v>
      </c>
      <c r="H33" s="69">
        <v>6.9999999999999368E-2</v>
      </c>
      <c r="I33" s="69">
        <v>1.3799999999999994</v>
      </c>
      <c r="J33" s="69">
        <v>2.6900000000000066</v>
      </c>
    </row>
    <row r="34" spans="1:10" x14ac:dyDescent="0.25">
      <c r="A34" s="44">
        <v>0.11111111111111099</v>
      </c>
      <c r="B34" s="69">
        <v>7.8799999999999955</v>
      </c>
      <c r="C34" s="69">
        <v>12.560000000000002</v>
      </c>
      <c r="D34" s="69">
        <v>17.240000000000009</v>
      </c>
      <c r="E34" s="69">
        <v>21.919999999999959</v>
      </c>
      <c r="F34" s="69">
        <v>26.600000000000023</v>
      </c>
      <c r="G34" s="69">
        <v>31.279999999999973</v>
      </c>
      <c r="H34" s="69">
        <v>3.9999999999999369E-2</v>
      </c>
      <c r="I34" s="69">
        <v>1.3599999999999994</v>
      </c>
      <c r="J34" s="69">
        <v>2.6800000000000068</v>
      </c>
    </row>
    <row r="35" spans="1:10" x14ac:dyDescent="0.25">
      <c r="A35" s="44">
        <v>0.114583333333333</v>
      </c>
      <c r="B35" s="69">
        <v>7.9699999999999953</v>
      </c>
      <c r="C35" s="69">
        <v>12.640000000000002</v>
      </c>
      <c r="D35" s="69">
        <v>17.310000000000009</v>
      </c>
      <c r="E35" s="69">
        <v>21.979999999999958</v>
      </c>
      <c r="F35" s="69">
        <v>26.650000000000023</v>
      </c>
      <c r="G35" s="69">
        <v>31.319999999999972</v>
      </c>
      <c r="H35" s="69">
        <v>9.9999999999993705E-3</v>
      </c>
      <c r="I35" s="69">
        <v>1.3399999999999994</v>
      </c>
      <c r="J35" s="69">
        <v>2.670000000000007</v>
      </c>
    </row>
    <row r="36" spans="1:10" x14ac:dyDescent="0.25">
      <c r="A36" s="44">
        <v>0.118055555555556</v>
      </c>
      <c r="B36" s="69">
        <v>8.0599999999999952</v>
      </c>
      <c r="C36" s="69">
        <v>12.720000000000002</v>
      </c>
      <c r="D36" s="69">
        <v>17.38000000000001</v>
      </c>
      <c r="E36" s="69">
        <v>22.039999999999957</v>
      </c>
      <c r="F36" s="69">
        <v>26.700000000000024</v>
      </c>
      <c r="G36" s="69">
        <v>31.359999999999971</v>
      </c>
      <c r="H36" s="69">
        <v>-2.0000000000000628E-2</v>
      </c>
      <c r="I36" s="69">
        <v>1.3199999999999994</v>
      </c>
      <c r="J36" s="69">
        <v>2.6600000000000072</v>
      </c>
    </row>
    <row r="37" spans="1:10" x14ac:dyDescent="0.25">
      <c r="A37" s="44">
        <v>0.121527777777778</v>
      </c>
      <c r="B37" s="69">
        <v>8.149999999999995</v>
      </c>
      <c r="C37" s="69">
        <v>12.800000000000002</v>
      </c>
      <c r="D37" s="69">
        <v>17.45000000000001</v>
      </c>
      <c r="E37" s="69">
        <v>22.099999999999955</v>
      </c>
      <c r="F37" s="69">
        <v>26.750000000000025</v>
      </c>
      <c r="G37" s="69">
        <v>31.39999999999997</v>
      </c>
      <c r="H37" s="69">
        <v>-5.0000000000000627E-2</v>
      </c>
      <c r="I37" s="69">
        <v>1.2999999999999994</v>
      </c>
      <c r="J37" s="69">
        <v>2.6500000000000075</v>
      </c>
    </row>
    <row r="38" spans="1:10" x14ac:dyDescent="0.25">
      <c r="A38" s="44">
        <v>0.125</v>
      </c>
      <c r="B38" s="69">
        <v>8.2399999999999949</v>
      </c>
      <c r="C38" s="69">
        <v>12.880000000000003</v>
      </c>
      <c r="D38" s="69">
        <v>17.52000000000001</v>
      </c>
      <c r="E38" s="69">
        <v>22.159999999999954</v>
      </c>
      <c r="F38" s="69">
        <v>26.800000000000026</v>
      </c>
      <c r="G38" s="69">
        <v>31.439999999999969</v>
      </c>
      <c r="H38" s="69">
        <v>-8.0000000000000626E-2</v>
      </c>
      <c r="I38" s="69">
        <v>1.2799999999999994</v>
      </c>
      <c r="J38" s="69">
        <v>2.6400000000000077</v>
      </c>
    </row>
    <row r="39" spans="1:10" x14ac:dyDescent="0.25">
      <c r="A39" s="44">
        <v>0.12847222222222199</v>
      </c>
      <c r="B39" s="69">
        <v>8.3299999999999947</v>
      </c>
      <c r="C39" s="69">
        <v>12.960000000000003</v>
      </c>
      <c r="D39" s="69">
        <v>17.590000000000011</v>
      </c>
      <c r="E39" s="69">
        <v>22.219999999999953</v>
      </c>
      <c r="F39" s="69">
        <v>26.850000000000026</v>
      </c>
      <c r="G39" s="69">
        <v>31.479999999999968</v>
      </c>
      <c r="H39" s="69">
        <v>-0.11000000000000063</v>
      </c>
      <c r="I39" s="69">
        <v>1.2599999999999993</v>
      </c>
      <c r="J39" s="69">
        <v>2.6300000000000079</v>
      </c>
    </row>
    <row r="40" spans="1:10" x14ac:dyDescent="0.25">
      <c r="A40" s="44">
        <v>0.131944444444444</v>
      </c>
      <c r="B40" s="69">
        <v>8.4199999999999946</v>
      </c>
      <c r="C40" s="69">
        <v>13.040000000000003</v>
      </c>
      <c r="D40" s="69">
        <v>17.660000000000011</v>
      </c>
      <c r="E40" s="69">
        <v>22.279999999999951</v>
      </c>
      <c r="F40" s="69">
        <v>26.900000000000027</v>
      </c>
      <c r="G40" s="69">
        <v>31.519999999999968</v>
      </c>
      <c r="H40" s="69">
        <v>-0.14000000000000062</v>
      </c>
      <c r="I40" s="69">
        <v>1.2399999999999993</v>
      </c>
      <c r="J40" s="69">
        <v>2.6200000000000081</v>
      </c>
    </row>
    <row r="41" spans="1:10" x14ac:dyDescent="0.25">
      <c r="A41" s="44">
        <v>0.13541666666666699</v>
      </c>
      <c r="B41" s="69">
        <v>8.5099999999999945</v>
      </c>
      <c r="C41" s="69">
        <v>13.120000000000003</v>
      </c>
      <c r="D41" s="69">
        <v>17.730000000000011</v>
      </c>
      <c r="E41" s="69">
        <v>22.33999999999995</v>
      </c>
      <c r="F41" s="69">
        <v>26.950000000000028</v>
      </c>
      <c r="G41" s="69">
        <v>31.559999999999967</v>
      </c>
      <c r="H41" s="69">
        <v>-0.17000000000000062</v>
      </c>
      <c r="I41" s="69">
        <v>1.2199999999999993</v>
      </c>
      <c r="J41" s="69">
        <v>2.6100000000000083</v>
      </c>
    </row>
    <row r="42" spans="1:10" x14ac:dyDescent="0.25">
      <c r="A42" s="44">
        <v>0.13888888888888901</v>
      </c>
      <c r="B42" s="69">
        <v>8.5999999999999943</v>
      </c>
      <c r="C42" s="69">
        <v>13.200000000000003</v>
      </c>
      <c r="D42" s="69">
        <v>17.800000000000011</v>
      </c>
      <c r="E42" s="69">
        <v>22.399999999999949</v>
      </c>
      <c r="F42" s="69">
        <v>27.000000000000028</v>
      </c>
      <c r="G42" s="69">
        <v>31.599999999999966</v>
      </c>
      <c r="H42" s="69">
        <v>-0.20000000000000062</v>
      </c>
      <c r="I42" s="69">
        <v>1.1999999999999993</v>
      </c>
      <c r="J42" s="69">
        <v>2.6000000000000085</v>
      </c>
    </row>
    <row r="43" spans="1:10" x14ac:dyDescent="0.25">
      <c r="A43" s="44">
        <v>0.14236111111111099</v>
      </c>
      <c r="B43" s="69">
        <v>8.6899999999999942</v>
      </c>
      <c r="C43" s="69">
        <v>13.280000000000003</v>
      </c>
      <c r="D43" s="69">
        <v>17.870000000000012</v>
      </c>
      <c r="E43" s="69">
        <v>22.459999999999948</v>
      </c>
      <c r="F43" s="69">
        <v>27.050000000000029</v>
      </c>
      <c r="G43" s="69">
        <v>31.639999999999965</v>
      </c>
      <c r="H43" s="69">
        <v>-0.23000000000000062</v>
      </c>
      <c r="I43" s="69">
        <v>1.1799999999999993</v>
      </c>
      <c r="J43" s="69">
        <v>2.5900000000000087</v>
      </c>
    </row>
    <row r="44" spans="1:10" x14ac:dyDescent="0.25">
      <c r="A44" s="44">
        <v>0.14583333333333301</v>
      </c>
      <c r="B44" s="69">
        <v>8.779999999999994</v>
      </c>
      <c r="C44" s="69">
        <v>13.360000000000003</v>
      </c>
      <c r="D44" s="69">
        <v>17.940000000000012</v>
      </c>
      <c r="E44" s="69">
        <v>22.519999999999946</v>
      </c>
      <c r="F44" s="69">
        <v>27.10000000000003</v>
      </c>
      <c r="G44" s="69">
        <v>31.679999999999964</v>
      </c>
      <c r="H44" s="69">
        <v>-0.26000000000000062</v>
      </c>
      <c r="I44" s="69">
        <v>1.1599999999999993</v>
      </c>
      <c r="J44" s="69">
        <v>2.580000000000009</v>
      </c>
    </row>
    <row r="45" spans="1:10" x14ac:dyDescent="0.25">
      <c r="A45" s="44">
        <v>0.149305555555556</v>
      </c>
      <c r="B45" s="69">
        <v>8.8699999999999939</v>
      </c>
      <c r="C45" s="69">
        <v>13.440000000000003</v>
      </c>
      <c r="D45" s="69">
        <v>18.010000000000012</v>
      </c>
      <c r="E45" s="69">
        <v>22.579999999999945</v>
      </c>
      <c r="F45" s="69">
        <v>27.150000000000031</v>
      </c>
      <c r="G45" s="69">
        <v>31.719999999999963</v>
      </c>
      <c r="H45" s="69">
        <v>-0.29000000000000059</v>
      </c>
      <c r="I45" s="69">
        <v>1.1399999999999992</v>
      </c>
      <c r="J45" s="69">
        <v>2.5700000000000092</v>
      </c>
    </row>
    <row r="46" spans="1:10" x14ac:dyDescent="0.25">
      <c r="A46" s="44">
        <v>0.15277777777777801</v>
      </c>
      <c r="B46" s="69">
        <v>8.9599999999999937</v>
      </c>
      <c r="C46" s="69">
        <v>13.520000000000003</v>
      </c>
      <c r="D46" s="69">
        <v>18.080000000000013</v>
      </c>
      <c r="E46" s="69">
        <v>22.639999999999944</v>
      </c>
      <c r="F46" s="69">
        <v>27.200000000000031</v>
      </c>
      <c r="G46" s="69">
        <v>31.759999999999962</v>
      </c>
      <c r="H46" s="69">
        <v>-0.32000000000000062</v>
      </c>
      <c r="I46" s="69">
        <v>1.1199999999999992</v>
      </c>
      <c r="J46" s="69">
        <v>2.5600000000000094</v>
      </c>
    </row>
    <row r="47" spans="1:10" x14ac:dyDescent="0.25">
      <c r="A47" s="44">
        <v>0.15625</v>
      </c>
      <c r="B47" s="69">
        <v>9.0499999999999936</v>
      </c>
      <c r="C47" s="69">
        <v>13.600000000000003</v>
      </c>
      <c r="D47" s="69">
        <v>18.150000000000013</v>
      </c>
      <c r="E47" s="69">
        <v>22.699999999999942</v>
      </c>
      <c r="F47" s="69">
        <v>27.250000000000032</v>
      </c>
      <c r="G47" s="69">
        <v>31.799999999999962</v>
      </c>
      <c r="H47" s="69">
        <v>-0.35000000000000064</v>
      </c>
      <c r="I47" s="69">
        <v>1.0999999999999992</v>
      </c>
      <c r="J47" s="69">
        <v>2.5500000000000096</v>
      </c>
    </row>
    <row r="48" spans="1:10" x14ac:dyDescent="0.25">
      <c r="A48" s="44">
        <v>0.15972222222222199</v>
      </c>
      <c r="B48" s="69">
        <v>9.1399999999999935</v>
      </c>
      <c r="C48" s="69">
        <v>13.680000000000003</v>
      </c>
      <c r="D48" s="69">
        <v>18.220000000000013</v>
      </c>
      <c r="E48" s="69">
        <v>22.759999999999941</v>
      </c>
      <c r="F48" s="69">
        <v>27.300000000000033</v>
      </c>
      <c r="G48" s="69">
        <v>31.839999999999961</v>
      </c>
      <c r="H48" s="69">
        <v>-0.38000000000000067</v>
      </c>
      <c r="I48" s="69">
        <v>1.0799999999999992</v>
      </c>
      <c r="J48" s="69">
        <v>2.5400000000000098</v>
      </c>
    </row>
    <row r="49" spans="1:10" x14ac:dyDescent="0.25">
      <c r="A49" s="44">
        <v>0.163194444444444</v>
      </c>
      <c r="B49" s="69">
        <v>9.2299999999999933</v>
      </c>
      <c r="C49" s="69">
        <v>13.760000000000003</v>
      </c>
      <c r="D49" s="69">
        <v>18.290000000000013</v>
      </c>
      <c r="E49" s="69">
        <v>22.81999999999994</v>
      </c>
      <c r="F49" s="69">
        <v>27.350000000000033</v>
      </c>
      <c r="G49" s="69">
        <v>31.87999999999996</v>
      </c>
      <c r="H49" s="69">
        <v>-0.4100000000000007</v>
      </c>
      <c r="I49" s="69">
        <v>1.0599999999999992</v>
      </c>
      <c r="J49" s="69">
        <v>2.53000000000001</v>
      </c>
    </row>
    <row r="50" spans="1:10" x14ac:dyDescent="0.25">
      <c r="A50" s="44">
        <v>0.16666666666666699</v>
      </c>
      <c r="B50" s="69">
        <v>9.3199999999999932</v>
      </c>
      <c r="C50" s="69">
        <v>13.840000000000003</v>
      </c>
      <c r="D50" s="69">
        <v>18.360000000000014</v>
      </c>
      <c r="E50" s="69">
        <v>22.879999999999939</v>
      </c>
      <c r="F50" s="69">
        <v>27.400000000000034</v>
      </c>
      <c r="G50" s="69">
        <v>31.919999999999959</v>
      </c>
      <c r="H50" s="69">
        <v>-0.44000000000000072</v>
      </c>
      <c r="I50" s="69">
        <v>1.0399999999999991</v>
      </c>
      <c r="J50" s="69">
        <v>2.5200000000000102</v>
      </c>
    </row>
    <row r="51" spans="1:10" x14ac:dyDescent="0.25">
      <c r="A51" s="44">
        <v>0.17013888888888901</v>
      </c>
      <c r="B51" s="69">
        <v>9.409999999999993</v>
      </c>
      <c r="C51" s="69">
        <v>13.920000000000003</v>
      </c>
      <c r="D51" s="69">
        <v>18.430000000000014</v>
      </c>
      <c r="E51" s="69">
        <v>22.939999999999937</v>
      </c>
      <c r="F51" s="69">
        <v>27.450000000000035</v>
      </c>
      <c r="G51" s="69">
        <v>31.959999999999958</v>
      </c>
      <c r="H51" s="69">
        <v>-0.47000000000000075</v>
      </c>
      <c r="I51" s="69">
        <v>1.0199999999999991</v>
      </c>
      <c r="J51" s="69">
        <v>2.5100000000000104</v>
      </c>
    </row>
    <row r="52" spans="1:10" x14ac:dyDescent="0.25">
      <c r="A52" s="44">
        <v>0.17361111111111099</v>
      </c>
      <c r="B52" s="69">
        <v>9.4999999999999929</v>
      </c>
      <c r="C52" s="69">
        <v>14.000000000000004</v>
      </c>
      <c r="D52" s="69">
        <v>18.500000000000014</v>
      </c>
      <c r="E52" s="69">
        <v>22.999999999999936</v>
      </c>
      <c r="F52" s="69">
        <v>27.500000000000036</v>
      </c>
      <c r="G52" s="69">
        <v>31.999999999999957</v>
      </c>
      <c r="H52" s="69">
        <v>-0.50000000000000078</v>
      </c>
      <c r="I52" s="69">
        <v>0.99999999999999911</v>
      </c>
      <c r="J52" s="69">
        <v>2.5000000000000107</v>
      </c>
    </row>
    <row r="53" spans="1:10" x14ac:dyDescent="0.25">
      <c r="A53" s="44">
        <v>0.17708333333333301</v>
      </c>
      <c r="B53" s="69">
        <v>9.5899999999999928</v>
      </c>
      <c r="C53" s="69">
        <v>14.080000000000004</v>
      </c>
      <c r="D53" s="69">
        <v>18.570000000000014</v>
      </c>
      <c r="E53" s="69">
        <v>23.059999999999935</v>
      </c>
      <c r="F53" s="69">
        <v>27.550000000000036</v>
      </c>
      <c r="G53" s="69">
        <v>32.039999999999957</v>
      </c>
      <c r="H53" s="69">
        <v>-0.5300000000000008</v>
      </c>
      <c r="I53" s="69">
        <v>0.97999999999999909</v>
      </c>
      <c r="J53" s="69">
        <v>2.4900000000000109</v>
      </c>
    </row>
    <row r="54" spans="1:10" x14ac:dyDescent="0.25">
      <c r="A54" s="44">
        <v>0.180555555555556</v>
      </c>
      <c r="B54" s="69">
        <v>9.6799999999999926</v>
      </c>
      <c r="C54" s="69">
        <v>14.160000000000004</v>
      </c>
      <c r="D54" s="69">
        <v>18.640000000000015</v>
      </c>
      <c r="E54" s="69">
        <v>23.119999999999933</v>
      </c>
      <c r="F54" s="69">
        <v>27.600000000000037</v>
      </c>
      <c r="G54" s="69">
        <v>32.079999999999956</v>
      </c>
      <c r="H54" s="69">
        <v>-0.56000000000000083</v>
      </c>
      <c r="I54" s="69">
        <v>0.95999999999999908</v>
      </c>
      <c r="J54" s="69">
        <v>2.4800000000000111</v>
      </c>
    </row>
    <row r="55" spans="1:10" x14ac:dyDescent="0.25">
      <c r="A55" s="44">
        <v>0.18402777777777801</v>
      </c>
      <c r="B55" s="69">
        <v>9.7699999999999925</v>
      </c>
      <c r="C55" s="69">
        <v>14.240000000000004</v>
      </c>
      <c r="D55" s="69">
        <v>18.710000000000015</v>
      </c>
      <c r="E55" s="69">
        <v>23.179999999999932</v>
      </c>
      <c r="F55" s="69">
        <v>27.650000000000038</v>
      </c>
      <c r="G55" s="69">
        <v>32.119999999999955</v>
      </c>
      <c r="H55" s="69">
        <v>-0.59000000000000086</v>
      </c>
      <c r="I55" s="69">
        <v>0.93999999999999906</v>
      </c>
      <c r="J55" s="69">
        <v>2.4700000000000113</v>
      </c>
    </row>
    <row r="56" spans="1:10" x14ac:dyDescent="0.25">
      <c r="A56" s="44">
        <v>0.1875</v>
      </c>
      <c r="B56" s="69">
        <v>9.8599999999999923</v>
      </c>
      <c r="C56" s="69">
        <v>14.320000000000004</v>
      </c>
      <c r="D56" s="69">
        <v>18.780000000000015</v>
      </c>
      <c r="E56" s="69">
        <v>23.239999999999931</v>
      </c>
      <c r="F56" s="69">
        <v>27.700000000000038</v>
      </c>
      <c r="G56" s="69">
        <v>32.159999999999954</v>
      </c>
      <c r="H56" s="69">
        <v>-0.62000000000000088</v>
      </c>
      <c r="I56" s="69">
        <v>0.91999999999999904</v>
      </c>
      <c r="J56" s="69">
        <v>2.4600000000000115</v>
      </c>
    </row>
    <row r="57" spans="1:10" x14ac:dyDescent="0.25">
      <c r="A57" s="44">
        <v>0.19097222222222199</v>
      </c>
      <c r="B57" s="69">
        <v>9.9499999999999922</v>
      </c>
      <c r="C57" s="69">
        <v>14.400000000000004</v>
      </c>
      <c r="D57" s="69">
        <v>18.850000000000016</v>
      </c>
      <c r="E57" s="69">
        <v>23.29999999999993</v>
      </c>
      <c r="F57" s="69">
        <v>27.750000000000039</v>
      </c>
      <c r="G57" s="69">
        <v>32.199999999999953</v>
      </c>
      <c r="H57" s="69">
        <v>-0.65000000000000091</v>
      </c>
      <c r="I57" s="69">
        <v>0.89999999999999902</v>
      </c>
      <c r="J57" s="69">
        <v>2.4500000000000117</v>
      </c>
    </row>
    <row r="58" spans="1:10" x14ac:dyDescent="0.25">
      <c r="A58" s="44">
        <v>0.194444444444444</v>
      </c>
      <c r="B58" s="69">
        <v>10.039999999999992</v>
      </c>
      <c r="C58" s="69">
        <v>14.480000000000004</v>
      </c>
      <c r="D58" s="69">
        <v>18.920000000000016</v>
      </c>
      <c r="E58" s="69">
        <v>23.359999999999928</v>
      </c>
      <c r="F58" s="69">
        <v>27.80000000000004</v>
      </c>
      <c r="G58" s="69">
        <v>32.239999999999952</v>
      </c>
      <c r="H58" s="69">
        <v>-0.68000000000000094</v>
      </c>
      <c r="I58" s="69">
        <v>0.87999999999999901</v>
      </c>
      <c r="J58" s="69">
        <v>2.4400000000000119</v>
      </c>
    </row>
    <row r="59" spans="1:10" x14ac:dyDescent="0.25">
      <c r="A59" s="44">
        <v>0.19791666666666699</v>
      </c>
      <c r="B59" s="69">
        <v>10.129999999999992</v>
      </c>
      <c r="C59" s="69">
        <v>14.560000000000004</v>
      </c>
      <c r="D59" s="69">
        <v>18.990000000000016</v>
      </c>
      <c r="E59" s="69">
        <v>23.419999999999927</v>
      </c>
      <c r="F59" s="69">
        <v>27.850000000000041</v>
      </c>
      <c r="G59" s="69">
        <v>32.279999999999951</v>
      </c>
      <c r="H59" s="69">
        <v>-0.71000000000000096</v>
      </c>
      <c r="I59" s="69">
        <v>0.85999999999999899</v>
      </c>
      <c r="J59" s="69">
        <v>2.4300000000000122</v>
      </c>
    </row>
    <row r="60" spans="1:10" x14ac:dyDescent="0.25">
      <c r="A60" s="44">
        <v>0.20138888888888901</v>
      </c>
      <c r="B60" s="69">
        <v>10.219999999999992</v>
      </c>
      <c r="C60" s="69">
        <v>14.640000000000004</v>
      </c>
      <c r="D60" s="69">
        <v>19.060000000000016</v>
      </c>
      <c r="E60" s="69">
        <v>23.479999999999926</v>
      </c>
      <c r="F60" s="69">
        <v>27.900000000000041</v>
      </c>
      <c r="G60" s="69">
        <v>32.319999999999951</v>
      </c>
      <c r="H60" s="69">
        <v>-0.74000000000000099</v>
      </c>
      <c r="I60" s="69">
        <v>0.83999999999999897</v>
      </c>
      <c r="J60" s="69">
        <v>2.4200000000000124</v>
      </c>
    </row>
    <row r="61" spans="1:10" x14ac:dyDescent="0.25">
      <c r="A61" s="44">
        <v>0.20486111111111099</v>
      </c>
      <c r="B61" s="69">
        <v>10.309999999999992</v>
      </c>
      <c r="C61" s="69">
        <v>14.720000000000004</v>
      </c>
      <c r="D61" s="69">
        <v>19.130000000000017</v>
      </c>
      <c r="E61" s="69">
        <v>23.539999999999925</v>
      </c>
      <c r="F61" s="69">
        <v>27.950000000000042</v>
      </c>
      <c r="G61" s="69">
        <v>32.35999999999995</v>
      </c>
      <c r="H61" s="69">
        <v>-0.77000000000000102</v>
      </c>
      <c r="I61" s="69">
        <v>0.81999999999999895</v>
      </c>
      <c r="J61" s="69">
        <v>2.4100000000000126</v>
      </c>
    </row>
    <row r="62" spans="1:10" x14ac:dyDescent="0.25">
      <c r="A62" s="44">
        <v>0.20833333333333301</v>
      </c>
      <c r="B62" s="69">
        <v>10.399999999999991</v>
      </c>
      <c r="C62" s="69">
        <v>14.800000000000004</v>
      </c>
      <c r="D62" s="69">
        <v>19.200000000000017</v>
      </c>
      <c r="E62" s="69">
        <v>23.599999999999923</v>
      </c>
      <c r="F62" s="69">
        <v>28.000000000000043</v>
      </c>
      <c r="G62" s="69">
        <v>32.399999999999949</v>
      </c>
      <c r="H62" s="69">
        <v>-0.80000000000000104</v>
      </c>
      <c r="I62" s="69">
        <v>0.79999999999999893</v>
      </c>
      <c r="J62" s="69">
        <v>2.4000000000000128</v>
      </c>
    </row>
    <row r="63" spans="1:10" x14ac:dyDescent="0.25">
      <c r="A63" s="44">
        <v>0.211805555555556</v>
      </c>
      <c r="B63" s="69">
        <v>10.489999999999991</v>
      </c>
      <c r="C63" s="69">
        <v>14.880000000000004</v>
      </c>
      <c r="D63" s="69">
        <v>19.270000000000017</v>
      </c>
      <c r="E63" s="69">
        <v>23.659999999999922</v>
      </c>
      <c r="F63" s="69">
        <v>28.050000000000043</v>
      </c>
      <c r="G63" s="69">
        <v>32.439999999999948</v>
      </c>
      <c r="H63" s="69">
        <v>-0.83000000000000107</v>
      </c>
      <c r="I63" s="69">
        <v>0.77999999999999892</v>
      </c>
      <c r="J63" s="69">
        <v>2.390000000000013</v>
      </c>
    </row>
    <row r="64" spans="1:10" x14ac:dyDescent="0.25">
      <c r="A64" s="44">
        <v>0.21527777777777801</v>
      </c>
      <c r="B64" s="69">
        <v>10.579999999999991</v>
      </c>
      <c r="C64" s="69">
        <v>14.960000000000004</v>
      </c>
      <c r="D64" s="69">
        <v>19.340000000000018</v>
      </c>
      <c r="E64" s="69">
        <v>23.719999999999921</v>
      </c>
      <c r="F64" s="69">
        <v>28.100000000000044</v>
      </c>
      <c r="G64" s="69">
        <v>32.479999999999947</v>
      </c>
      <c r="H64" s="69">
        <v>-0.8600000000000011</v>
      </c>
      <c r="I64" s="69">
        <v>0.7599999999999989</v>
      </c>
      <c r="J64" s="69">
        <v>2.3800000000000132</v>
      </c>
    </row>
    <row r="65" spans="1:10" x14ac:dyDescent="0.25">
      <c r="A65" s="44">
        <v>0.21875</v>
      </c>
      <c r="B65" s="69">
        <v>10.669999999999991</v>
      </c>
      <c r="C65" s="69">
        <v>15.040000000000004</v>
      </c>
      <c r="D65" s="69">
        <v>19.410000000000018</v>
      </c>
      <c r="E65" s="69">
        <v>23.779999999999919</v>
      </c>
      <c r="F65" s="69">
        <v>28.150000000000045</v>
      </c>
      <c r="G65" s="69">
        <v>32.519999999999946</v>
      </c>
      <c r="H65" s="69">
        <v>-0.89000000000000112</v>
      </c>
      <c r="I65" s="69">
        <v>0.73999999999999888</v>
      </c>
      <c r="J65" s="69">
        <v>2.3700000000000134</v>
      </c>
    </row>
    <row r="66" spans="1:10" x14ac:dyDescent="0.25">
      <c r="A66" s="44">
        <v>0.22222222222222199</v>
      </c>
      <c r="B66" s="69">
        <v>10.759999999999991</v>
      </c>
      <c r="C66" s="69">
        <v>15.120000000000005</v>
      </c>
      <c r="D66" s="69">
        <v>19.480000000000018</v>
      </c>
      <c r="E66" s="69">
        <v>23.839999999999918</v>
      </c>
      <c r="F66" s="69">
        <v>28.200000000000045</v>
      </c>
      <c r="G66" s="69">
        <v>32.559999999999945</v>
      </c>
      <c r="H66" s="69">
        <v>-0.92000000000000115</v>
      </c>
      <c r="I66" s="69">
        <v>0.71999999999999886</v>
      </c>
      <c r="J66" s="69">
        <v>2.3600000000000136</v>
      </c>
    </row>
    <row r="67" spans="1:10" x14ac:dyDescent="0.25">
      <c r="A67" s="44">
        <v>0.225694444444444</v>
      </c>
      <c r="B67" s="69">
        <v>10.849999999999991</v>
      </c>
      <c r="C67" s="69">
        <v>15.200000000000005</v>
      </c>
      <c r="D67" s="69">
        <v>19.550000000000018</v>
      </c>
      <c r="E67" s="69">
        <v>23.899999999999917</v>
      </c>
      <c r="F67" s="69">
        <v>28.250000000000046</v>
      </c>
      <c r="G67" s="69">
        <v>32.599999999999945</v>
      </c>
      <c r="H67" s="69">
        <v>-0.95000000000000118</v>
      </c>
      <c r="I67" s="69">
        <v>0.69999999999999885</v>
      </c>
      <c r="J67" s="69">
        <v>2.3500000000000139</v>
      </c>
    </row>
    <row r="68" spans="1:10" x14ac:dyDescent="0.25">
      <c r="A68" s="44">
        <v>0.22916666666666699</v>
      </c>
      <c r="B68" s="69">
        <v>10.939999999999991</v>
      </c>
      <c r="C68" s="69">
        <v>15.280000000000005</v>
      </c>
      <c r="D68" s="69">
        <v>19.620000000000019</v>
      </c>
      <c r="E68" s="69">
        <v>23.959999999999916</v>
      </c>
      <c r="F68" s="69">
        <v>28.300000000000047</v>
      </c>
      <c r="G68" s="69">
        <v>32.639999999999944</v>
      </c>
      <c r="H68" s="69">
        <v>-0.9800000000000012</v>
      </c>
      <c r="I68" s="69">
        <v>0.67999999999999883</v>
      </c>
      <c r="J68" s="69">
        <v>2.3400000000000141</v>
      </c>
    </row>
    <row r="69" spans="1:10" x14ac:dyDescent="0.25">
      <c r="A69" s="44">
        <v>0.23263888888888901</v>
      </c>
      <c r="B69" s="69">
        <v>11.02999999999999</v>
      </c>
      <c r="C69" s="69">
        <v>15.360000000000005</v>
      </c>
      <c r="D69" s="69">
        <v>19.690000000000019</v>
      </c>
      <c r="E69" s="69">
        <v>24.019999999999914</v>
      </c>
      <c r="F69" s="69">
        <v>28.350000000000048</v>
      </c>
      <c r="G69" s="69">
        <v>32.679999999999943</v>
      </c>
      <c r="H69" s="69">
        <v>-1.0100000000000011</v>
      </c>
      <c r="I69" s="69">
        <v>0.65999999999999881</v>
      </c>
      <c r="J69" s="69">
        <v>2.3300000000000143</v>
      </c>
    </row>
    <row r="70" spans="1:10" x14ac:dyDescent="0.25">
      <c r="A70" s="44">
        <v>0.23611111111111099</v>
      </c>
      <c r="B70" s="69">
        <v>11.11999999999999</v>
      </c>
      <c r="C70" s="69">
        <v>15.440000000000005</v>
      </c>
      <c r="D70" s="69">
        <v>19.760000000000019</v>
      </c>
      <c r="E70" s="69">
        <v>24.079999999999913</v>
      </c>
      <c r="F70" s="69">
        <v>28.400000000000048</v>
      </c>
      <c r="G70" s="69">
        <v>32.719999999999942</v>
      </c>
      <c r="H70" s="69">
        <v>-1.0400000000000011</v>
      </c>
      <c r="I70" s="69">
        <v>0.63999999999999879</v>
      </c>
      <c r="J70" s="69">
        <v>2.3200000000000145</v>
      </c>
    </row>
    <row r="71" spans="1:10" x14ac:dyDescent="0.25">
      <c r="A71" s="44">
        <v>0.23958333333333301</v>
      </c>
      <c r="B71" s="69">
        <v>11.20999999999999</v>
      </c>
      <c r="C71" s="69">
        <v>15.520000000000005</v>
      </c>
      <c r="D71" s="69">
        <v>19.83000000000002</v>
      </c>
      <c r="E71" s="69">
        <v>24.139999999999912</v>
      </c>
      <c r="F71" s="69">
        <v>28.450000000000049</v>
      </c>
      <c r="G71" s="69">
        <v>32.759999999999941</v>
      </c>
      <c r="H71" s="69">
        <v>-1.0700000000000012</v>
      </c>
      <c r="I71" s="69">
        <v>0.61999999999999877</v>
      </c>
      <c r="J71" s="69">
        <v>2.3100000000000147</v>
      </c>
    </row>
    <row r="72" spans="1:10" x14ac:dyDescent="0.25">
      <c r="A72" s="44">
        <v>0.243055555555556</v>
      </c>
      <c r="B72" s="69">
        <v>11.29999999999999</v>
      </c>
      <c r="C72" s="69">
        <v>15.600000000000005</v>
      </c>
      <c r="D72" s="69">
        <v>19.90000000000002</v>
      </c>
      <c r="E72" s="69">
        <v>24.19999999999991</v>
      </c>
      <c r="F72" s="69">
        <v>28.50000000000005</v>
      </c>
      <c r="G72" s="69">
        <v>32.79999999999994</v>
      </c>
      <c r="H72" s="69">
        <v>-1.1000000000000012</v>
      </c>
      <c r="I72" s="69">
        <v>0.59999999999999876</v>
      </c>
      <c r="J72" s="69">
        <v>2.3000000000000149</v>
      </c>
    </row>
    <row r="73" spans="1:10" x14ac:dyDescent="0.25">
      <c r="A73" s="44">
        <v>0.24652777777777801</v>
      </c>
      <c r="B73" s="69">
        <v>11.38999999999999</v>
      </c>
      <c r="C73" s="69">
        <v>15.680000000000005</v>
      </c>
      <c r="D73" s="69">
        <v>19.97000000000002</v>
      </c>
      <c r="E73" s="69">
        <v>24.259999999999909</v>
      </c>
      <c r="F73" s="69">
        <v>28.55000000000005</v>
      </c>
      <c r="G73" s="69">
        <v>32.839999999999939</v>
      </c>
      <c r="H73" s="69">
        <v>-1.1300000000000012</v>
      </c>
      <c r="I73" s="69">
        <v>0.57999999999999874</v>
      </c>
      <c r="J73" s="69">
        <v>2.2900000000000151</v>
      </c>
    </row>
    <row r="74" spans="1:10" x14ac:dyDescent="0.25">
      <c r="A74" s="44">
        <v>0.25</v>
      </c>
      <c r="B74" s="69">
        <v>11.47999999999999</v>
      </c>
      <c r="C74" s="69">
        <v>15.760000000000005</v>
      </c>
      <c r="D74" s="69">
        <v>20.04000000000002</v>
      </c>
      <c r="E74" s="69">
        <v>24.319999999999908</v>
      </c>
      <c r="F74" s="69">
        <v>28.600000000000051</v>
      </c>
      <c r="G74" s="69">
        <v>32.879999999999939</v>
      </c>
      <c r="H74" s="69">
        <v>-1.1600000000000013</v>
      </c>
      <c r="I74" s="69">
        <v>0.55999999999999872</v>
      </c>
      <c r="J74" s="69">
        <v>2.2800000000000153</v>
      </c>
    </row>
    <row r="75" spans="1:10" x14ac:dyDescent="0.25">
      <c r="A75" s="44">
        <v>0.25347222222222199</v>
      </c>
      <c r="B75" s="69">
        <v>11.56999999999999</v>
      </c>
      <c r="C75" s="69">
        <v>15.840000000000005</v>
      </c>
      <c r="D75" s="69">
        <v>20.110000000000021</v>
      </c>
      <c r="E75" s="69">
        <v>24.379999999999907</v>
      </c>
      <c r="F75" s="69">
        <v>28.650000000000052</v>
      </c>
      <c r="G75" s="69">
        <v>32.919999999999938</v>
      </c>
      <c r="H75" s="69">
        <v>-1.1900000000000013</v>
      </c>
      <c r="I75" s="69">
        <v>0.5399999999999987</v>
      </c>
      <c r="J75" s="69">
        <v>2.2700000000000156</v>
      </c>
    </row>
    <row r="76" spans="1:10" x14ac:dyDescent="0.25">
      <c r="A76" s="44">
        <v>0.25694444444444398</v>
      </c>
      <c r="B76" s="69">
        <v>11.659999999999989</v>
      </c>
      <c r="C76" s="69">
        <v>15.920000000000005</v>
      </c>
      <c r="D76" s="69">
        <v>20.180000000000021</v>
      </c>
      <c r="E76" s="69">
        <v>24.439999999999905</v>
      </c>
      <c r="F76" s="69">
        <v>28.700000000000053</v>
      </c>
      <c r="G76" s="69">
        <v>32.959999999999937</v>
      </c>
      <c r="H76" s="69">
        <v>-1.2200000000000013</v>
      </c>
      <c r="I76" s="69">
        <v>0.51999999999999869</v>
      </c>
      <c r="J76" s="69">
        <v>2.2600000000000158</v>
      </c>
    </row>
    <row r="77" spans="1:10" x14ac:dyDescent="0.25">
      <c r="A77" s="44">
        <v>0.26041666666666702</v>
      </c>
      <c r="B77" s="69">
        <v>11.749999999999989</v>
      </c>
      <c r="C77" s="69">
        <v>16.000000000000004</v>
      </c>
      <c r="D77" s="69">
        <v>20.250000000000021</v>
      </c>
      <c r="E77" s="69">
        <v>24.499999999999904</v>
      </c>
      <c r="F77" s="69">
        <v>28.750000000000053</v>
      </c>
      <c r="G77" s="69">
        <v>32.999999999999936</v>
      </c>
      <c r="H77" s="69">
        <v>-1.2500000000000013</v>
      </c>
      <c r="I77" s="69">
        <v>0.49999999999999867</v>
      </c>
      <c r="J77" s="69">
        <v>2.250000000000016</v>
      </c>
    </row>
    <row r="78" spans="1:10" x14ac:dyDescent="0.25">
      <c r="A78" s="44">
        <v>0.26388888888888901</v>
      </c>
      <c r="B78" s="69">
        <v>11.839999999999989</v>
      </c>
      <c r="C78" s="69">
        <v>16.080000000000002</v>
      </c>
      <c r="D78" s="69">
        <v>20.320000000000022</v>
      </c>
      <c r="E78" s="69">
        <v>24.559999999999903</v>
      </c>
      <c r="F78" s="69">
        <v>28.800000000000054</v>
      </c>
      <c r="G78" s="69">
        <v>33.039999999999935</v>
      </c>
      <c r="H78" s="69">
        <v>-1.2800000000000014</v>
      </c>
      <c r="I78" s="69">
        <v>0.47999999999999865</v>
      </c>
      <c r="J78" s="69">
        <v>2.2400000000000162</v>
      </c>
    </row>
    <row r="79" spans="1:10" x14ac:dyDescent="0.25">
      <c r="A79" s="44">
        <v>0.26736111111111099</v>
      </c>
      <c r="B79" s="69">
        <v>11.929999999999989</v>
      </c>
      <c r="C79" s="69">
        <v>16.16</v>
      </c>
      <c r="D79" s="69">
        <v>20.390000000000022</v>
      </c>
      <c r="E79" s="69">
        <v>24.619999999999902</v>
      </c>
      <c r="F79" s="69">
        <v>28.850000000000055</v>
      </c>
      <c r="G79" s="69">
        <v>33.079999999999934</v>
      </c>
      <c r="H79" s="69">
        <v>-1.3100000000000014</v>
      </c>
      <c r="I79" s="69">
        <v>0.45999999999999863</v>
      </c>
      <c r="J79" s="69">
        <v>2.2300000000000164</v>
      </c>
    </row>
    <row r="80" spans="1:10" x14ac:dyDescent="0.25">
      <c r="A80" s="44">
        <v>0.27083333333333298</v>
      </c>
      <c r="B80" s="69">
        <v>12.019999999999989</v>
      </c>
      <c r="C80" s="69">
        <v>16.239999999999998</v>
      </c>
      <c r="D80" s="69">
        <v>20.460000000000022</v>
      </c>
      <c r="E80" s="69">
        <v>24.6799999999999</v>
      </c>
      <c r="F80" s="69">
        <v>28.900000000000055</v>
      </c>
      <c r="G80" s="69">
        <v>33.119999999999933</v>
      </c>
      <c r="H80" s="69">
        <v>-1.3400000000000014</v>
      </c>
      <c r="I80" s="69">
        <v>0.43999999999999861</v>
      </c>
      <c r="J80" s="69">
        <v>2.2200000000000166</v>
      </c>
    </row>
    <row r="81" spans="1:10" x14ac:dyDescent="0.25">
      <c r="A81" s="44">
        <v>0.27430555555555602</v>
      </c>
      <c r="B81" s="69">
        <v>12.109999999999989</v>
      </c>
      <c r="C81" s="69">
        <v>16.319999999999997</v>
      </c>
      <c r="D81" s="69">
        <v>20.530000000000022</v>
      </c>
      <c r="E81" s="69">
        <v>24.739999999999899</v>
      </c>
      <c r="F81" s="69">
        <v>28.950000000000056</v>
      </c>
      <c r="G81" s="69">
        <v>33.159999999999933</v>
      </c>
      <c r="H81" s="69">
        <v>-1.3700000000000014</v>
      </c>
      <c r="I81" s="69">
        <v>0.4199999999999986</v>
      </c>
      <c r="J81" s="69">
        <v>2.2100000000000168</v>
      </c>
    </row>
    <row r="82" spans="1:10" x14ac:dyDescent="0.25">
      <c r="A82" s="44">
        <v>0.27777777777777801</v>
      </c>
      <c r="B82" s="69">
        <v>12.199999999999989</v>
      </c>
      <c r="C82" s="69">
        <v>16.399999999999995</v>
      </c>
      <c r="D82" s="69">
        <v>20.600000000000023</v>
      </c>
      <c r="E82" s="69">
        <v>24.799999999999898</v>
      </c>
      <c r="F82" s="69">
        <v>29.000000000000057</v>
      </c>
      <c r="G82" s="69">
        <v>33.199999999999932</v>
      </c>
      <c r="H82" s="69">
        <v>-1.4000000000000015</v>
      </c>
      <c r="I82" s="69">
        <v>0.39999999999999858</v>
      </c>
      <c r="J82" s="69">
        <v>2.2000000000000171</v>
      </c>
    </row>
    <row r="83" spans="1:10" x14ac:dyDescent="0.25">
      <c r="A83" s="44">
        <v>0.28125</v>
      </c>
      <c r="B83" s="69">
        <v>12.289999999999988</v>
      </c>
      <c r="C83" s="69">
        <v>16.479999999999993</v>
      </c>
      <c r="D83" s="69">
        <v>20.670000000000023</v>
      </c>
      <c r="E83" s="69">
        <v>24.859999999999896</v>
      </c>
      <c r="F83" s="69">
        <v>29.050000000000058</v>
      </c>
      <c r="G83" s="69">
        <v>33.239999999999931</v>
      </c>
      <c r="H83" s="69">
        <v>-1.4300000000000015</v>
      </c>
      <c r="I83" s="69">
        <v>0.37999999999999856</v>
      </c>
      <c r="J83" s="69">
        <v>2.1900000000000173</v>
      </c>
    </row>
    <row r="84" spans="1:10" x14ac:dyDescent="0.25">
      <c r="A84" s="44">
        <v>0.28472222222222199</v>
      </c>
      <c r="B84" s="69">
        <v>12.379999999999988</v>
      </c>
      <c r="C84" s="69">
        <v>16.559999999999992</v>
      </c>
      <c r="D84" s="69">
        <v>20.740000000000023</v>
      </c>
      <c r="E84" s="69">
        <v>24.919999999999895</v>
      </c>
      <c r="F84" s="69">
        <v>29.100000000000058</v>
      </c>
      <c r="G84" s="69">
        <v>33.27999999999993</v>
      </c>
      <c r="H84" s="69">
        <v>-1.4600000000000015</v>
      </c>
      <c r="I84" s="69">
        <v>0.35999999999999854</v>
      </c>
      <c r="J84" s="69">
        <v>2.1800000000000175</v>
      </c>
    </row>
    <row r="85" spans="1:10" x14ac:dyDescent="0.25">
      <c r="A85" s="44">
        <v>0.28819444444444398</v>
      </c>
      <c r="B85" s="69">
        <v>12.469999999999988</v>
      </c>
      <c r="C85" s="69">
        <v>16.63999999999999</v>
      </c>
      <c r="D85" s="69">
        <v>20.810000000000024</v>
      </c>
      <c r="E85" s="69">
        <v>24.979999999999894</v>
      </c>
      <c r="F85" s="69">
        <v>29.150000000000059</v>
      </c>
      <c r="G85" s="69">
        <v>33.319999999999929</v>
      </c>
      <c r="H85" s="69">
        <v>-1.4900000000000015</v>
      </c>
      <c r="I85" s="69">
        <v>0.33999999999999853</v>
      </c>
      <c r="J85" s="69">
        <v>2.1700000000000177</v>
      </c>
    </row>
    <row r="86" spans="1:10" x14ac:dyDescent="0.25">
      <c r="A86" s="44">
        <v>0.29166666666666702</v>
      </c>
      <c r="B86" s="69">
        <v>12.559999999999988</v>
      </c>
      <c r="C86" s="69">
        <v>16.719999999999988</v>
      </c>
      <c r="D86" s="69">
        <v>20.880000000000024</v>
      </c>
      <c r="E86" s="69">
        <v>25.039999999999893</v>
      </c>
      <c r="F86" s="69">
        <v>29.20000000000006</v>
      </c>
      <c r="G86" s="69">
        <v>33.359999999999928</v>
      </c>
      <c r="H86" s="69">
        <v>-1.5200000000000016</v>
      </c>
      <c r="I86" s="69">
        <v>0.31999999999999851</v>
      </c>
      <c r="J86" s="69">
        <v>2.1600000000000179</v>
      </c>
    </row>
    <row r="87" spans="1:10" x14ac:dyDescent="0.25">
      <c r="A87" s="44">
        <v>0.29513888888888901</v>
      </c>
      <c r="B87" s="69">
        <v>12.649999999999988</v>
      </c>
      <c r="C87" s="69">
        <v>16.799999999999986</v>
      </c>
      <c r="D87" s="69">
        <v>20.950000000000024</v>
      </c>
      <c r="E87" s="69">
        <v>25.099999999999891</v>
      </c>
      <c r="F87" s="69">
        <v>29.25000000000006</v>
      </c>
      <c r="G87" s="69">
        <v>33.399999999999928</v>
      </c>
      <c r="H87" s="69">
        <v>-1.5500000000000016</v>
      </c>
      <c r="I87" s="69">
        <v>0.29999999999999849</v>
      </c>
      <c r="J87" s="69">
        <v>2.1500000000000181</v>
      </c>
    </row>
    <row r="88" spans="1:10" x14ac:dyDescent="0.25">
      <c r="A88" s="44">
        <v>0.29861111111111099</v>
      </c>
      <c r="B88" s="69">
        <v>12.739999999999988</v>
      </c>
      <c r="C88" s="69">
        <v>16.879999999999985</v>
      </c>
      <c r="D88" s="69">
        <v>21.020000000000024</v>
      </c>
      <c r="E88" s="69">
        <v>25.15999999999989</v>
      </c>
      <c r="F88" s="69">
        <v>29.300000000000061</v>
      </c>
      <c r="G88" s="69">
        <v>33.439999999999927</v>
      </c>
      <c r="H88" s="69">
        <v>-1.5800000000000016</v>
      </c>
      <c r="I88" s="69">
        <v>0.27999999999999847</v>
      </c>
      <c r="J88" s="69">
        <v>2.1400000000000183</v>
      </c>
    </row>
    <row r="89" spans="1:10" x14ac:dyDescent="0.25">
      <c r="A89" s="44">
        <v>0.30208333333333298</v>
      </c>
      <c r="B89" s="69">
        <v>12.829999999999988</v>
      </c>
      <c r="C89" s="69">
        <v>16.959999999999983</v>
      </c>
      <c r="D89" s="69">
        <v>21.090000000000025</v>
      </c>
      <c r="E89" s="69">
        <v>25.219999999999889</v>
      </c>
      <c r="F89" s="69">
        <v>29.350000000000062</v>
      </c>
      <c r="G89" s="69">
        <v>33.479999999999926</v>
      </c>
      <c r="H89" s="69">
        <v>-1.6100000000000017</v>
      </c>
      <c r="I89" s="69">
        <v>0.25999999999999845</v>
      </c>
      <c r="J89" s="69">
        <v>2.1300000000000185</v>
      </c>
    </row>
    <row r="90" spans="1:10" x14ac:dyDescent="0.25">
      <c r="A90" s="44">
        <v>0.30555555555555602</v>
      </c>
      <c r="B90" s="69">
        <v>12.919999999999987</v>
      </c>
      <c r="C90" s="69">
        <v>17.039999999999981</v>
      </c>
      <c r="D90" s="69">
        <v>21.160000000000025</v>
      </c>
      <c r="E90" s="69">
        <v>25.279999999999887</v>
      </c>
      <c r="F90" s="69">
        <v>29.400000000000063</v>
      </c>
      <c r="G90" s="69">
        <v>33.519999999999925</v>
      </c>
      <c r="H90" s="69">
        <v>-1.6400000000000017</v>
      </c>
      <c r="I90" s="69">
        <v>0.23999999999999846</v>
      </c>
      <c r="J90" s="69">
        <v>2.1200000000000188</v>
      </c>
    </row>
    <row r="91" spans="1:10" x14ac:dyDescent="0.25">
      <c r="A91" s="44">
        <v>0.30902777777777801</v>
      </c>
      <c r="B91" s="69">
        <v>13.009999999999987</v>
      </c>
      <c r="C91" s="69">
        <v>17.11999999999998</v>
      </c>
      <c r="D91" s="69">
        <v>21.230000000000025</v>
      </c>
      <c r="E91" s="69">
        <v>25.339999999999886</v>
      </c>
      <c r="F91" s="69">
        <v>29.450000000000063</v>
      </c>
      <c r="G91" s="69">
        <v>33.559999999999924</v>
      </c>
      <c r="H91" s="69">
        <v>-1.6700000000000017</v>
      </c>
      <c r="I91" s="69">
        <v>0.21999999999999847</v>
      </c>
      <c r="J91" s="69">
        <v>2.110000000000019</v>
      </c>
    </row>
    <row r="92" spans="1:10" x14ac:dyDescent="0.25">
      <c r="A92" s="44">
        <v>0.3125</v>
      </c>
      <c r="B92" s="69">
        <v>13.099999999999987</v>
      </c>
      <c r="C92" s="69">
        <v>17.199999999999978</v>
      </c>
      <c r="D92" s="69">
        <v>21.300000000000026</v>
      </c>
      <c r="E92" s="69">
        <v>25.399999999999885</v>
      </c>
      <c r="F92" s="69">
        <v>29.500000000000064</v>
      </c>
      <c r="G92" s="69">
        <v>33.599999999999923</v>
      </c>
      <c r="H92" s="69">
        <v>-1.7000000000000017</v>
      </c>
      <c r="I92" s="69">
        <v>0.19999999999999848</v>
      </c>
      <c r="J92" s="69">
        <v>2.1000000000000192</v>
      </c>
    </row>
    <row r="93" spans="1:10" x14ac:dyDescent="0.25">
      <c r="A93" s="44">
        <v>0.31597222222222199</v>
      </c>
      <c r="B93" s="69">
        <v>13.189999999999987</v>
      </c>
      <c r="C93" s="69">
        <v>17.279999999999976</v>
      </c>
      <c r="D93" s="69">
        <v>21.370000000000026</v>
      </c>
      <c r="E93" s="69">
        <v>25.459999999999884</v>
      </c>
      <c r="F93" s="69">
        <v>29.550000000000065</v>
      </c>
      <c r="G93" s="69">
        <v>33.639999999999922</v>
      </c>
      <c r="H93" s="69">
        <v>-1.7300000000000018</v>
      </c>
      <c r="I93" s="69">
        <v>0.17999999999999849</v>
      </c>
      <c r="J93" s="69">
        <v>2.0900000000000194</v>
      </c>
    </row>
    <row r="94" spans="1:10" x14ac:dyDescent="0.25">
      <c r="A94" s="44">
        <v>0.31944444444444398</v>
      </c>
      <c r="B94" s="69">
        <v>13.279999999999987</v>
      </c>
      <c r="C94" s="69">
        <v>17.359999999999975</v>
      </c>
      <c r="D94" s="69">
        <v>21.440000000000026</v>
      </c>
      <c r="E94" s="69">
        <v>25.519999999999882</v>
      </c>
      <c r="F94" s="69">
        <v>29.600000000000065</v>
      </c>
      <c r="G94" s="69">
        <v>33.679999999999922</v>
      </c>
      <c r="H94" s="69">
        <v>-1.7600000000000018</v>
      </c>
      <c r="I94" s="69">
        <v>0.1599999999999985</v>
      </c>
      <c r="J94" s="69">
        <v>2.0800000000000196</v>
      </c>
    </row>
    <row r="95" spans="1:10" x14ac:dyDescent="0.25">
      <c r="A95" s="44">
        <v>0.32291666666666702</v>
      </c>
      <c r="B95" s="69">
        <v>13.369999999999987</v>
      </c>
      <c r="C95" s="69">
        <v>17.439999999999973</v>
      </c>
      <c r="D95" s="69">
        <v>21.510000000000026</v>
      </c>
      <c r="E95" s="69">
        <v>25.579999999999881</v>
      </c>
      <c r="F95" s="69">
        <v>29.650000000000066</v>
      </c>
      <c r="G95" s="69">
        <v>33.719999999999921</v>
      </c>
      <c r="H95" s="69">
        <v>-1.7900000000000018</v>
      </c>
      <c r="I95" s="69">
        <v>0.13999999999999851</v>
      </c>
      <c r="J95" s="69">
        <v>2.0700000000000198</v>
      </c>
    </row>
    <row r="96" spans="1:10" x14ac:dyDescent="0.25">
      <c r="A96" s="44">
        <v>0.32638888888888901</v>
      </c>
      <c r="B96" s="69">
        <v>13.459999999999987</v>
      </c>
      <c r="C96" s="69">
        <v>17.519999999999971</v>
      </c>
      <c r="D96" s="69">
        <v>21.580000000000027</v>
      </c>
      <c r="E96" s="69">
        <v>25.63999999999988</v>
      </c>
      <c r="F96" s="69">
        <v>29.700000000000067</v>
      </c>
      <c r="G96" s="69">
        <v>33.75999999999992</v>
      </c>
      <c r="H96" s="69">
        <v>-1.8200000000000018</v>
      </c>
      <c r="I96" s="69">
        <v>0.11999999999999851</v>
      </c>
      <c r="J96" s="69">
        <v>2.06000000000002</v>
      </c>
    </row>
    <row r="97" spans="1:10" x14ac:dyDescent="0.25">
      <c r="A97" s="44">
        <v>0.32986111111111099</v>
      </c>
      <c r="B97" s="69">
        <v>13.549999999999986</v>
      </c>
      <c r="C97" s="69">
        <v>17.599999999999969</v>
      </c>
      <c r="D97" s="69">
        <v>21.650000000000027</v>
      </c>
      <c r="E97" s="69">
        <v>25.699999999999878</v>
      </c>
      <c r="F97" s="69">
        <v>29.750000000000068</v>
      </c>
      <c r="G97" s="69">
        <v>33.799999999999919</v>
      </c>
      <c r="H97" s="69">
        <v>-1.8500000000000019</v>
      </c>
      <c r="I97" s="69">
        <v>9.9999999999998507E-2</v>
      </c>
      <c r="J97" s="69">
        <v>2.0500000000000203</v>
      </c>
    </row>
    <row r="98" spans="1:10" x14ac:dyDescent="0.25">
      <c r="A98" s="44">
        <v>0.33333333333333298</v>
      </c>
      <c r="B98" s="69">
        <v>13.639999999999986</v>
      </c>
      <c r="C98" s="69">
        <v>17.679999999999968</v>
      </c>
      <c r="D98" s="69">
        <v>21.720000000000027</v>
      </c>
      <c r="E98" s="69">
        <v>25.759999999999877</v>
      </c>
      <c r="F98" s="69">
        <v>29.800000000000068</v>
      </c>
      <c r="G98" s="69">
        <v>33.839999999999918</v>
      </c>
      <c r="H98" s="69">
        <v>-1.8800000000000019</v>
      </c>
      <c r="I98" s="69">
        <v>7.9999999999998503E-2</v>
      </c>
      <c r="J98" s="69">
        <v>2.0400000000000205</v>
      </c>
    </row>
    <row r="99" spans="1:10" x14ac:dyDescent="0.25">
      <c r="A99" s="44">
        <v>0.33680555555555602</v>
      </c>
      <c r="B99" s="69">
        <v>13.729999999999986</v>
      </c>
      <c r="C99" s="69">
        <v>17.759999999999966</v>
      </c>
      <c r="D99" s="69">
        <v>21.790000000000028</v>
      </c>
      <c r="E99" s="69">
        <v>25.819999999999876</v>
      </c>
      <c r="F99" s="69">
        <v>29.850000000000069</v>
      </c>
      <c r="G99" s="69">
        <v>33.879999999999917</v>
      </c>
      <c r="H99" s="69">
        <v>-1.9100000000000019</v>
      </c>
      <c r="I99" s="69">
        <v>5.9999999999998499E-2</v>
      </c>
      <c r="J99" s="69">
        <v>2.0300000000000207</v>
      </c>
    </row>
    <row r="100" spans="1:10" x14ac:dyDescent="0.25">
      <c r="A100" s="44">
        <v>0.34027777777777801</v>
      </c>
      <c r="B100" s="69">
        <v>13.819999999999986</v>
      </c>
      <c r="C100" s="69">
        <v>17.839999999999964</v>
      </c>
      <c r="D100" s="69">
        <v>21.860000000000028</v>
      </c>
      <c r="E100" s="69">
        <v>25.879999999999875</v>
      </c>
      <c r="F100" s="69">
        <v>29.90000000000007</v>
      </c>
      <c r="G100" s="69">
        <v>33.919999999999916</v>
      </c>
      <c r="H100" s="69">
        <v>-1.9400000000000019</v>
      </c>
      <c r="I100" s="69">
        <v>3.9999999999998495E-2</v>
      </c>
      <c r="J100" s="69">
        <v>2.0200000000000209</v>
      </c>
    </row>
    <row r="101" spans="1:10" x14ac:dyDescent="0.25">
      <c r="A101" s="44">
        <v>0.34375</v>
      </c>
      <c r="B101" s="69">
        <v>13.909999999999986</v>
      </c>
      <c r="C101" s="69">
        <v>17.919999999999963</v>
      </c>
      <c r="D101" s="69">
        <v>21.930000000000028</v>
      </c>
      <c r="E101" s="69">
        <v>25.939999999999873</v>
      </c>
      <c r="F101" s="69">
        <v>29.95000000000007</v>
      </c>
      <c r="G101" s="69">
        <v>33.959999999999916</v>
      </c>
      <c r="H101" s="69">
        <v>-1.970000000000002</v>
      </c>
      <c r="I101" s="69">
        <v>1.9999999999998495E-2</v>
      </c>
      <c r="J101" s="69">
        <v>2.0100000000000211</v>
      </c>
    </row>
    <row r="102" spans="1:10" x14ac:dyDescent="0.25">
      <c r="A102" s="44">
        <v>0.34722222222222199</v>
      </c>
      <c r="B102" s="69">
        <v>13.999999999999986</v>
      </c>
      <c r="C102" s="69">
        <v>17.999999999999961</v>
      </c>
      <c r="D102" s="69">
        <v>22.000000000000028</v>
      </c>
      <c r="E102" s="69">
        <v>25.999999999999872</v>
      </c>
      <c r="F102" s="69">
        <v>30.000000000000071</v>
      </c>
      <c r="G102" s="69">
        <v>33.999999999999915</v>
      </c>
      <c r="H102" s="69">
        <v>-2.0000000000000018</v>
      </c>
      <c r="I102" s="69">
        <v>-1.5057399771478686E-15</v>
      </c>
      <c r="J102" s="69">
        <v>2.0000000000000213</v>
      </c>
    </row>
    <row r="103" spans="1:10" x14ac:dyDescent="0.25">
      <c r="A103" s="44">
        <v>0.35069444444444398</v>
      </c>
      <c r="B103" s="69">
        <v>14.089999999999986</v>
      </c>
      <c r="C103" s="69">
        <v>18.079999999999959</v>
      </c>
      <c r="D103" s="69">
        <v>22.070000000000029</v>
      </c>
      <c r="E103" s="69">
        <v>26.059999999999871</v>
      </c>
      <c r="F103" s="69">
        <v>30.050000000000072</v>
      </c>
      <c r="G103" s="69">
        <v>34.039999999999914</v>
      </c>
      <c r="H103" s="69">
        <v>-2.0300000000000016</v>
      </c>
      <c r="I103" s="69">
        <v>-2.0000000000001506E-2</v>
      </c>
      <c r="J103" s="69">
        <v>1.9900000000000213</v>
      </c>
    </row>
    <row r="104" spans="1:10" x14ac:dyDescent="0.25">
      <c r="A104" s="44">
        <v>0.35416666666666702</v>
      </c>
      <c r="B104" s="69">
        <v>14.179999999999986</v>
      </c>
      <c r="C104" s="69">
        <v>18.159999999999958</v>
      </c>
      <c r="D104" s="69">
        <v>22.140000000000029</v>
      </c>
      <c r="E104" s="69">
        <v>26.11999999999987</v>
      </c>
      <c r="F104" s="69">
        <v>30.100000000000072</v>
      </c>
      <c r="G104" s="69">
        <v>34.079999999999913</v>
      </c>
      <c r="H104" s="69">
        <v>-2.0600000000000014</v>
      </c>
      <c r="I104" s="69">
        <v>-4.0000000000001507E-2</v>
      </c>
      <c r="J104" s="69">
        <v>1.9800000000000213</v>
      </c>
    </row>
    <row r="105" spans="1:10" x14ac:dyDescent="0.25">
      <c r="A105" s="44">
        <v>0.35763888888888901</v>
      </c>
      <c r="B105" s="69">
        <v>14.269999999999985</v>
      </c>
      <c r="C105" s="69">
        <v>18.239999999999956</v>
      </c>
      <c r="D105" s="69">
        <v>22.210000000000029</v>
      </c>
      <c r="E105" s="69">
        <v>26.179999999999868</v>
      </c>
      <c r="F105" s="69">
        <v>30.150000000000073</v>
      </c>
      <c r="G105" s="69">
        <v>34.119999999999912</v>
      </c>
      <c r="H105" s="69">
        <v>-2.0900000000000012</v>
      </c>
      <c r="I105" s="69">
        <v>-6.000000000000151E-2</v>
      </c>
      <c r="J105" s="69">
        <v>1.9700000000000213</v>
      </c>
    </row>
    <row r="106" spans="1:10" x14ac:dyDescent="0.25">
      <c r="A106" s="44">
        <v>0.36111111111111099</v>
      </c>
      <c r="B106" s="69">
        <v>14.359999999999985</v>
      </c>
      <c r="C106" s="69">
        <v>18.319999999999954</v>
      </c>
      <c r="D106" s="69">
        <v>22.28000000000003</v>
      </c>
      <c r="E106" s="69">
        <v>26.239999999999867</v>
      </c>
      <c r="F106" s="69">
        <v>30.200000000000074</v>
      </c>
      <c r="G106" s="69">
        <v>34.159999999999911</v>
      </c>
      <c r="H106" s="69">
        <v>-2.120000000000001</v>
      </c>
      <c r="I106" s="69">
        <v>-8.0000000000001514E-2</v>
      </c>
      <c r="J106" s="69">
        <v>1.9600000000000213</v>
      </c>
    </row>
    <row r="107" spans="1:10" x14ac:dyDescent="0.25">
      <c r="A107" s="44">
        <v>0.36458333333333298</v>
      </c>
      <c r="B107" s="69">
        <v>14.449999999999985</v>
      </c>
      <c r="C107" s="69">
        <v>18.399999999999952</v>
      </c>
      <c r="D107" s="69">
        <v>22.35000000000003</v>
      </c>
      <c r="E107" s="69">
        <v>26.299999999999866</v>
      </c>
      <c r="F107" s="69">
        <v>30.250000000000075</v>
      </c>
      <c r="G107" s="69">
        <v>34.19999999999991</v>
      </c>
      <c r="H107" s="69">
        <v>-2.1500000000000008</v>
      </c>
      <c r="I107" s="69">
        <v>-0.10000000000000152</v>
      </c>
      <c r="J107" s="69">
        <v>1.9500000000000213</v>
      </c>
    </row>
    <row r="108" spans="1:10" x14ac:dyDescent="0.25">
      <c r="A108" s="44">
        <v>0.36805555555555602</v>
      </c>
      <c r="B108" s="69">
        <v>14.539999999999985</v>
      </c>
      <c r="C108" s="69">
        <v>18.479999999999951</v>
      </c>
      <c r="D108" s="69">
        <v>22.42000000000003</v>
      </c>
      <c r="E108" s="69">
        <v>26.359999999999864</v>
      </c>
      <c r="F108" s="69">
        <v>30.300000000000075</v>
      </c>
      <c r="G108" s="69">
        <v>34.23999999999991</v>
      </c>
      <c r="H108" s="69">
        <v>-2.1800000000000006</v>
      </c>
      <c r="I108" s="69">
        <v>-0.12000000000000152</v>
      </c>
      <c r="J108" s="69">
        <v>1.9400000000000213</v>
      </c>
    </row>
    <row r="109" spans="1:10" x14ac:dyDescent="0.25">
      <c r="A109" s="44">
        <v>0.37152777777777801</v>
      </c>
      <c r="B109" s="69">
        <v>14.629999999999985</v>
      </c>
      <c r="C109" s="69">
        <v>18.559999999999949</v>
      </c>
      <c r="D109" s="69">
        <v>22.49000000000003</v>
      </c>
      <c r="E109" s="69">
        <v>26.419999999999863</v>
      </c>
      <c r="F109" s="69">
        <v>30.350000000000076</v>
      </c>
      <c r="G109" s="69">
        <v>34.279999999999909</v>
      </c>
      <c r="H109" s="69">
        <v>-2.2100000000000004</v>
      </c>
      <c r="I109" s="69">
        <v>-0.14000000000000151</v>
      </c>
      <c r="J109" s="69">
        <v>1.9300000000000213</v>
      </c>
    </row>
    <row r="110" spans="1:10" x14ac:dyDescent="0.25">
      <c r="A110" s="44">
        <v>0.375</v>
      </c>
      <c r="B110" s="69">
        <v>14.719999999999985</v>
      </c>
      <c r="C110" s="69">
        <v>18.639999999999947</v>
      </c>
      <c r="D110" s="69">
        <v>22.560000000000031</v>
      </c>
      <c r="E110" s="69">
        <v>26.479999999999862</v>
      </c>
      <c r="F110" s="69">
        <v>30.400000000000077</v>
      </c>
      <c r="G110" s="69">
        <v>34.319999999999908</v>
      </c>
      <c r="H110" s="69">
        <v>-2.2400000000000002</v>
      </c>
      <c r="I110" s="69">
        <v>-0.1600000000000015</v>
      </c>
      <c r="J110" s="69">
        <v>1.9200000000000212</v>
      </c>
    </row>
    <row r="111" spans="1:10" x14ac:dyDescent="0.25">
      <c r="A111" s="44">
        <v>0.37847222222222199</v>
      </c>
      <c r="B111" s="69">
        <v>14.809999999999985</v>
      </c>
      <c r="C111" s="69">
        <v>18.719999999999946</v>
      </c>
      <c r="D111" s="69">
        <v>22.630000000000031</v>
      </c>
      <c r="E111" s="69">
        <v>26.539999999999861</v>
      </c>
      <c r="F111" s="69">
        <v>30.450000000000077</v>
      </c>
      <c r="G111" s="69">
        <v>34.359999999999907</v>
      </c>
      <c r="H111" s="69">
        <v>-2.27</v>
      </c>
      <c r="I111" s="69">
        <v>-0.18000000000000149</v>
      </c>
      <c r="J111" s="69">
        <v>1.9100000000000212</v>
      </c>
    </row>
    <row r="112" spans="1:10" x14ac:dyDescent="0.25">
      <c r="A112" s="44">
        <v>0.38194444444444398</v>
      </c>
      <c r="B112" s="69">
        <v>14.899999999999984</v>
      </c>
      <c r="C112" s="69">
        <v>18.799999999999944</v>
      </c>
      <c r="D112" s="69">
        <v>22.700000000000031</v>
      </c>
      <c r="E112" s="69">
        <v>26.599999999999859</v>
      </c>
      <c r="F112" s="69">
        <v>30.500000000000078</v>
      </c>
      <c r="G112" s="69">
        <v>34.399999999999906</v>
      </c>
      <c r="H112" s="69">
        <v>-2.2999999999999998</v>
      </c>
      <c r="I112" s="69">
        <v>-0.20000000000000148</v>
      </c>
      <c r="J112" s="69">
        <v>1.9000000000000212</v>
      </c>
    </row>
    <row r="113" spans="1:10" x14ac:dyDescent="0.25">
      <c r="A113" s="44">
        <v>0.38541666666666702</v>
      </c>
      <c r="B113" s="69">
        <v>14.989999999999984</v>
      </c>
      <c r="C113" s="69">
        <v>18.879999999999942</v>
      </c>
      <c r="D113" s="69">
        <v>22.770000000000032</v>
      </c>
      <c r="E113" s="69">
        <v>26.659999999999858</v>
      </c>
      <c r="F113" s="69">
        <v>30.550000000000079</v>
      </c>
      <c r="G113" s="69">
        <v>34.439999999999905</v>
      </c>
      <c r="H113" s="69">
        <v>-2.3299999999999996</v>
      </c>
      <c r="I113" s="69">
        <v>-0.22000000000000147</v>
      </c>
      <c r="J113" s="69">
        <v>1.8900000000000212</v>
      </c>
    </row>
    <row r="114" spans="1:10" x14ac:dyDescent="0.25">
      <c r="A114" s="44">
        <v>0.38888888888888901</v>
      </c>
      <c r="B114" s="69">
        <v>15.079999999999984</v>
      </c>
      <c r="C114" s="69">
        <v>18.95999999999994</v>
      </c>
      <c r="D114" s="69">
        <v>22.840000000000032</v>
      </c>
      <c r="E114" s="69">
        <v>26.719999999999857</v>
      </c>
      <c r="F114" s="69">
        <v>30.60000000000008</v>
      </c>
      <c r="G114" s="69">
        <v>34.479999999999905</v>
      </c>
      <c r="H114" s="69">
        <v>-2.3599999999999994</v>
      </c>
      <c r="I114" s="69">
        <v>-0.24000000000000146</v>
      </c>
      <c r="J114" s="69">
        <v>1.8800000000000212</v>
      </c>
    </row>
    <row r="115" spans="1:10" x14ac:dyDescent="0.25">
      <c r="A115" s="44">
        <v>0.39236111111111099</v>
      </c>
      <c r="B115" s="69">
        <v>15.169999999999984</v>
      </c>
      <c r="C115" s="69">
        <v>19.039999999999939</v>
      </c>
      <c r="D115" s="69">
        <v>22.910000000000032</v>
      </c>
      <c r="E115" s="69">
        <v>26.779999999999855</v>
      </c>
      <c r="F115" s="69">
        <v>30.65000000000008</v>
      </c>
      <c r="G115" s="69">
        <v>34.519999999999904</v>
      </c>
      <c r="H115" s="69">
        <v>-2.3899999999999992</v>
      </c>
      <c r="I115" s="69">
        <v>-0.26000000000000145</v>
      </c>
      <c r="J115" s="69">
        <v>1.8700000000000212</v>
      </c>
    </row>
    <row r="116" spans="1:10" x14ac:dyDescent="0.25">
      <c r="A116" s="44">
        <v>0.39583333333333298</v>
      </c>
      <c r="B116" s="69">
        <v>15.259999999999984</v>
      </c>
      <c r="C116" s="69">
        <v>19.119999999999937</v>
      </c>
      <c r="D116" s="69">
        <v>22.980000000000032</v>
      </c>
      <c r="E116" s="69">
        <v>26.839999999999854</v>
      </c>
      <c r="F116" s="69">
        <v>30.700000000000081</v>
      </c>
      <c r="G116" s="69">
        <v>34.559999999999903</v>
      </c>
      <c r="H116" s="69">
        <v>-2.419999999999999</v>
      </c>
      <c r="I116" s="69">
        <v>-0.28000000000000147</v>
      </c>
      <c r="J116" s="69">
        <v>1.8600000000000212</v>
      </c>
    </row>
    <row r="117" spans="1:10" x14ac:dyDescent="0.25">
      <c r="A117" s="44">
        <v>0.39930555555555602</v>
      </c>
      <c r="B117" s="69">
        <v>15.349999999999984</v>
      </c>
      <c r="C117" s="69">
        <v>19.199999999999935</v>
      </c>
      <c r="D117" s="69">
        <v>23.050000000000033</v>
      </c>
      <c r="E117" s="69">
        <v>26.899999999999853</v>
      </c>
      <c r="F117" s="69">
        <v>30.750000000000082</v>
      </c>
      <c r="G117" s="69">
        <v>34.599999999999902</v>
      </c>
      <c r="H117" s="69">
        <v>-2.4499999999999988</v>
      </c>
      <c r="I117" s="69">
        <v>-0.30000000000000149</v>
      </c>
      <c r="J117" s="69">
        <v>1.8500000000000212</v>
      </c>
    </row>
    <row r="118" spans="1:10" x14ac:dyDescent="0.25">
      <c r="A118" s="44">
        <v>0.40277777777777801</v>
      </c>
      <c r="B118" s="69">
        <v>15.439999999999984</v>
      </c>
      <c r="C118" s="69">
        <v>19.279999999999934</v>
      </c>
      <c r="D118" s="69">
        <v>23.120000000000033</v>
      </c>
      <c r="E118" s="69">
        <v>26.959999999999852</v>
      </c>
      <c r="F118" s="69">
        <v>30.800000000000082</v>
      </c>
      <c r="G118" s="69">
        <v>34.639999999999901</v>
      </c>
      <c r="H118" s="69">
        <v>-2.4799999999999986</v>
      </c>
      <c r="I118" s="69">
        <v>-0.32000000000000151</v>
      </c>
      <c r="J118" s="69">
        <v>1.8400000000000212</v>
      </c>
    </row>
    <row r="119" spans="1:10" x14ac:dyDescent="0.25">
      <c r="A119" s="44">
        <v>0.40625</v>
      </c>
      <c r="B119" s="69">
        <v>15.529999999999983</v>
      </c>
      <c r="C119" s="69">
        <v>19.359999999999932</v>
      </c>
      <c r="D119" s="69">
        <v>23.190000000000033</v>
      </c>
      <c r="E119" s="69">
        <v>27.01999999999985</v>
      </c>
      <c r="F119" s="69">
        <v>30.850000000000083</v>
      </c>
      <c r="G119" s="69">
        <v>34.6799999999999</v>
      </c>
      <c r="H119" s="69">
        <v>-2.5099999999999985</v>
      </c>
      <c r="I119" s="69">
        <v>-0.34000000000000152</v>
      </c>
      <c r="J119" s="69">
        <v>1.8300000000000212</v>
      </c>
    </row>
    <row r="120" spans="1:10" x14ac:dyDescent="0.25">
      <c r="A120" s="44">
        <v>0.40972222222222199</v>
      </c>
      <c r="B120" s="69">
        <v>15.619999999999983</v>
      </c>
      <c r="C120" s="69">
        <v>19.43999999999993</v>
      </c>
      <c r="D120" s="69">
        <v>23.260000000000034</v>
      </c>
      <c r="E120" s="69">
        <v>27.079999999999849</v>
      </c>
      <c r="F120" s="69">
        <v>30.900000000000084</v>
      </c>
      <c r="G120" s="69">
        <v>34.719999999999899</v>
      </c>
      <c r="H120" s="69">
        <v>-2.5399999999999983</v>
      </c>
      <c r="I120" s="69">
        <v>-0.36000000000000154</v>
      </c>
      <c r="J120" s="69">
        <v>1.8200000000000212</v>
      </c>
    </row>
    <row r="121" spans="1:10" x14ac:dyDescent="0.25">
      <c r="A121" s="44">
        <v>0.41319444444444398</v>
      </c>
      <c r="B121" s="69">
        <v>15.709999999999983</v>
      </c>
      <c r="C121" s="69">
        <v>19.519999999999929</v>
      </c>
      <c r="D121" s="69">
        <v>23.330000000000034</v>
      </c>
      <c r="E121" s="69">
        <v>27.139999999999848</v>
      </c>
      <c r="F121" s="69">
        <v>30.950000000000085</v>
      </c>
      <c r="G121" s="69">
        <v>34.759999999999899</v>
      </c>
      <c r="H121" s="69">
        <v>-2.5699999999999981</v>
      </c>
      <c r="I121" s="69">
        <v>-0.38000000000000156</v>
      </c>
      <c r="J121" s="69">
        <v>1.8100000000000211</v>
      </c>
    </row>
    <row r="122" spans="1:10" x14ac:dyDescent="0.25">
      <c r="A122" s="44">
        <v>0.41666666666666702</v>
      </c>
      <c r="B122" s="69">
        <v>15.799999999999983</v>
      </c>
      <c r="C122" s="69">
        <v>19.599999999999927</v>
      </c>
      <c r="D122" s="69">
        <v>23.400000000000034</v>
      </c>
      <c r="E122" s="69">
        <v>27.199999999999847</v>
      </c>
      <c r="F122" s="69">
        <v>31.000000000000085</v>
      </c>
      <c r="G122" s="69">
        <v>34.799999999999898</v>
      </c>
      <c r="H122" s="69">
        <v>-2.5999999999999979</v>
      </c>
      <c r="I122" s="69">
        <v>-0.40000000000000158</v>
      </c>
      <c r="J122" s="69">
        <v>1.8000000000000211</v>
      </c>
    </row>
    <row r="123" spans="1:10" x14ac:dyDescent="0.25">
      <c r="A123" s="44">
        <v>0.42013888888888901</v>
      </c>
      <c r="B123" s="69">
        <v>15.889999999999983</v>
      </c>
      <c r="C123" s="69">
        <v>19.679999999999925</v>
      </c>
      <c r="D123" s="69">
        <v>23.470000000000034</v>
      </c>
      <c r="E123" s="69">
        <v>27.259999999999845</v>
      </c>
      <c r="F123" s="69">
        <v>31.050000000000086</v>
      </c>
      <c r="G123" s="69">
        <v>34.839999999999897</v>
      </c>
      <c r="H123" s="69">
        <v>-2.6299999999999977</v>
      </c>
      <c r="I123" s="69">
        <v>-0.42000000000000159</v>
      </c>
      <c r="J123" s="69">
        <v>1.7900000000000211</v>
      </c>
    </row>
    <row r="124" spans="1:10" x14ac:dyDescent="0.25">
      <c r="A124" s="44">
        <v>0.42361111111111099</v>
      </c>
      <c r="B124" s="69">
        <v>15.979999999999983</v>
      </c>
      <c r="C124" s="69">
        <v>19.759999999999923</v>
      </c>
      <c r="D124" s="69">
        <v>23.540000000000035</v>
      </c>
      <c r="E124" s="69">
        <v>27.319999999999844</v>
      </c>
      <c r="F124" s="69">
        <v>31.100000000000087</v>
      </c>
      <c r="G124" s="69">
        <v>34.879999999999896</v>
      </c>
      <c r="H124" s="69">
        <v>-2.6599999999999975</v>
      </c>
      <c r="I124" s="69">
        <v>-0.44000000000000161</v>
      </c>
      <c r="J124" s="69">
        <v>1.7800000000000211</v>
      </c>
    </row>
    <row r="125" spans="1:10" x14ac:dyDescent="0.25">
      <c r="A125" s="44">
        <v>0.42708333333333298</v>
      </c>
      <c r="B125" s="69">
        <v>16.069999999999983</v>
      </c>
      <c r="C125" s="69">
        <v>19.839999999999922</v>
      </c>
      <c r="D125" s="69">
        <v>23.610000000000035</v>
      </c>
      <c r="E125" s="69">
        <v>27.379999999999843</v>
      </c>
      <c r="F125" s="69">
        <v>31.150000000000087</v>
      </c>
      <c r="G125" s="69">
        <v>34.919999999999895</v>
      </c>
      <c r="H125" s="69">
        <v>-2.6899999999999973</v>
      </c>
      <c r="I125" s="69">
        <v>-0.46000000000000163</v>
      </c>
      <c r="J125" s="69">
        <v>1.7700000000000211</v>
      </c>
    </row>
    <row r="126" spans="1:10" x14ac:dyDescent="0.25">
      <c r="A126" s="44">
        <v>0.43055555555555602</v>
      </c>
      <c r="B126" s="69">
        <v>16.159999999999982</v>
      </c>
      <c r="C126" s="69">
        <v>19.91999999999992</v>
      </c>
      <c r="D126" s="69">
        <v>23.680000000000035</v>
      </c>
      <c r="E126" s="69">
        <v>27.439999999999841</v>
      </c>
      <c r="F126" s="69">
        <v>31.200000000000088</v>
      </c>
      <c r="G126" s="69">
        <v>34.959999999999894</v>
      </c>
      <c r="H126" s="69">
        <v>-2.7199999999999971</v>
      </c>
      <c r="I126" s="69">
        <v>-0.48000000000000165</v>
      </c>
      <c r="J126" s="69">
        <v>1.7600000000000211</v>
      </c>
    </row>
    <row r="127" spans="1:10" x14ac:dyDescent="0.25">
      <c r="A127" s="44">
        <v>0.43402777777777801</v>
      </c>
      <c r="B127" s="69">
        <v>16.249999999999982</v>
      </c>
      <c r="C127" s="69">
        <v>19.999999999999918</v>
      </c>
      <c r="D127" s="69">
        <v>23.750000000000036</v>
      </c>
      <c r="E127" s="69">
        <v>27.49999999999984</v>
      </c>
      <c r="F127" s="69">
        <v>31.250000000000089</v>
      </c>
      <c r="G127" s="69">
        <v>34.999999999999893</v>
      </c>
      <c r="H127" s="69">
        <v>-2.7499999999999969</v>
      </c>
      <c r="I127" s="69">
        <v>-0.50000000000000167</v>
      </c>
      <c r="J127" s="69">
        <v>1.7500000000000211</v>
      </c>
    </row>
    <row r="128" spans="1:10" x14ac:dyDescent="0.25">
      <c r="A128" s="44">
        <v>0.4375</v>
      </c>
      <c r="B128" s="69">
        <v>16.339999999999982</v>
      </c>
      <c r="C128" s="69">
        <v>20.079999999999917</v>
      </c>
      <c r="D128" s="69">
        <v>23.820000000000036</v>
      </c>
      <c r="E128" s="69">
        <v>27.559999999999839</v>
      </c>
      <c r="F128" s="69">
        <v>31.30000000000009</v>
      </c>
      <c r="G128" s="69">
        <v>35.039999999999893</v>
      </c>
      <c r="H128" s="69">
        <v>-2.7799999999999967</v>
      </c>
      <c r="I128" s="69">
        <v>-0.52000000000000168</v>
      </c>
      <c r="J128" s="69">
        <v>1.7400000000000211</v>
      </c>
    </row>
    <row r="129" spans="1:10" x14ac:dyDescent="0.25">
      <c r="A129" s="44">
        <v>0.44097222222222199</v>
      </c>
      <c r="B129" s="69">
        <v>16.429999999999982</v>
      </c>
      <c r="C129" s="69">
        <v>20.159999999999915</v>
      </c>
      <c r="D129" s="69">
        <v>23.890000000000036</v>
      </c>
      <c r="E129" s="69">
        <v>27.619999999999838</v>
      </c>
      <c r="F129" s="69">
        <v>31.35000000000009</v>
      </c>
      <c r="G129" s="69">
        <v>35.079999999999892</v>
      </c>
      <c r="H129" s="69">
        <v>-2.8099999999999965</v>
      </c>
      <c r="I129" s="69">
        <v>-0.5400000000000017</v>
      </c>
      <c r="J129" s="69">
        <v>1.7300000000000211</v>
      </c>
    </row>
    <row r="130" spans="1:10" x14ac:dyDescent="0.25">
      <c r="A130" s="44">
        <v>0.44444444444444398</v>
      </c>
      <c r="B130" s="69">
        <v>16.519999999999982</v>
      </c>
      <c r="C130" s="69">
        <v>20.239999999999913</v>
      </c>
      <c r="D130" s="69">
        <v>23.960000000000036</v>
      </c>
      <c r="E130" s="69">
        <v>27.679999999999836</v>
      </c>
      <c r="F130" s="69">
        <v>31.400000000000091</v>
      </c>
      <c r="G130" s="69">
        <v>35.119999999999891</v>
      </c>
      <c r="H130" s="69">
        <v>-2.8399999999999963</v>
      </c>
      <c r="I130" s="69">
        <v>-0.56000000000000172</v>
      </c>
      <c r="J130" s="69">
        <v>1.7200000000000211</v>
      </c>
    </row>
    <row r="131" spans="1:10" x14ac:dyDescent="0.25">
      <c r="A131" s="44">
        <v>0.44791666666666702</v>
      </c>
      <c r="B131" s="69">
        <v>16.609999999999982</v>
      </c>
      <c r="C131" s="69">
        <v>20.319999999999911</v>
      </c>
      <c r="D131" s="69">
        <v>24.030000000000037</v>
      </c>
      <c r="E131" s="69">
        <v>27.739999999999835</v>
      </c>
      <c r="F131" s="69">
        <v>31.450000000000092</v>
      </c>
      <c r="G131" s="69">
        <v>35.15999999999989</v>
      </c>
      <c r="H131" s="69">
        <v>-2.8699999999999961</v>
      </c>
      <c r="I131" s="69">
        <v>-0.58000000000000174</v>
      </c>
      <c r="J131" s="69">
        <v>1.7100000000000211</v>
      </c>
    </row>
    <row r="132" spans="1:10" x14ac:dyDescent="0.25">
      <c r="A132" s="44">
        <v>0.45138888888888901</v>
      </c>
      <c r="B132" s="69">
        <v>16.699999999999982</v>
      </c>
      <c r="C132" s="69">
        <v>20.39999999999991</v>
      </c>
      <c r="D132" s="69">
        <v>24.100000000000037</v>
      </c>
      <c r="E132" s="69">
        <v>27.799999999999834</v>
      </c>
      <c r="F132" s="69">
        <v>31.500000000000092</v>
      </c>
      <c r="G132" s="69">
        <v>35.199999999999889</v>
      </c>
      <c r="H132" s="69">
        <v>-2.8999999999999959</v>
      </c>
      <c r="I132" s="69">
        <v>-0.60000000000000175</v>
      </c>
      <c r="J132" s="69">
        <v>1.700000000000021</v>
      </c>
    </row>
    <row r="133" spans="1:10" x14ac:dyDescent="0.25">
      <c r="A133" s="44">
        <v>0.45486111111111099</v>
      </c>
      <c r="B133" s="69">
        <v>16.789999999999981</v>
      </c>
      <c r="C133" s="69">
        <v>20.479999999999908</v>
      </c>
      <c r="D133" s="69">
        <v>24.170000000000037</v>
      </c>
      <c r="E133" s="69">
        <v>27.859999999999832</v>
      </c>
      <c r="F133" s="69">
        <v>31.550000000000093</v>
      </c>
      <c r="G133" s="69">
        <v>35.239999999999888</v>
      </c>
      <c r="H133" s="69">
        <v>-2.9299999999999957</v>
      </c>
      <c r="I133" s="69">
        <v>-0.62000000000000177</v>
      </c>
      <c r="J133" s="69">
        <v>1.690000000000021</v>
      </c>
    </row>
    <row r="134" spans="1:10" x14ac:dyDescent="0.25">
      <c r="A134" s="44">
        <v>0.45833333333333298</v>
      </c>
      <c r="B134" s="69">
        <v>16.879999999999981</v>
      </c>
      <c r="C134" s="69">
        <v>20.559999999999906</v>
      </c>
      <c r="D134" s="69">
        <v>24.240000000000038</v>
      </c>
      <c r="E134" s="69">
        <v>27.919999999999831</v>
      </c>
      <c r="F134" s="69">
        <v>31.600000000000094</v>
      </c>
      <c r="G134" s="69">
        <v>35.279999999999887</v>
      </c>
      <c r="H134" s="69">
        <v>-2.9599999999999955</v>
      </c>
      <c r="I134" s="69">
        <v>-0.64000000000000179</v>
      </c>
      <c r="J134" s="69">
        <v>1.680000000000021</v>
      </c>
    </row>
    <row r="135" spans="1:10" x14ac:dyDescent="0.25">
      <c r="A135" s="44">
        <v>0.46180555555555602</v>
      </c>
      <c r="B135" s="69">
        <v>16.969999999999981</v>
      </c>
      <c r="C135" s="69">
        <v>20.639999999999905</v>
      </c>
      <c r="D135" s="69">
        <v>24.310000000000038</v>
      </c>
      <c r="E135" s="69">
        <v>27.97999999999983</v>
      </c>
      <c r="F135" s="69">
        <v>31.650000000000095</v>
      </c>
      <c r="G135" s="69">
        <v>35.319999999999887</v>
      </c>
      <c r="H135" s="69">
        <v>-2.9899999999999953</v>
      </c>
      <c r="I135" s="69">
        <v>-0.66000000000000181</v>
      </c>
      <c r="J135" s="69">
        <v>1.670000000000021</v>
      </c>
    </row>
    <row r="136" spans="1:10" x14ac:dyDescent="0.25">
      <c r="A136" s="44">
        <v>0.46527777777777801</v>
      </c>
      <c r="B136" s="69">
        <v>17.059999999999981</v>
      </c>
      <c r="C136" s="69">
        <v>20.719999999999903</v>
      </c>
      <c r="D136" s="69">
        <v>24.380000000000038</v>
      </c>
      <c r="E136" s="69">
        <v>28.039999999999829</v>
      </c>
      <c r="F136" s="69">
        <v>31.700000000000095</v>
      </c>
      <c r="G136" s="69">
        <v>35.359999999999886</v>
      </c>
      <c r="H136" s="69">
        <v>-3.0199999999999951</v>
      </c>
      <c r="I136" s="69">
        <v>-0.68000000000000183</v>
      </c>
      <c r="J136" s="69">
        <v>1.660000000000021</v>
      </c>
    </row>
    <row r="137" spans="1:10" x14ac:dyDescent="0.25">
      <c r="A137" s="44">
        <v>0.46875</v>
      </c>
      <c r="B137" s="69">
        <v>17.149999999999981</v>
      </c>
      <c r="C137" s="69">
        <v>20.799999999999901</v>
      </c>
      <c r="D137" s="69">
        <v>24.450000000000038</v>
      </c>
      <c r="E137" s="69">
        <v>28.099999999999827</v>
      </c>
      <c r="F137" s="69">
        <v>31.750000000000096</v>
      </c>
      <c r="G137" s="69">
        <v>35.399999999999885</v>
      </c>
      <c r="H137" s="69">
        <v>-3.0499999999999949</v>
      </c>
      <c r="I137" s="69">
        <v>-0.70000000000000184</v>
      </c>
      <c r="J137" s="69">
        <v>1.650000000000021</v>
      </c>
    </row>
    <row r="138" spans="1:10" x14ac:dyDescent="0.25">
      <c r="A138" s="44">
        <v>0.47222222222222199</v>
      </c>
      <c r="B138" s="69">
        <v>17.239999999999981</v>
      </c>
      <c r="C138" s="69">
        <v>20.8799999999999</v>
      </c>
      <c r="D138" s="69">
        <v>24.520000000000039</v>
      </c>
      <c r="E138" s="69">
        <v>28.159999999999826</v>
      </c>
      <c r="F138" s="69">
        <v>31.800000000000097</v>
      </c>
      <c r="G138" s="69">
        <v>35.439999999999884</v>
      </c>
      <c r="H138" s="69">
        <v>-3.0799999999999947</v>
      </c>
      <c r="I138" s="69">
        <v>-0.72000000000000186</v>
      </c>
      <c r="J138" s="69">
        <v>1.640000000000021</v>
      </c>
    </row>
    <row r="139" spans="1:10" x14ac:dyDescent="0.25">
      <c r="A139" s="44">
        <v>0.47569444444444398</v>
      </c>
      <c r="B139" s="69">
        <v>17.329999999999981</v>
      </c>
      <c r="C139" s="69">
        <v>20.959999999999898</v>
      </c>
      <c r="D139" s="69">
        <v>24.590000000000039</v>
      </c>
      <c r="E139" s="69">
        <v>28.219999999999825</v>
      </c>
      <c r="F139" s="69">
        <v>31.850000000000097</v>
      </c>
      <c r="G139" s="69">
        <v>35.479999999999883</v>
      </c>
      <c r="H139" s="69">
        <v>-3.1099999999999945</v>
      </c>
      <c r="I139" s="69">
        <v>-0.74000000000000188</v>
      </c>
      <c r="J139" s="69">
        <v>1.630000000000021</v>
      </c>
    </row>
    <row r="140" spans="1:10" x14ac:dyDescent="0.25">
      <c r="A140" s="44">
        <v>0.47916666666666702</v>
      </c>
      <c r="B140" s="69">
        <v>17.41999999999998</v>
      </c>
      <c r="C140" s="69">
        <v>21.039999999999896</v>
      </c>
      <c r="D140" s="69">
        <v>24.660000000000039</v>
      </c>
      <c r="E140" s="69">
        <v>28.279999999999824</v>
      </c>
      <c r="F140" s="69">
        <v>31.900000000000098</v>
      </c>
      <c r="G140" s="69">
        <v>35.519999999999882</v>
      </c>
      <c r="H140" s="69">
        <v>-3.1399999999999944</v>
      </c>
      <c r="I140" s="69">
        <v>-0.7600000000000019</v>
      </c>
      <c r="J140" s="69">
        <v>1.620000000000021</v>
      </c>
    </row>
    <row r="141" spans="1:10" x14ac:dyDescent="0.25">
      <c r="A141" s="44">
        <v>0.48263888888888901</v>
      </c>
      <c r="B141" s="69">
        <v>17.50999999999998</v>
      </c>
      <c r="C141" s="69">
        <v>21.119999999999894</v>
      </c>
      <c r="D141" s="69">
        <v>24.73000000000004</v>
      </c>
      <c r="E141" s="69">
        <v>28.339999999999822</v>
      </c>
      <c r="F141" s="69">
        <v>31.950000000000099</v>
      </c>
      <c r="G141" s="69">
        <v>35.559999999999881</v>
      </c>
      <c r="H141" s="69">
        <v>-3.1699999999999942</v>
      </c>
      <c r="I141" s="69">
        <v>-0.78000000000000191</v>
      </c>
      <c r="J141" s="69">
        <v>1.610000000000021</v>
      </c>
    </row>
    <row r="142" spans="1:10" x14ac:dyDescent="0.25">
      <c r="A142" s="44">
        <v>0.48611111111111099</v>
      </c>
      <c r="B142" s="69">
        <v>17.59999999999998</v>
      </c>
      <c r="C142" s="69">
        <v>21.199999999999893</v>
      </c>
      <c r="D142" s="69">
        <v>24.80000000000004</v>
      </c>
      <c r="E142" s="69">
        <v>28.399999999999821</v>
      </c>
      <c r="F142" s="69">
        <v>32.000000000000099</v>
      </c>
      <c r="G142" s="69">
        <v>35.599999999999881</v>
      </c>
      <c r="H142" s="69">
        <v>-3.199999999999994</v>
      </c>
      <c r="I142" s="69">
        <v>-0.80000000000000193</v>
      </c>
      <c r="J142" s="69">
        <v>1.600000000000021</v>
      </c>
    </row>
    <row r="143" spans="1:10" x14ac:dyDescent="0.25">
      <c r="A143" s="44">
        <v>0.48958333333333298</v>
      </c>
      <c r="B143" s="69">
        <v>17.68999999999998</v>
      </c>
      <c r="C143" s="69">
        <v>21.279999999999891</v>
      </c>
      <c r="D143" s="69">
        <v>24.87000000000004</v>
      </c>
      <c r="E143" s="69">
        <v>28.45999999999982</v>
      </c>
      <c r="F143" s="69">
        <v>32.050000000000097</v>
      </c>
      <c r="G143" s="69">
        <v>35.63999999999988</v>
      </c>
      <c r="H143" s="69">
        <v>-3.2299999999999938</v>
      </c>
      <c r="I143" s="69">
        <v>-0.82000000000000195</v>
      </c>
      <c r="J143" s="69">
        <v>1.590000000000021</v>
      </c>
    </row>
    <row r="144" spans="1:10" x14ac:dyDescent="0.25">
      <c r="A144" s="44">
        <v>0.49305555555555602</v>
      </c>
      <c r="B144" s="69">
        <v>17.77999999999998</v>
      </c>
      <c r="C144" s="69">
        <v>21.359999999999889</v>
      </c>
      <c r="D144" s="69">
        <v>24.94000000000004</v>
      </c>
      <c r="E144" s="69">
        <v>28.519999999999818</v>
      </c>
      <c r="F144" s="69">
        <v>32.100000000000094</v>
      </c>
      <c r="G144" s="69">
        <v>35.679999999999879</v>
      </c>
      <c r="H144" s="69">
        <v>-3.2599999999999936</v>
      </c>
      <c r="I144" s="69">
        <v>-0.84000000000000197</v>
      </c>
      <c r="J144" s="69">
        <v>1.5800000000000209</v>
      </c>
    </row>
    <row r="145" spans="1:10" x14ac:dyDescent="0.25">
      <c r="A145" s="44">
        <v>0.49652777777777801</v>
      </c>
      <c r="B145" s="69">
        <v>17.86999999999998</v>
      </c>
      <c r="C145" s="69">
        <v>21.439999999999888</v>
      </c>
      <c r="D145" s="69">
        <v>25.010000000000041</v>
      </c>
      <c r="E145" s="69">
        <v>28.579999999999817</v>
      </c>
      <c r="F145" s="69">
        <v>32.150000000000091</v>
      </c>
      <c r="G145" s="69">
        <v>35.719999999999878</v>
      </c>
      <c r="H145" s="69">
        <v>-3.2899999999999934</v>
      </c>
      <c r="I145" s="69">
        <v>-0.86000000000000199</v>
      </c>
      <c r="J145" s="69">
        <v>1.5700000000000209</v>
      </c>
    </row>
    <row r="146" spans="1:10" x14ac:dyDescent="0.25">
      <c r="A146" s="44">
        <v>0.5</v>
      </c>
      <c r="B146" s="69">
        <v>17.95999999999998</v>
      </c>
      <c r="C146" s="69">
        <v>21.519999999999886</v>
      </c>
      <c r="D146" s="69">
        <v>25.080000000000041</v>
      </c>
      <c r="E146" s="69">
        <v>28.639999999999816</v>
      </c>
      <c r="F146" s="69">
        <v>32.200000000000088</v>
      </c>
      <c r="G146" s="69">
        <v>35.759999999999877</v>
      </c>
      <c r="H146" s="69">
        <v>-3.3199999999999932</v>
      </c>
      <c r="I146" s="69">
        <v>-0.880000000000002</v>
      </c>
      <c r="J146" s="69">
        <v>1.5600000000000209</v>
      </c>
    </row>
    <row r="147" spans="1:10" x14ac:dyDescent="0.25">
      <c r="A147" s="44">
        <v>0.50347222222222199</v>
      </c>
      <c r="B147" s="69">
        <v>18.049999999999979</v>
      </c>
      <c r="C147" s="69">
        <v>21.599999999999884</v>
      </c>
      <c r="D147" s="69">
        <v>25.150000000000041</v>
      </c>
      <c r="E147" s="69">
        <v>28.699999999999815</v>
      </c>
      <c r="F147" s="69">
        <v>32.250000000000085</v>
      </c>
      <c r="G147" s="69">
        <v>35.799999999999876</v>
      </c>
      <c r="H147" s="69">
        <v>-3.349999999999993</v>
      </c>
      <c r="I147" s="69">
        <v>-0.90000000000000202</v>
      </c>
      <c r="J147" s="69">
        <v>1.5500000000000209</v>
      </c>
    </row>
    <row r="148" spans="1:10" x14ac:dyDescent="0.25">
      <c r="A148" s="44">
        <v>0.50694444444444398</v>
      </c>
      <c r="B148" s="69">
        <v>18.139999999999979</v>
      </c>
      <c r="C148" s="69">
        <v>21.679999999999882</v>
      </c>
      <c r="D148" s="69">
        <v>25.220000000000041</v>
      </c>
      <c r="E148" s="69">
        <v>28.759999999999813</v>
      </c>
      <c r="F148" s="69">
        <v>32.300000000000082</v>
      </c>
      <c r="G148" s="69">
        <v>35.839999999999876</v>
      </c>
      <c r="H148" s="69">
        <v>-3.3799999999999928</v>
      </c>
      <c r="I148" s="69">
        <v>-0.92000000000000204</v>
      </c>
      <c r="J148" s="69">
        <v>1.5400000000000209</v>
      </c>
    </row>
    <row r="149" spans="1:10" x14ac:dyDescent="0.25">
      <c r="A149" s="44">
        <v>0.51041666666666696</v>
      </c>
      <c r="B149" s="69">
        <v>18.229999999999979</v>
      </c>
      <c r="C149" s="69">
        <v>21.759999999999881</v>
      </c>
      <c r="D149" s="69">
        <v>25.290000000000042</v>
      </c>
      <c r="E149" s="69">
        <v>28.819999999999812</v>
      </c>
      <c r="F149" s="69">
        <v>32.35000000000008</v>
      </c>
      <c r="G149" s="69">
        <v>35.879999999999875</v>
      </c>
      <c r="H149" s="69">
        <v>-3.4099999999999926</v>
      </c>
      <c r="I149" s="69">
        <v>-0.94000000000000206</v>
      </c>
      <c r="J149" s="69">
        <v>1.5300000000000209</v>
      </c>
    </row>
    <row r="150" spans="1:10" x14ac:dyDescent="0.25">
      <c r="A150" s="44">
        <v>0.51388888888888895</v>
      </c>
      <c r="B150" s="69">
        <v>18.319999999999979</v>
      </c>
      <c r="C150" s="69">
        <v>21.839999999999879</v>
      </c>
      <c r="D150" s="69">
        <v>25.360000000000042</v>
      </c>
      <c r="E150" s="69">
        <v>28.879999999999811</v>
      </c>
      <c r="F150" s="69">
        <v>32.400000000000077</v>
      </c>
      <c r="G150" s="69">
        <v>35.919999999999874</v>
      </c>
      <c r="H150" s="69">
        <v>-3.4399999999999924</v>
      </c>
      <c r="I150" s="69">
        <v>-0.96000000000000207</v>
      </c>
      <c r="J150" s="69">
        <v>1.5200000000000209</v>
      </c>
    </row>
    <row r="151" spans="1:10" x14ac:dyDescent="0.25">
      <c r="A151" s="44">
        <v>0.51736111111111105</v>
      </c>
      <c r="B151" s="69">
        <v>18.409999999999979</v>
      </c>
      <c r="C151" s="69">
        <v>21.919999999999877</v>
      </c>
      <c r="D151" s="69">
        <v>25.430000000000042</v>
      </c>
      <c r="E151" s="69">
        <v>28.939999999999809</v>
      </c>
      <c r="F151" s="69">
        <v>32.450000000000074</v>
      </c>
      <c r="G151" s="69">
        <v>35.959999999999873</v>
      </c>
      <c r="H151" s="69">
        <v>-3.4699999999999922</v>
      </c>
      <c r="I151" s="69">
        <v>-0.98000000000000209</v>
      </c>
      <c r="J151" s="69">
        <v>1.5100000000000209</v>
      </c>
    </row>
    <row r="152" spans="1:10" x14ac:dyDescent="0.25">
      <c r="A152" s="44">
        <v>0.52083333333333304</v>
      </c>
      <c r="B152" s="69">
        <v>18.499999999999979</v>
      </c>
      <c r="C152" s="69">
        <v>21.999999999999876</v>
      </c>
      <c r="D152" s="69">
        <v>25.500000000000043</v>
      </c>
      <c r="E152" s="69">
        <v>28.999999999999808</v>
      </c>
      <c r="F152" s="69">
        <v>32.500000000000071</v>
      </c>
      <c r="G152" s="69">
        <v>35.999999999999872</v>
      </c>
      <c r="H152" s="69">
        <v>-3.499999999999992</v>
      </c>
      <c r="I152" s="69">
        <v>-1.000000000000002</v>
      </c>
      <c r="J152" s="69">
        <v>1.5000000000000209</v>
      </c>
    </row>
    <row r="153" spans="1:10" x14ac:dyDescent="0.25">
      <c r="A153" s="44">
        <v>0.52430555555555602</v>
      </c>
      <c r="B153" s="69">
        <v>18.589999999999979</v>
      </c>
      <c r="C153" s="69">
        <v>22.079999999999874</v>
      </c>
      <c r="D153" s="69">
        <v>25.570000000000043</v>
      </c>
      <c r="E153" s="69">
        <v>29.059999999999807</v>
      </c>
      <c r="F153" s="69">
        <v>32.550000000000068</v>
      </c>
      <c r="G153" s="69">
        <v>36.039999999999871</v>
      </c>
      <c r="H153" s="69">
        <v>-3.5299999999999918</v>
      </c>
      <c r="I153" s="69">
        <v>-1.020000000000002</v>
      </c>
      <c r="J153" s="69">
        <v>1.4900000000000209</v>
      </c>
    </row>
    <row r="154" spans="1:10" x14ac:dyDescent="0.25">
      <c r="A154" s="44">
        <v>0.52777777777777801</v>
      </c>
      <c r="B154" s="69">
        <v>18.679999999999978</v>
      </c>
      <c r="C154" s="69">
        <v>22.159999999999872</v>
      </c>
      <c r="D154" s="69">
        <v>25.640000000000043</v>
      </c>
      <c r="E154" s="69">
        <v>29.119999999999806</v>
      </c>
      <c r="F154" s="69">
        <v>32.600000000000065</v>
      </c>
      <c r="G154" s="69">
        <v>36.07999999999987</v>
      </c>
      <c r="H154" s="69">
        <v>-3.5599999999999916</v>
      </c>
      <c r="I154" s="69">
        <v>-1.040000000000002</v>
      </c>
      <c r="J154" s="69">
        <v>1.4800000000000209</v>
      </c>
    </row>
    <row r="155" spans="1:10" x14ac:dyDescent="0.25">
      <c r="A155" s="44">
        <v>0.53125</v>
      </c>
      <c r="B155" s="69">
        <v>18.769999999999978</v>
      </c>
      <c r="C155" s="69">
        <v>22.239999999999871</v>
      </c>
      <c r="D155" s="69">
        <v>25.710000000000043</v>
      </c>
      <c r="E155" s="69">
        <v>29.179999999999804</v>
      </c>
      <c r="F155" s="69">
        <v>32.650000000000063</v>
      </c>
      <c r="G155" s="69">
        <v>36.11999999999987</v>
      </c>
      <c r="H155" s="69">
        <v>-3.5899999999999914</v>
      </c>
      <c r="I155" s="69">
        <v>-1.0600000000000021</v>
      </c>
      <c r="J155" s="69">
        <v>1.4700000000000208</v>
      </c>
    </row>
    <row r="156" spans="1:10" x14ac:dyDescent="0.25">
      <c r="A156" s="44">
        <v>0.53472222222222199</v>
      </c>
      <c r="B156" s="69">
        <v>18.859999999999978</v>
      </c>
      <c r="C156" s="69">
        <v>22.319999999999869</v>
      </c>
      <c r="D156" s="69">
        <v>25.780000000000044</v>
      </c>
      <c r="E156" s="69">
        <v>29.239999999999803</v>
      </c>
      <c r="F156" s="69">
        <v>32.70000000000006</v>
      </c>
      <c r="G156" s="69">
        <v>36.159999999999869</v>
      </c>
      <c r="H156" s="69">
        <v>-3.6199999999999912</v>
      </c>
      <c r="I156" s="69">
        <v>-1.0800000000000021</v>
      </c>
      <c r="J156" s="69">
        <v>1.4600000000000208</v>
      </c>
    </row>
    <row r="157" spans="1:10" x14ac:dyDescent="0.25">
      <c r="A157" s="44">
        <v>0.53819444444444398</v>
      </c>
      <c r="B157" s="69">
        <v>18.949999999999978</v>
      </c>
      <c r="C157" s="69">
        <v>22.399999999999867</v>
      </c>
      <c r="D157" s="69">
        <v>25.850000000000044</v>
      </c>
      <c r="E157" s="69">
        <v>29.299999999999802</v>
      </c>
      <c r="F157" s="69">
        <v>32.750000000000057</v>
      </c>
      <c r="G157" s="69">
        <v>36.199999999999868</v>
      </c>
      <c r="H157" s="69">
        <v>-3.649999999999991</v>
      </c>
      <c r="I157" s="69">
        <v>-1.1000000000000021</v>
      </c>
      <c r="J157" s="69">
        <v>1.4500000000000208</v>
      </c>
    </row>
    <row r="158" spans="1:10" x14ac:dyDescent="0.25">
      <c r="A158" s="44">
        <v>0.54166666666666696</v>
      </c>
      <c r="B158" s="69">
        <v>19.039999999999978</v>
      </c>
      <c r="C158" s="69">
        <v>22.479999999999865</v>
      </c>
      <c r="D158" s="69">
        <v>25.920000000000044</v>
      </c>
      <c r="E158" s="69">
        <v>29.3599999999998</v>
      </c>
      <c r="F158" s="69">
        <v>32.800000000000054</v>
      </c>
      <c r="G158" s="69">
        <v>36.239999999999867</v>
      </c>
      <c r="H158" s="69">
        <v>-3.6799999999999908</v>
      </c>
      <c r="I158" s="69">
        <v>-1.1200000000000021</v>
      </c>
      <c r="J158" s="69">
        <v>1.4400000000000208</v>
      </c>
    </row>
    <row r="159" spans="1:10" x14ac:dyDescent="0.25">
      <c r="A159" s="44">
        <v>0.54513888888888895</v>
      </c>
      <c r="B159" s="69">
        <v>19.129999999999978</v>
      </c>
      <c r="C159" s="69">
        <v>22.559999999999864</v>
      </c>
      <c r="D159" s="69">
        <v>25.990000000000045</v>
      </c>
      <c r="E159" s="69">
        <v>29.419999999999799</v>
      </c>
      <c r="F159" s="69">
        <v>32.850000000000051</v>
      </c>
      <c r="G159" s="69">
        <v>36.279999999999866</v>
      </c>
      <c r="H159" s="69">
        <v>-3.7099999999999906</v>
      </c>
      <c r="I159" s="69">
        <v>-1.1400000000000021</v>
      </c>
      <c r="J159" s="69">
        <v>1.4300000000000208</v>
      </c>
    </row>
    <row r="160" spans="1:10" x14ac:dyDescent="0.25">
      <c r="A160" s="44">
        <v>0.54861111111111105</v>
      </c>
      <c r="B160" s="69">
        <v>19.219999999999978</v>
      </c>
      <c r="C160" s="69">
        <v>22.639999999999862</v>
      </c>
      <c r="D160" s="69">
        <v>26.060000000000045</v>
      </c>
      <c r="E160" s="69">
        <v>29.479999999999798</v>
      </c>
      <c r="F160" s="69">
        <v>32.900000000000048</v>
      </c>
      <c r="G160" s="69">
        <v>36.319999999999865</v>
      </c>
      <c r="H160" s="69">
        <v>-3.7399999999999904</v>
      </c>
      <c r="I160" s="69">
        <v>-1.1600000000000021</v>
      </c>
      <c r="J160" s="69">
        <v>1.4200000000000208</v>
      </c>
    </row>
    <row r="161" spans="1:10" x14ac:dyDescent="0.25">
      <c r="A161" s="44">
        <v>0.55208333333333304</v>
      </c>
      <c r="B161" s="69">
        <v>19.309999999999977</v>
      </c>
      <c r="C161" s="69">
        <v>22.71999999999986</v>
      </c>
      <c r="D161" s="69">
        <v>26.130000000000045</v>
      </c>
      <c r="E161" s="69">
        <v>29.539999999999797</v>
      </c>
      <c r="F161" s="69">
        <v>32.950000000000045</v>
      </c>
      <c r="G161" s="69">
        <v>36.359999999999864</v>
      </c>
      <c r="H161" s="69">
        <v>-3.7699999999999902</v>
      </c>
      <c r="I161" s="69">
        <v>-1.1800000000000022</v>
      </c>
      <c r="J161" s="69">
        <v>1.4100000000000208</v>
      </c>
    </row>
    <row r="162" spans="1:10" x14ac:dyDescent="0.25">
      <c r="A162" s="44">
        <v>0.55555555555555602</v>
      </c>
      <c r="B162" s="69">
        <v>19.399999999999977</v>
      </c>
      <c r="C162" s="69">
        <v>22.799999999999859</v>
      </c>
      <c r="D162" s="69">
        <v>26.200000000000045</v>
      </c>
      <c r="E162" s="69">
        <v>29.599999999999795</v>
      </c>
      <c r="F162" s="69">
        <v>33.000000000000043</v>
      </c>
      <c r="G162" s="69">
        <v>36.399999999999864</v>
      </c>
      <c r="H162" s="69">
        <v>-3.7999999999999901</v>
      </c>
      <c r="I162" s="69">
        <v>-1.2000000000000022</v>
      </c>
      <c r="J162" s="69">
        <v>1.4000000000000208</v>
      </c>
    </row>
    <row r="163" spans="1:10" x14ac:dyDescent="0.25">
      <c r="A163" s="44">
        <v>0.55902777777777801</v>
      </c>
      <c r="B163" s="69">
        <v>19.489999999999977</v>
      </c>
      <c r="C163" s="69">
        <v>22.879999999999857</v>
      </c>
      <c r="D163" s="69">
        <v>26.270000000000046</v>
      </c>
      <c r="E163" s="69">
        <v>29.659999999999794</v>
      </c>
      <c r="F163" s="69">
        <v>33.05000000000004</v>
      </c>
      <c r="G163" s="69">
        <v>36.439999999999863</v>
      </c>
      <c r="H163" s="69">
        <v>-3.8299999999999899</v>
      </c>
      <c r="I163" s="69">
        <v>-1.2200000000000022</v>
      </c>
      <c r="J163" s="69">
        <v>1.3900000000000208</v>
      </c>
    </row>
    <row r="164" spans="1:10" x14ac:dyDescent="0.25">
      <c r="A164" s="44">
        <v>0.5625</v>
      </c>
      <c r="B164" s="69">
        <v>19.579999999999977</v>
      </c>
      <c r="C164" s="69">
        <v>22.959999999999855</v>
      </c>
      <c r="D164" s="69">
        <v>26.340000000000046</v>
      </c>
      <c r="E164" s="69">
        <v>29.719999999999793</v>
      </c>
      <c r="F164" s="69">
        <v>33.100000000000037</v>
      </c>
      <c r="G164" s="69">
        <v>36.479999999999862</v>
      </c>
      <c r="H164" s="69">
        <v>-3.8599999999999897</v>
      </c>
      <c r="I164" s="69">
        <v>-1.2400000000000022</v>
      </c>
      <c r="J164" s="69">
        <v>1.3800000000000208</v>
      </c>
    </row>
    <row r="165" spans="1:10" x14ac:dyDescent="0.25">
      <c r="A165" s="44">
        <v>0.56597222222222199</v>
      </c>
      <c r="B165" s="69">
        <v>19.669999999999977</v>
      </c>
      <c r="C165" s="69">
        <v>23.039999999999853</v>
      </c>
      <c r="D165" s="69">
        <v>26.410000000000046</v>
      </c>
      <c r="E165" s="69">
        <v>29.779999999999792</v>
      </c>
      <c r="F165" s="69">
        <v>33.150000000000034</v>
      </c>
      <c r="G165" s="69">
        <v>36.519999999999861</v>
      </c>
      <c r="H165" s="69">
        <v>-3.8899999999999895</v>
      </c>
      <c r="I165" s="69">
        <v>-1.2600000000000022</v>
      </c>
      <c r="J165" s="69">
        <v>1.3700000000000208</v>
      </c>
    </row>
    <row r="166" spans="1:10" x14ac:dyDescent="0.25">
      <c r="A166" s="44">
        <v>0.56944444444444398</v>
      </c>
      <c r="B166" s="69">
        <v>19.759999999999977</v>
      </c>
      <c r="C166" s="69">
        <v>23.119999999999852</v>
      </c>
      <c r="D166" s="69">
        <v>26.480000000000047</v>
      </c>
      <c r="E166" s="69">
        <v>29.83999999999979</v>
      </c>
      <c r="F166" s="69">
        <v>33.200000000000031</v>
      </c>
      <c r="G166" s="69">
        <v>36.55999999999986</v>
      </c>
      <c r="H166" s="69">
        <v>-3.9199999999999893</v>
      </c>
      <c r="I166" s="69">
        <v>-1.2800000000000022</v>
      </c>
      <c r="J166" s="69">
        <v>1.3600000000000207</v>
      </c>
    </row>
    <row r="167" spans="1:10" x14ac:dyDescent="0.25">
      <c r="A167" s="44">
        <v>0.57291666666666696</v>
      </c>
      <c r="B167" s="69">
        <v>19.849999999999977</v>
      </c>
      <c r="C167" s="69">
        <v>23.19999999999985</v>
      </c>
      <c r="D167" s="69">
        <v>26.550000000000047</v>
      </c>
      <c r="E167" s="69">
        <v>29.899999999999789</v>
      </c>
      <c r="F167" s="69">
        <v>33.250000000000028</v>
      </c>
      <c r="G167" s="69">
        <v>36.599999999999859</v>
      </c>
      <c r="H167" s="69">
        <v>-3.9499999999999891</v>
      </c>
      <c r="I167" s="69">
        <v>-1.3000000000000023</v>
      </c>
      <c r="J167" s="69">
        <v>1.3500000000000207</v>
      </c>
    </row>
    <row r="168" spans="1:10" x14ac:dyDescent="0.25">
      <c r="A168" s="44">
        <v>0.57638888888888895</v>
      </c>
      <c r="B168" s="69">
        <v>19.939999999999976</v>
      </c>
      <c r="C168" s="69">
        <v>23.279999999999848</v>
      </c>
      <c r="D168" s="69">
        <v>26.620000000000047</v>
      </c>
      <c r="E168" s="69">
        <v>29.959999999999788</v>
      </c>
      <c r="F168" s="69">
        <v>33.300000000000026</v>
      </c>
      <c r="G168" s="69">
        <v>36.639999999999858</v>
      </c>
      <c r="H168" s="69">
        <v>-3.9799999999999889</v>
      </c>
      <c r="I168" s="69">
        <v>-1.3200000000000023</v>
      </c>
      <c r="J168" s="69">
        <v>1.3400000000000207</v>
      </c>
    </row>
    <row r="169" spans="1:10" x14ac:dyDescent="0.25">
      <c r="A169" s="44">
        <v>0.57986111111111105</v>
      </c>
      <c r="B169" s="69">
        <v>20.029999999999976</v>
      </c>
      <c r="C169" s="69">
        <v>23.359999999999847</v>
      </c>
      <c r="D169" s="69">
        <v>26.690000000000047</v>
      </c>
      <c r="E169" s="69">
        <v>30.019999999999786</v>
      </c>
      <c r="F169" s="69">
        <v>33.350000000000023</v>
      </c>
      <c r="G169" s="69">
        <v>36.679999999999858</v>
      </c>
      <c r="H169" s="69">
        <v>-4.0099999999999891</v>
      </c>
      <c r="I169" s="69">
        <v>-1.3400000000000023</v>
      </c>
      <c r="J169" s="69">
        <v>1.3300000000000207</v>
      </c>
    </row>
    <row r="170" spans="1:10" x14ac:dyDescent="0.25">
      <c r="A170" s="44">
        <v>0.58333333333333304</v>
      </c>
      <c r="B170" s="69">
        <v>20.119999999999976</v>
      </c>
      <c r="C170" s="69">
        <v>23.439999999999845</v>
      </c>
      <c r="D170" s="69">
        <v>26.760000000000048</v>
      </c>
      <c r="E170" s="69">
        <v>30.079999999999785</v>
      </c>
      <c r="F170" s="69">
        <v>33.40000000000002</v>
      </c>
      <c r="G170" s="69">
        <v>36.719999999999857</v>
      </c>
      <c r="H170" s="69">
        <v>-4.0399999999999894</v>
      </c>
      <c r="I170" s="69">
        <v>-1.3600000000000023</v>
      </c>
      <c r="J170" s="69">
        <v>1.3200000000000207</v>
      </c>
    </row>
    <row r="171" spans="1:10" x14ac:dyDescent="0.25">
      <c r="A171" s="44">
        <v>0.58680555555555503</v>
      </c>
      <c r="B171" s="69">
        <v>20.209999999999976</v>
      </c>
      <c r="C171" s="69">
        <v>23.519999999999843</v>
      </c>
      <c r="D171" s="69">
        <v>26.830000000000048</v>
      </c>
      <c r="E171" s="69">
        <v>30.139999999999784</v>
      </c>
      <c r="F171" s="69">
        <v>33.450000000000017</v>
      </c>
      <c r="G171" s="69">
        <v>36.759999999999856</v>
      </c>
      <c r="H171" s="69">
        <v>-4.0699999999999896</v>
      </c>
      <c r="I171" s="69">
        <v>-1.3800000000000023</v>
      </c>
      <c r="J171" s="69">
        <v>1.3100000000000207</v>
      </c>
    </row>
    <row r="172" spans="1:10" x14ac:dyDescent="0.25">
      <c r="A172" s="44">
        <v>0.59027777777777801</v>
      </c>
      <c r="B172" s="69">
        <v>20.299999999999976</v>
      </c>
      <c r="C172" s="69">
        <v>23.599999999999842</v>
      </c>
      <c r="D172" s="69">
        <v>26.900000000000048</v>
      </c>
      <c r="E172" s="69">
        <v>30.199999999999783</v>
      </c>
      <c r="F172" s="69">
        <v>33.500000000000014</v>
      </c>
      <c r="G172" s="69">
        <v>36.799999999999855</v>
      </c>
      <c r="H172" s="69">
        <v>-4.0999999999999899</v>
      </c>
      <c r="I172" s="69">
        <v>-1.4000000000000024</v>
      </c>
      <c r="J172" s="69">
        <v>1.3000000000000207</v>
      </c>
    </row>
    <row r="173" spans="1:10" x14ac:dyDescent="0.25">
      <c r="A173" s="44">
        <v>0.59375</v>
      </c>
      <c r="B173" s="69">
        <v>20.389999999999976</v>
      </c>
      <c r="C173" s="69">
        <v>23.67999999999984</v>
      </c>
      <c r="D173" s="69">
        <v>26.970000000000049</v>
      </c>
      <c r="E173" s="69">
        <v>30.259999999999781</v>
      </c>
      <c r="F173" s="69">
        <v>33.550000000000011</v>
      </c>
      <c r="G173" s="69">
        <v>36.839999999999854</v>
      </c>
      <c r="H173" s="69">
        <v>-4.1299999999999901</v>
      </c>
      <c r="I173" s="69">
        <v>-1.4200000000000024</v>
      </c>
      <c r="J173" s="69">
        <v>1.2900000000000207</v>
      </c>
    </row>
    <row r="174" spans="1:10" x14ac:dyDescent="0.25">
      <c r="A174" s="44">
        <v>0.59722222222222199</v>
      </c>
      <c r="B174" s="69">
        <v>20.479999999999976</v>
      </c>
      <c r="C174" s="69">
        <v>23.759999999999838</v>
      </c>
      <c r="D174" s="69">
        <v>27.040000000000049</v>
      </c>
      <c r="E174" s="69">
        <v>30.31999999999978</v>
      </c>
      <c r="F174" s="69">
        <v>33.600000000000009</v>
      </c>
      <c r="G174" s="69">
        <v>36.879999999999853</v>
      </c>
      <c r="H174" s="69">
        <v>-4.1599999999999904</v>
      </c>
      <c r="I174" s="69">
        <v>-1.4400000000000024</v>
      </c>
      <c r="J174" s="69">
        <v>1.2800000000000207</v>
      </c>
    </row>
    <row r="175" spans="1:10" x14ac:dyDescent="0.25">
      <c r="A175" s="44">
        <v>0.60069444444444398</v>
      </c>
      <c r="B175" s="69">
        <v>20.569999999999975</v>
      </c>
      <c r="C175" s="69">
        <v>23.839999999999836</v>
      </c>
      <c r="D175" s="69">
        <v>27.110000000000049</v>
      </c>
      <c r="E175" s="69">
        <v>30.379999999999779</v>
      </c>
      <c r="F175" s="69">
        <v>33.650000000000006</v>
      </c>
      <c r="G175" s="69">
        <v>36.919999999999852</v>
      </c>
      <c r="H175" s="69">
        <v>-4.1899999999999906</v>
      </c>
      <c r="I175" s="69">
        <v>-1.4600000000000024</v>
      </c>
      <c r="J175" s="69">
        <v>1.2700000000000207</v>
      </c>
    </row>
    <row r="176" spans="1:10" x14ac:dyDescent="0.25">
      <c r="A176" s="44">
        <v>0.60416666666666696</v>
      </c>
      <c r="B176" s="69">
        <v>20.659999999999975</v>
      </c>
      <c r="C176" s="69">
        <v>23.919999999999835</v>
      </c>
      <c r="D176" s="69">
        <v>27.180000000000049</v>
      </c>
      <c r="E176" s="69">
        <v>30.439999999999777</v>
      </c>
      <c r="F176" s="69">
        <v>33.700000000000003</v>
      </c>
      <c r="G176" s="69">
        <v>36.959999999999852</v>
      </c>
      <c r="H176" s="69">
        <v>-4.2199999999999909</v>
      </c>
      <c r="I176" s="69">
        <v>-1.4800000000000024</v>
      </c>
      <c r="J176" s="69">
        <v>1.2600000000000207</v>
      </c>
    </row>
    <row r="177" spans="1:10" x14ac:dyDescent="0.25">
      <c r="A177" s="44">
        <v>0.60763888888888895</v>
      </c>
      <c r="B177" s="69">
        <v>20.749999999999975</v>
      </c>
      <c r="C177" s="69">
        <v>23.999999999999833</v>
      </c>
      <c r="D177" s="69">
        <v>27.25000000000005</v>
      </c>
      <c r="E177" s="69">
        <v>30.499999999999776</v>
      </c>
      <c r="F177" s="69">
        <v>33.75</v>
      </c>
      <c r="G177" s="69">
        <v>36.999999999999851</v>
      </c>
      <c r="H177" s="69">
        <v>-4.2499999999999911</v>
      </c>
      <c r="I177" s="69">
        <v>-1.5000000000000024</v>
      </c>
      <c r="J177" s="69">
        <v>1.2500000000000207</v>
      </c>
    </row>
    <row r="178" spans="1:10" x14ac:dyDescent="0.25">
      <c r="A178" s="44">
        <v>0.61111111111111105</v>
      </c>
      <c r="B178" s="69">
        <v>20.839999999999975</v>
      </c>
      <c r="C178" s="69">
        <v>24.079999999999831</v>
      </c>
      <c r="D178" s="69">
        <v>27.32000000000005</v>
      </c>
      <c r="E178" s="69">
        <v>30.559999999999775</v>
      </c>
      <c r="F178" s="69">
        <v>33.799999999999997</v>
      </c>
      <c r="G178" s="69">
        <v>37.03999999999985</v>
      </c>
      <c r="H178" s="69">
        <v>-4.2799999999999914</v>
      </c>
      <c r="I178" s="69">
        <v>-1.5200000000000025</v>
      </c>
      <c r="J178" s="69">
        <v>1.2400000000000206</v>
      </c>
    </row>
    <row r="179" spans="1:10" x14ac:dyDescent="0.25">
      <c r="A179" s="44">
        <v>0.61458333333333304</v>
      </c>
      <c r="B179" s="69">
        <v>20.929999999999975</v>
      </c>
      <c r="C179" s="69">
        <v>24.15999999999983</v>
      </c>
      <c r="D179" s="69">
        <v>27.39000000000005</v>
      </c>
      <c r="E179" s="69">
        <v>30.619999999999774</v>
      </c>
      <c r="F179" s="69">
        <v>33.849999999999994</v>
      </c>
      <c r="G179" s="69">
        <v>37.079999999999849</v>
      </c>
      <c r="H179" s="69">
        <v>-4.3099999999999916</v>
      </c>
      <c r="I179" s="69">
        <v>-1.5400000000000025</v>
      </c>
      <c r="J179" s="69">
        <v>1.2300000000000206</v>
      </c>
    </row>
    <row r="180" spans="1:10" x14ac:dyDescent="0.25">
      <c r="A180" s="44">
        <v>0.61805555555555503</v>
      </c>
      <c r="B180" s="69">
        <v>21.019999999999975</v>
      </c>
      <c r="C180" s="69">
        <v>24.239999999999828</v>
      </c>
      <c r="D180" s="69">
        <v>27.460000000000051</v>
      </c>
      <c r="E180" s="69">
        <v>30.679999999999772</v>
      </c>
      <c r="F180" s="69">
        <v>33.899999999999991</v>
      </c>
      <c r="G180" s="69">
        <v>37.119999999999848</v>
      </c>
      <c r="H180" s="69">
        <v>-4.3399999999999919</v>
      </c>
      <c r="I180" s="69">
        <v>-1.5600000000000025</v>
      </c>
      <c r="J180" s="69">
        <v>1.2200000000000206</v>
      </c>
    </row>
    <row r="181" spans="1:10" x14ac:dyDescent="0.25">
      <c r="A181" s="44">
        <v>0.62152777777777801</v>
      </c>
      <c r="B181" s="69">
        <v>21.109999999999975</v>
      </c>
      <c r="C181" s="69">
        <v>24.319999999999826</v>
      </c>
      <c r="D181" s="69">
        <v>27.530000000000051</v>
      </c>
      <c r="E181" s="69">
        <v>30.739999999999771</v>
      </c>
      <c r="F181" s="69">
        <v>33.949999999999989</v>
      </c>
      <c r="G181" s="69">
        <v>37.159999999999847</v>
      </c>
      <c r="H181" s="69">
        <v>-4.3699999999999921</v>
      </c>
      <c r="I181" s="69">
        <v>-1.5800000000000025</v>
      </c>
      <c r="J181" s="69">
        <v>1.2100000000000206</v>
      </c>
    </row>
    <row r="182" spans="1:10" x14ac:dyDescent="0.25">
      <c r="A182" s="44">
        <v>0.625</v>
      </c>
      <c r="B182" s="69">
        <v>21.199999999999974</v>
      </c>
      <c r="C182" s="69">
        <v>24.399999999999824</v>
      </c>
      <c r="D182" s="69">
        <v>27.600000000000051</v>
      </c>
      <c r="E182" s="69">
        <v>30.79999999999977</v>
      </c>
      <c r="F182" s="69">
        <v>33.999999999999986</v>
      </c>
      <c r="G182" s="69">
        <v>37.199999999999847</v>
      </c>
      <c r="H182" s="69">
        <v>-4.3999999999999924</v>
      </c>
      <c r="I182" s="69">
        <v>-1.6000000000000025</v>
      </c>
      <c r="J182" s="69">
        <v>1.2000000000000206</v>
      </c>
    </row>
    <row r="183" spans="1:10" x14ac:dyDescent="0.25">
      <c r="A183" s="44">
        <v>0.62847222222222199</v>
      </c>
      <c r="B183" s="69">
        <v>21.289999999999974</v>
      </c>
      <c r="C183" s="69">
        <v>24.479999999999823</v>
      </c>
      <c r="D183" s="69">
        <v>27.670000000000051</v>
      </c>
      <c r="E183" s="69">
        <v>30.859999999999769</v>
      </c>
      <c r="F183" s="69">
        <v>34.049999999999983</v>
      </c>
      <c r="G183" s="69">
        <v>37.239999999999846</v>
      </c>
      <c r="H183" s="69">
        <v>-4.4299999999999926</v>
      </c>
      <c r="I183" s="69">
        <v>-1.6200000000000025</v>
      </c>
      <c r="J183" s="69">
        <v>1.1900000000000206</v>
      </c>
    </row>
    <row r="184" spans="1:10" x14ac:dyDescent="0.25">
      <c r="A184" s="44">
        <v>0.63194444444444398</v>
      </c>
      <c r="B184" s="69">
        <v>21.379999999999974</v>
      </c>
      <c r="C184" s="69">
        <v>24.559999999999821</v>
      </c>
      <c r="D184" s="69">
        <v>27.740000000000052</v>
      </c>
      <c r="E184" s="69">
        <v>30.919999999999767</v>
      </c>
      <c r="F184" s="69">
        <v>34.09999999999998</v>
      </c>
      <c r="G184" s="69">
        <v>37.279999999999845</v>
      </c>
      <c r="H184" s="69">
        <v>-4.4599999999999929</v>
      </c>
      <c r="I184" s="69">
        <v>-1.6400000000000026</v>
      </c>
      <c r="J184" s="69">
        <v>1.1800000000000206</v>
      </c>
    </row>
    <row r="185" spans="1:10" x14ac:dyDescent="0.25">
      <c r="A185" s="44">
        <v>0.63541666666666696</v>
      </c>
      <c r="B185" s="69">
        <v>21.469999999999974</v>
      </c>
      <c r="C185" s="69">
        <v>24.639999999999819</v>
      </c>
      <c r="D185" s="69">
        <v>27.810000000000052</v>
      </c>
      <c r="E185" s="69">
        <v>30.979999999999766</v>
      </c>
      <c r="F185" s="69">
        <v>34.149999999999977</v>
      </c>
      <c r="G185" s="69">
        <v>37.319999999999844</v>
      </c>
      <c r="H185" s="69">
        <v>-4.4899999999999931</v>
      </c>
      <c r="I185" s="69">
        <v>-1.6600000000000026</v>
      </c>
      <c r="J185" s="69">
        <v>1.1700000000000206</v>
      </c>
    </row>
    <row r="186" spans="1:10" x14ac:dyDescent="0.25">
      <c r="A186" s="44">
        <v>0.63888888888888895</v>
      </c>
      <c r="B186" s="69">
        <v>21.559999999999974</v>
      </c>
      <c r="C186" s="69">
        <v>24.719999999999818</v>
      </c>
      <c r="D186" s="69">
        <v>27.880000000000052</v>
      </c>
      <c r="E186" s="69">
        <v>31.039999999999765</v>
      </c>
      <c r="F186" s="69">
        <v>34.199999999999974</v>
      </c>
      <c r="G186" s="69">
        <v>37.359999999999843</v>
      </c>
      <c r="H186" s="69">
        <v>-4.5199999999999934</v>
      </c>
      <c r="I186" s="69">
        <v>-1.6800000000000026</v>
      </c>
      <c r="J186" s="69">
        <v>1.1600000000000206</v>
      </c>
    </row>
    <row r="187" spans="1:10" x14ac:dyDescent="0.25">
      <c r="A187" s="44">
        <v>0.64236111111111105</v>
      </c>
      <c r="B187" s="69">
        <v>21.649999999999974</v>
      </c>
      <c r="C187" s="69">
        <v>24.799999999999816</v>
      </c>
      <c r="D187" s="69">
        <v>27.950000000000053</v>
      </c>
      <c r="E187" s="69">
        <v>31.099999999999763</v>
      </c>
      <c r="F187" s="69">
        <v>34.249999999999972</v>
      </c>
      <c r="G187" s="69">
        <v>37.399999999999842</v>
      </c>
      <c r="H187" s="69">
        <v>-4.5499999999999936</v>
      </c>
      <c r="I187" s="69">
        <v>-1.7000000000000026</v>
      </c>
      <c r="J187" s="69">
        <v>1.1500000000000206</v>
      </c>
    </row>
    <row r="188" spans="1:10" x14ac:dyDescent="0.25">
      <c r="A188" s="44">
        <v>0.64583333333333304</v>
      </c>
      <c r="B188" s="69">
        <v>21.739999999999974</v>
      </c>
      <c r="C188" s="69">
        <v>24.879999999999814</v>
      </c>
      <c r="D188" s="69">
        <v>28.020000000000053</v>
      </c>
      <c r="E188" s="69">
        <v>31.159999999999762</v>
      </c>
      <c r="F188" s="69">
        <v>34.299999999999969</v>
      </c>
      <c r="G188" s="69">
        <v>37.439999999999841</v>
      </c>
      <c r="H188" s="69">
        <v>-4.5799999999999939</v>
      </c>
      <c r="I188" s="69">
        <v>-1.7200000000000026</v>
      </c>
      <c r="J188" s="69">
        <v>1.1400000000000206</v>
      </c>
    </row>
    <row r="189" spans="1:10" x14ac:dyDescent="0.25">
      <c r="A189" s="44">
        <v>0.64930555555555503</v>
      </c>
      <c r="B189" s="69">
        <v>21.829999999999973</v>
      </c>
      <c r="C189" s="69">
        <v>24.959999999999813</v>
      </c>
      <c r="D189" s="69">
        <v>28.090000000000053</v>
      </c>
      <c r="E189" s="69">
        <v>31.219999999999761</v>
      </c>
      <c r="F189" s="69">
        <v>34.349999999999966</v>
      </c>
      <c r="G189" s="69">
        <v>37.479999999999841</v>
      </c>
      <c r="H189" s="69">
        <v>-4.6099999999999941</v>
      </c>
      <c r="I189" s="69">
        <v>-1.7400000000000027</v>
      </c>
      <c r="J189" s="69">
        <v>1.1300000000000205</v>
      </c>
    </row>
    <row r="190" spans="1:10" x14ac:dyDescent="0.25">
      <c r="A190" s="44">
        <v>0.65277777777777801</v>
      </c>
      <c r="B190" s="69">
        <v>21.919999999999973</v>
      </c>
      <c r="C190" s="69">
        <v>25.039999999999811</v>
      </c>
      <c r="D190" s="69">
        <v>28.160000000000053</v>
      </c>
      <c r="E190" s="69">
        <v>31.27999999999976</v>
      </c>
      <c r="F190" s="69">
        <v>34.399999999999963</v>
      </c>
      <c r="G190" s="69">
        <v>37.51999999999984</v>
      </c>
      <c r="H190" s="69">
        <v>-4.6399999999999944</v>
      </c>
      <c r="I190" s="69">
        <v>-1.7600000000000027</v>
      </c>
      <c r="J190" s="69">
        <v>1.1200000000000205</v>
      </c>
    </row>
    <row r="191" spans="1:10" x14ac:dyDescent="0.25">
      <c r="A191" s="44">
        <v>0.65625</v>
      </c>
      <c r="B191" s="69">
        <v>22.009999999999973</v>
      </c>
      <c r="C191" s="69">
        <v>25.119999999999809</v>
      </c>
      <c r="D191" s="69">
        <v>28.230000000000054</v>
      </c>
      <c r="E191" s="69">
        <v>31.339999999999758</v>
      </c>
      <c r="F191" s="69">
        <v>34.44999999999996</v>
      </c>
      <c r="G191" s="69">
        <v>37.559999999999839</v>
      </c>
      <c r="H191" s="69">
        <v>-4.6699999999999946</v>
      </c>
      <c r="I191" s="69">
        <v>-1.7800000000000027</v>
      </c>
      <c r="J191" s="69">
        <v>1.1100000000000205</v>
      </c>
    </row>
    <row r="192" spans="1:10" x14ac:dyDescent="0.25">
      <c r="A192" s="44">
        <v>0.65972222222222199</v>
      </c>
      <c r="B192" s="69">
        <v>22.099999999999973</v>
      </c>
      <c r="C192" s="69">
        <v>25.199999999999807</v>
      </c>
      <c r="D192" s="69">
        <v>28.300000000000054</v>
      </c>
      <c r="E192" s="69">
        <v>31.399999999999757</v>
      </c>
      <c r="F192" s="69">
        <v>34.499999999999957</v>
      </c>
      <c r="G192" s="69">
        <v>37.599999999999838</v>
      </c>
      <c r="H192" s="69">
        <v>-4.6999999999999948</v>
      </c>
      <c r="I192" s="69">
        <v>-1.8000000000000027</v>
      </c>
      <c r="J192" s="69">
        <v>1.1000000000000205</v>
      </c>
    </row>
    <row r="193" spans="1:10" x14ac:dyDescent="0.25">
      <c r="A193" s="44">
        <v>0.66319444444444398</v>
      </c>
      <c r="B193" s="69">
        <v>22.189999999999973</v>
      </c>
      <c r="C193" s="69">
        <v>25.279999999999806</v>
      </c>
      <c r="D193" s="69">
        <v>28.370000000000054</v>
      </c>
      <c r="E193" s="69">
        <v>31.459999999999756</v>
      </c>
      <c r="F193" s="69">
        <v>34.549999999999955</v>
      </c>
      <c r="G193" s="69">
        <v>37.639999999999837</v>
      </c>
      <c r="H193" s="69">
        <v>-4.7299999999999951</v>
      </c>
      <c r="I193" s="69">
        <v>-1.8200000000000027</v>
      </c>
      <c r="J193" s="69">
        <v>1.0900000000000205</v>
      </c>
    </row>
    <row r="194" spans="1:10" x14ac:dyDescent="0.25">
      <c r="A194" s="44">
        <v>0.66666666666666696</v>
      </c>
      <c r="B194" s="69">
        <v>22.279999999999973</v>
      </c>
      <c r="C194" s="69">
        <v>25.359999999999804</v>
      </c>
      <c r="D194" s="69">
        <v>28.440000000000055</v>
      </c>
      <c r="E194" s="69">
        <v>31.519999999999754</v>
      </c>
      <c r="F194" s="69">
        <v>34.599999999999952</v>
      </c>
      <c r="G194" s="69">
        <v>37.679999999999836</v>
      </c>
      <c r="H194" s="69">
        <v>-4.7599999999999953</v>
      </c>
      <c r="I194" s="69">
        <v>-1.8400000000000027</v>
      </c>
      <c r="J194" s="69">
        <v>1.0800000000000205</v>
      </c>
    </row>
    <row r="195" spans="1:10" x14ac:dyDescent="0.25">
      <c r="A195" s="44">
        <v>0.67013888888888895</v>
      </c>
      <c r="B195" s="69">
        <v>22.369999999999973</v>
      </c>
      <c r="C195" s="69">
        <v>25.439999999999802</v>
      </c>
      <c r="D195" s="69">
        <v>28.510000000000055</v>
      </c>
      <c r="E195" s="69">
        <v>31.579999999999753</v>
      </c>
      <c r="F195" s="69">
        <v>34.649999999999949</v>
      </c>
      <c r="G195" s="69">
        <v>37.719999999999835</v>
      </c>
      <c r="H195" s="69">
        <v>-4.7899999999999956</v>
      </c>
      <c r="I195" s="69">
        <v>-1.8600000000000028</v>
      </c>
      <c r="J195" s="69">
        <v>1.0700000000000205</v>
      </c>
    </row>
    <row r="196" spans="1:10" x14ac:dyDescent="0.25">
      <c r="A196" s="44">
        <v>0.67361111111111105</v>
      </c>
      <c r="B196" s="69">
        <v>22.459999999999972</v>
      </c>
      <c r="C196" s="69">
        <v>25.519999999999801</v>
      </c>
      <c r="D196" s="69">
        <v>28.580000000000055</v>
      </c>
      <c r="E196" s="69">
        <v>31.639999999999752</v>
      </c>
      <c r="F196" s="69">
        <v>34.699999999999946</v>
      </c>
      <c r="G196" s="69">
        <v>37.759999999999835</v>
      </c>
      <c r="H196" s="69">
        <v>-4.8199999999999958</v>
      </c>
      <c r="I196" s="69">
        <v>-1.8800000000000028</v>
      </c>
      <c r="J196" s="69">
        <v>1.0600000000000205</v>
      </c>
    </row>
    <row r="197" spans="1:10" x14ac:dyDescent="0.25">
      <c r="A197" s="44">
        <v>0.67708333333333304</v>
      </c>
      <c r="B197" s="69">
        <v>22.549999999999972</v>
      </c>
      <c r="C197" s="69">
        <v>25.599999999999799</v>
      </c>
      <c r="D197" s="69">
        <v>28.650000000000055</v>
      </c>
      <c r="E197" s="69">
        <v>31.699999999999751</v>
      </c>
      <c r="F197" s="69">
        <v>34.749999999999943</v>
      </c>
      <c r="G197" s="69">
        <v>37.799999999999834</v>
      </c>
      <c r="H197" s="69">
        <v>-4.8499999999999961</v>
      </c>
      <c r="I197" s="69">
        <v>-1.9000000000000028</v>
      </c>
      <c r="J197" s="69">
        <v>1.0500000000000205</v>
      </c>
    </row>
    <row r="198" spans="1:10" x14ac:dyDescent="0.25">
      <c r="A198" s="44">
        <v>0.68055555555555503</v>
      </c>
      <c r="B198" s="69">
        <v>22.639999999999972</v>
      </c>
      <c r="C198" s="69">
        <v>25.679999999999797</v>
      </c>
      <c r="D198" s="69">
        <v>28.720000000000056</v>
      </c>
      <c r="E198" s="69">
        <v>31.759999999999749</v>
      </c>
      <c r="F198" s="69">
        <v>34.79999999999994</v>
      </c>
      <c r="G198" s="69">
        <v>37.839999999999833</v>
      </c>
      <c r="H198" s="69">
        <v>-4.8799999999999963</v>
      </c>
      <c r="I198" s="69">
        <v>-1.9200000000000028</v>
      </c>
      <c r="J198" s="69">
        <v>1.0400000000000205</v>
      </c>
    </row>
    <row r="199" spans="1:10" x14ac:dyDescent="0.25">
      <c r="A199" s="44">
        <v>0.68402777777777801</v>
      </c>
      <c r="B199" s="69">
        <v>22.729999999999972</v>
      </c>
      <c r="C199" s="69">
        <v>25.759999999999796</v>
      </c>
      <c r="D199" s="69">
        <v>28.790000000000056</v>
      </c>
      <c r="E199" s="69">
        <v>31.819999999999748</v>
      </c>
      <c r="F199" s="69">
        <v>34.849999999999937</v>
      </c>
      <c r="G199" s="69">
        <v>37.879999999999832</v>
      </c>
      <c r="H199" s="69">
        <v>-4.9099999999999966</v>
      </c>
      <c r="I199" s="69">
        <v>-1.9400000000000028</v>
      </c>
      <c r="J199" s="69">
        <v>1.0300000000000205</v>
      </c>
    </row>
    <row r="200" spans="1:10" x14ac:dyDescent="0.25">
      <c r="A200" s="44">
        <v>0.6875</v>
      </c>
      <c r="B200" s="69">
        <v>22.819999999999972</v>
      </c>
      <c r="C200" s="69">
        <v>25.839999999999794</v>
      </c>
      <c r="D200" s="69">
        <v>28.860000000000056</v>
      </c>
      <c r="E200" s="69">
        <v>31.879999999999747</v>
      </c>
      <c r="F200" s="69">
        <v>34.899999999999935</v>
      </c>
      <c r="G200" s="69">
        <v>37.919999999999831</v>
      </c>
      <c r="H200" s="69">
        <v>-4.9399999999999968</v>
      </c>
      <c r="I200" s="69">
        <v>-1.9600000000000029</v>
      </c>
      <c r="J200" s="69">
        <v>1.0200000000000204</v>
      </c>
    </row>
    <row r="201" spans="1:10" x14ac:dyDescent="0.25">
      <c r="A201" s="44">
        <v>0.69097222222222199</v>
      </c>
      <c r="B201" s="69">
        <v>22.909999999999972</v>
      </c>
      <c r="C201" s="69">
        <v>25.919999999999792</v>
      </c>
      <c r="D201" s="69">
        <v>28.930000000000057</v>
      </c>
      <c r="E201" s="69">
        <v>31.939999999999745</v>
      </c>
      <c r="F201" s="69">
        <v>34.949999999999932</v>
      </c>
      <c r="G201" s="69">
        <v>37.95999999999983</v>
      </c>
      <c r="H201" s="69">
        <v>-4.9699999999999971</v>
      </c>
      <c r="I201" s="69">
        <v>-1.9800000000000029</v>
      </c>
      <c r="J201" s="69">
        <v>1.0100000000000204</v>
      </c>
    </row>
    <row r="202" spans="1:10" x14ac:dyDescent="0.25">
      <c r="A202" s="44">
        <v>0.69444444444444398</v>
      </c>
      <c r="B202" s="69">
        <v>22.999999999999972</v>
      </c>
      <c r="C202" s="69">
        <v>25.99999999999979</v>
      </c>
      <c r="D202" s="69">
        <v>29.000000000000057</v>
      </c>
      <c r="E202" s="69">
        <v>31.999999999999744</v>
      </c>
      <c r="F202" s="69">
        <v>34.999999999999929</v>
      </c>
      <c r="G202" s="69">
        <v>37.999999999999829</v>
      </c>
      <c r="H202" s="69">
        <v>-4.9999999999999973</v>
      </c>
      <c r="I202" s="69">
        <v>-2.0000000000000027</v>
      </c>
      <c r="J202" s="69">
        <v>1.0000000000000204</v>
      </c>
    </row>
    <row r="203" spans="1:10" x14ac:dyDescent="0.25">
      <c r="A203" s="44">
        <v>0.69791666666666696</v>
      </c>
      <c r="B203" s="69">
        <v>23.089999999999971</v>
      </c>
      <c r="C203" s="69">
        <v>26.079999999999789</v>
      </c>
      <c r="D203" s="69">
        <v>29.070000000000057</v>
      </c>
      <c r="E203" s="69">
        <v>32.059999999999746</v>
      </c>
      <c r="F203" s="69">
        <v>35.049999999999926</v>
      </c>
      <c r="G203" s="69">
        <v>38.039999999999829</v>
      </c>
      <c r="H203" s="69">
        <v>-5.0299999999999976</v>
      </c>
      <c r="I203" s="69">
        <v>-2.0200000000000027</v>
      </c>
      <c r="J203" s="69">
        <v>0.99000000000002042</v>
      </c>
    </row>
    <row r="204" spans="1:10" x14ac:dyDescent="0.25">
      <c r="A204" s="44">
        <v>0.70138888888888895</v>
      </c>
      <c r="B204" s="69">
        <v>23.179999999999971</v>
      </c>
      <c r="C204" s="69">
        <v>26.159999999999787</v>
      </c>
      <c r="D204" s="69">
        <v>29.140000000000057</v>
      </c>
      <c r="E204" s="69">
        <v>32.119999999999749</v>
      </c>
      <c r="F204" s="69">
        <v>35.099999999999923</v>
      </c>
      <c r="G204" s="69">
        <v>38.079999999999828</v>
      </c>
      <c r="H204" s="69">
        <v>-5.0599999999999978</v>
      </c>
      <c r="I204" s="69">
        <v>-2.0400000000000027</v>
      </c>
      <c r="J204" s="69">
        <v>0.98000000000002041</v>
      </c>
    </row>
    <row r="205" spans="1:10" x14ac:dyDescent="0.25">
      <c r="A205" s="44">
        <v>0.70486111111111105</v>
      </c>
      <c r="B205" s="69">
        <v>23.269999999999971</v>
      </c>
      <c r="C205" s="69">
        <v>26.239999999999785</v>
      </c>
      <c r="D205" s="69">
        <v>29.210000000000058</v>
      </c>
      <c r="E205" s="69">
        <v>32.179999999999751</v>
      </c>
      <c r="F205" s="69">
        <v>35.14999999999992</v>
      </c>
      <c r="G205" s="69">
        <v>38.119999999999827</v>
      </c>
      <c r="H205" s="69">
        <v>-5.0899999999999981</v>
      </c>
      <c r="I205" s="69">
        <v>-2.0600000000000027</v>
      </c>
      <c r="J205" s="69">
        <v>0.9700000000000204</v>
      </c>
    </row>
    <row r="206" spans="1:10" x14ac:dyDescent="0.25">
      <c r="A206" s="44">
        <v>0.70833333333333304</v>
      </c>
      <c r="B206" s="69">
        <v>23.359999999999971</v>
      </c>
      <c r="C206" s="69">
        <v>26.319999999999784</v>
      </c>
      <c r="D206" s="69">
        <v>29.280000000000058</v>
      </c>
      <c r="E206" s="69">
        <v>32.239999999999753</v>
      </c>
      <c r="F206" s="69">
        <v>35.199999999999918</v>
      </c>
      <c r="G206" s="69">
        <v>38.159999999999826</v>
      </c>
      <c r="H206" s="69">
        <v>-5.1199999999999983</v>
      </c>
      <c r="I206" s="69">
        <v>-2.0800000000000027</v>
      </c>
      <c r="J206" s="69">
        <v>0.96000000000002039</v>
      </c>
    </row>
    <row r="207" spans="1:10" x14ac:dyDescent="0.25">
      <c r="A207" s="44">
        <v>0.71180555555555503</v>
      </c>
      <c r="B207" s="69">
        <v>23.449999999999971</v>
      </c>
      <c r="C207" s="69">
        <v>26.399999999999782</v>
      </c>
      <c r="D207" s="69">
        <v>29.350000000000058</v>
      </c>
      <c r="E207" s="69">
        <v>32.299999999999756</v>
      </c>
      <c r="F207" s="69">
        <v>35.249999999999915</v>
      </c>
      <c r="G207" s="69">
        <v>38.199999999999825</v>
      </c>
      <c r="H207" s="69">
        <v>-5.1499999999999986</v>
      </c>
      <c r="I207" s="69">
        <v>-2.1000000000000028</v>
      </c>
      <c r="J207" s="69">
        <v>0.95000000000002038</v>
      </c>
    </row>
    <row r="208" spans="1:10" x14ac:dyDescent="0.25">
      <c r="A208" s="44">
        <v>0.71527777777777801</v>
      </c>
      <c r="B208" s="69">
        <v>23.539999999999971</v>
      </c>
      <c r="C208" s="69">
        <v>26.47999999999978</v>
      </c>
      <c r="D208" s="69">
        <v>29.420000000000059</v>
      </c>
      <c r="E208" s="69">
        <v>32.359999999999758</v>
      </c>
      <c r="F208" s="69">
        <v>35.299999999999912</v>
      </c>
      <c r="G208" s="69">
        <v>38.239999999999824</v>
      </c>
      <c r="H208" s="69">
        <v>-5.1799999999999988</v>
      </c>
      <c r="I208" s="69">
        <v>-2.1200000000000028</v>
      </c>
      <c r="J208" s="69">
        <v>0.94000000000002037</v>
      </c>
    </row>
    <row r="209" spans="1:10" x14ac:dyDescent="0.25">
      <c r="A209" s="44">
        <v>0.71875</v>
      </c>
      <c r="B209" s="69">
        <v>23.629999999999971</v>
      </c>
      <c r="C209" s="69">
        <v>26.559999999999778</v>
      </c>
      <c r="D209" s="69">
        <v>29.490000000000059</v>
      </c>
      <c r="E209" s="69">
        <v>32.41999999999976</v>
      </c>
      <c r="F209" s="69">
        <v>35.349999999999909</v>
      </c>
      <c r="G209" s="69">
        <v>38.279999999999824</v>
      </c>
      <c r="H209" s="69">
        <v>-5.2099999999999991</v>
      </c>
      <c r="I209" s="69">
        <v>-2.1400000000000028</v>
      </c>
      <c r="J209" s="69">
        <v>0.93000000000002037</v>
      </c>
    </row>
    <row r="210" spans="1:10" x14ac:dyDescent="0.25">
      <c r="A210" s="44">
        <v>0.72222222222222199</v>
      </c>
      <c r="B210" s="69">
        <v>23.71999999999997</v>
      </c>
      <c r="C210" s="69">
        <v>26.639999999999777</v>
      </c>
      <c r="D210" s="69">
        <v>29.560000000000059</v>
      </c>
      <c r="E210" s="69">
        <v>32.479999999999762</v>
      </c>
      <c r="F210" s="69">
        <v>35.399999999999906</v>
      </c>
      <c r="G210" s="69">
        <v>38.319999999999823</v>
      </c>
      <c r="H210" s="69">
        <v>-5.2399999999999993</v>
      </c>
      <c r="I210" s="69">
        <v>-2.1600000000000028</v>
      </c>
      <c r="J210" s="69">
        <v>0.92000000000002036</v>
      </c>
    </row>
    <row r="211" spans="1:10" x14ac:dyDescent="0.25">
      <c r="A211" s="44">
        <v>0.72569444444444398</v>
      </c>
      <c r="B211" s="69">
        <v>23.80999999999997</v>
      </c>
      <c r="C211" s="69">
        <v>26.719999999999775</v>
      </c>
      <c r="D211" s="69">
        <v>29.630000000000059</v>
      </c>
      <c r="E211" s="69">
        <v>32.539999999999765</v>
      </c>
      <c r="F211" s="69">
        <v>35.449999999999903</v>
      </c>
      <c r="G211" s="69">
        <v>38.359999999999822</v>
      </c>
      <c r="H211" s="69">
        <v>-5.27</v>
      </c>
      <c r="I211" s="69">
        <v>-2.1800000000000028</v>
      </c>
      <c r="J211" s="69">
        <v>0.91000000000002035</v>
      </c>
    </row>
    <row r="212" spans="1:10" x14ac:dyDescent="0.25">
      <c r="A212" s="44">
        <v>0.72916666666666696</v>
      </c>
      <c r="B212" s="69">
        <v>23.89999999999997</v>
      </c>
      <c r="C212" s="69">
        <v>26.799999999999773</v>
      </c>
      <c r="D212" s="69">
        <v>29.70000000000006</v>
      </c>
      <c r="E212" s="69">
        <v>32.599999999999767</v>
      </c>
      <c r="F212" s="69">
        <v>35.499999999999901</v>
      </c>
      <c r="G212" s="69">
        <v>38.399999999999821</v>
      </c>
      <c r="H212" s="69">
        <v>-5.3</v>
      </c>
      <c r="I212" s="69">
        <v>-2.2000000000000028</v>
      </c>
      <c r="J212" s="69">
        <v>0.90000000000002034</v>
      </c>
    </row>
    <row r="213" spans="1:10" x14ac:dyDescent="0.25">
      <c r="A213" s="44">
        <v>0.73263888888888895</v>
      </c>
      <c r="B213" s="69">
        <v>23.98999999999997</v>
      </c>
      <c r="C213" s="69">
        <v>26.879999999999772</v>
      </c>
      <c r="D213" s="69">
        <v>29.77000000000006</v>
      </c>
      <c r="E213" s="69">
        <v>32.659999999999769</v>
      </c>
      <c r="F213" s="69">
        <v>35.549999999999898</v>
      </c>
      <c r="G213" s="69">
        <v>38.43999999999982</v>
      </c>
      <c r="H213" s="69">
        <v>-5.33</v>
      </c>
      <c r="I213" s="69">
        <v>-2.2200000000000029</v>
      </c>
      <c r="J213" s="69">
        <v>0.89000000000002033</v>
      </c>
    </row>
    <row r="214" spans="1:10" x14ac:dyDescent="0.25">
      <c r="A214" s="44">
        <v>0.73611111111111105</v>
      </c>
      <c r="B214" s="69">
        <v>24.07999999999997</v>
      </c>
      <c r="C214" s="69">
        <v>26.95999999999977</v>
      </c>
      <c r="D214" s="69">
        <v>29.84000000000006</v>
      </c>
      <c r="E214" s="69">
        <v>32.719999999999771</v>
      </c>
      <c r="F214" s="69">
        <v>35.599999999999895</v>
      </c>
      <c r="G214" s="69">
        <v>38.479999999999819</v>
      </c>
      <c r="H214" s="69">
        <v>-5.36</v>
      </c>
      <c r="I214" s="69">
        <v>-2.2400000000000029</v>
      </c>
      <c r="J214" s="69">
        <v>0.88000000000002032</v>
      </c>
    </row>
    <row r="215" spans="1:10" x14ac:dyDescent="0.25">
      <c r="A215" s="44">
        <v>0.73958333333333304</v>
      </c>
      <c r="B215" s="69">
        <v>24.16999999999997</v>
      </c>
      <c r="C215" s="69">
        <v>27.039999999999768</v>
      </c>
      <c r="D215" s="69">
        <v>29.910000000000061</v>
      </c>
      <c r="E215" s="69">
        <v>32.779999999999774</v>
      </c>
      <c r="F215" s="69">
        <v>35.649999999999892</v>
      </c>
      <c r="G215" s="69">
        <v>38.519999999999818</v>
      </c>
      <c r="H215" s="69">
        <v>-5.3900000000000006</v>
      </c>
      <c r="I215" s="69">
        <v>-2.2600000000000029</v>
      </c>
      <c r="J215" s="69">
        <v>0.87000000000002031</v>
      </c>
    </row>
    <row r="216" spans="1:10" x14ac:dyDescent="0.25">
      <c r="A216" s="44">
        <v>0.74305555555555503</v>
      </c>
      <c r="B216" s="69">
        <v>24.25999999999997</v>
      </c>
      <c r="C216" s="69">
        <v>27.119999999999767</v>
      </c>
      <c r="D216" s="69">
        <v>29.980000000000061</v>
      </c>
      <c r="E216" s="69">
        <v>32.839999999999776</v>
      </c>
      <c r="F216" s="69">
        <v>35.699999999999889</v>
      </c>
      <c r="G216" s="69">
        <v>38.559999999999818</v>
      </c>
      <c r="H216" s="69">
        <v>-5.4200000000000008</v>
      </c>
      <c r="I216" s="69">
        <v>-2.2800000000000029</v>
      </c>
      <c r="J216" s="69">
        <v>0.8600000000000203</v>
      </c>
    </row>
    <row r="217" spans="1:10" x14ac:dyDescent="0.25">
      <c r="A217" s="44">
        <v>0.74652777777777801</v>
      </c>
      <c r="B217" s="69">
        <v>24.349999999999969</v>
      </c>
      <c r="C217" s="69">
        <v>27.199999999999765</v>
      </c>
      <c r="D217" s="69">
        <v>30.050000000000061</v>
      </c>
      <c r="E217" s="69">
        <v>32.899999999999778</v>
      </c>
      <c r="F217" s="69">
        <v>35.749999999999886</v>
      </c>
      <c r="G217" s="69">
        <v>38.599999999999817</v>
      </c>
      <c r="H217" s="69">
        <v>-5.4500000000000011</v>
      </c>
      <c r="I217" s="69">
        <v>-2.3000000000000029</v>
      </c>
      <c r="J217" s="69">
        <v>0.85000000000002029</v>
      </c>
    </row>
    <row r="218" spans="1:10" x14ac:dyDescent="0.25">
      <c r="A218" s="44">
        <v>0.75</v>
      </c>
      <c r="B218" s="69">
        <v>24.439999999999969</v>
      </c>
      <c r="C218" s="69">
        <v>27.279999999999763</v>
      </c>
      <c r="D218" s="69">
        <v>30.120000000000061</v>
      </c>
      <c r="E218" s="69">
        <v>32.959999999999781</v>
      </c>
      <c r="F218" s="69">
        <v>35.799999999999883</v>
      </c>
      <c r="G218" s="69">
        <v>38.639999999999816</v>
      </c>
      <c r="H218" s="69">
        <v>-5.4800000000000013</v>
      </c>
      <c r="I218" s="69">
        <v>-2.3200000000000029</v>
      </c>
      <c r="J218" s="69">
        <v>0.84000000000002029</v>
      </c>
    </row>
    <row r="219" spans="1:10" x14ac:dyDescent="0.25">
      <c r="A219" s="44">
        <v>0.75347222222222199</v>
      </c>
      <c r="B219" s="69">
        <v>24.529999999999969</v>
      </c>
      <c r="C219" s="69">
        <v>27.359999999999761</v>
      </c>
      <c r="D219" s="69">
        <v>30.190000000000062</v>
      </c>
      <c r="E219" s="69">
        <v>33.019999999999783</v>
      </c>
      <c r="F219" s="69">
        <v>35.849999999999881</v>
      </c>
      <c r="G219" s="69">
        <v>38.679999999999815</v>
      </c>
      <c r="H219" s="69">
        <v>-5.5100000000000016</v>
      </c>
      <c r="I219" s="69">
        <v>-2.340000000000003</v>
      </c>
      <c r="J219" s="69">
        <v>0.83000000000002028</v>
      </c>
    </row>
    <row r="220" spans="1:10" x14ac:dyDescent="0.25">
      <c r="A220" s="44">
        <v>0.75694444444444398</v>
      </c>
      <c r="B220" s="69">
        <v>24.619999999999969</v>
      </c>
      <c r="C220" s="69">
        <v>27.43999999999976</v>
      </c>
      <c r="D220" s="69">
        <v>30.260000000000062</v>
      </c>
      <c r="E220" s="69">
        <v>33.079999999999785</v>
      </c>
      <c r="F220" s="69">
        <v>35.899999999999878</v>
      </c>
      <c r="G220" s="69">
        <v>38.719999999999814</v>
      </c>
      <c r="H220" s="69">
        <v>-5.5400000000000018</v>
      </c>
      <c r="I220" s="69">
        <v>-2.360000000000003</v>
      </c>
      <c r="J220" s="69">
        <v>0.82000000000002027</v>
      </c>
    </row>
    <row r="221" spans="1:10" x14ac:dyDescent="0.25">
      <c r="A221" s="44">
        <v>0.76041666666666696</v>
      </c>
      <c r="B221" s="69">
        <v>24.709999999999969</v>
      </c>
      <c r="C221" s="69">
        <v>27.519999999999758</v>
      </c>
      <c r="D221" s="69">
        <v>30.330000000000062</v>
      </c>
      <c r="E221" s="69">
        <v>33.139999999999787</v>
      </c>
      <c r="F221" s="69">
        <v>35.949999999999875</v>
      </c>
      <c r="G221" s="69">
        <v>38.759999999999813</v>
      </c>
      <c r="H221" s="69">
        <v>-5.5700000000000021</v>
      </c>
      <c r="I221" s="69">
        <v>-2.380000000000003</v>
      </c>
      <c r="J221" s="69">
        <v>0.81000000000002026</v>
      </c>
    </row>
    <row r="222" spans="1:10" x14ac:dyDescent="0.25">
      <c r="A222" s="44">
        <v>0.76388888888888895</v>
      </c>
      <c r="B222" s="69">
        <v>24.799999999999969</v>
      </c>
      <c r="C222" s="69">
        <v>27.599999999999756</v>
      </c>
      <c r="D222" s="69">
        <v>30.400000000000063</v>
      </c>
      <c r="E222" s="69">
        <v>33.19999999999979</v>
      </c>
      <c r="F222" s="69">
        <v>35.999999999999872</v>
      </c>
      <c r="G222" s="69">
        <v>38.799999999999812</v>
      </c>
      <c r="H222" s="69">
        <v>-5.6000000000000023</v>
      </c>
      <c r="I222" s="69">
        <v>-2.400000000000003</v>
      </c>
      <c r="J222" s="69">
        <v>0.80000000000002025</v>
      </c>
    </row>
    <row r="223" spans="1:10" x14ac:dyDescent="0.25">
      <c r="A223" s="44">
        <v>0.76736111111111105</v>
      </c>
      <c r="B223" s="69">
        <v>24.889999999999969</v>
      </c>
      <c r="C223" s="69">
        <v>27.679999999999755</v>
      </c>
      <c r="D223" s="69">
        <v>30.470000000000063</v>
      </c>
      <c r="E223" s="69">
        <v>33.259999999999792</v>
      </c>
      <c r="F223" s="69">
        <v>36.049999999999869</v>
      </c>
      <c r="G223" s="69">
        <v>38.839999999999812</v>
      </c>
      <c r="H223" s="69">
        <v>-5.6300000000000026</v>
      </c>
      <c r="I223" s="69">
        <v>-2.420000000000003</v>
      </c>
      <c r="J223" s="69">
        <v>0.79000000000002024</v>
      </c>
    </row>
    <row r="224" spans="1:10" x14ac:dyDescent="0.25">
      <c r="A224" s="44">
        <v>0.77083333333333304</v>
      </c>
      <c r="B224" s="69">
        <v>24.979999999999968</v>
      </c>
      <c r="C224" s="69">
        <v>27.759999999999753</v>
      </c>
      <c r="D224" s="69">
        <v>30.540000000000063</v>
      </c>
      <c r="E224" s="69">
        <v>33.319999999999794</v>
      </c>
      <c r="F224" s="69">
        <v>36.099999999999866</v>
      </c>
      <c r="G224" s="69">
        <v>38.879999999999811</v>
      </c>
      <c r="H224" s="69">
        <v>-5.6600000000000028</v>
      </c>
      <c r="I224" s="69">
        <v>-2.4400000000000031</v>
      </c>
      <c r="J224" s="69">
        <v>0.78000000000002023</v>
      </c>
    </row>
    <row r="225" spans="1:10" x14ac:dyDescent="0.25">
      <c r="A225" s="44">
        <v>0.77430555555555503</v>
      </c>
      <c r="B225" s="69">
        <v>25.069999999999968</v>
      </c>
      <c r="C225" s="69">
        <v>27.839999999999751</v>
      </c>
      <c r="D225" s="69">
        <v>30.610000000000063</v>
      </c>
      <c r="E225" s="69">
        <v>33.379999999999797</v>
      </c>
      <c r="F225" s="69">
        <v>36.149999999999864</v>
      </c>
      <c r="G225" s="69">
        <v>38.91999999999981</v>
      </c>
      <c r="H225" s="69">
        <v>-5.6900000000000031</v>
      </c>
      <c r="I225" s="69">
        <v>-2.4600000000000031</v>
      </c>
      <c r="J225" s="69">
        <v>0.77000000000002022</v>
      </c>
    </row>
    <row r="226" spans="1:10" x14ac:dyDescent="0.25">
      <c r="A226" s="44">
        <v>0.77777777777777801</v>
      </c>
      <c r="B226" s="69">
        <v>25.159999999999968</v>
      </c>
      <c r="C226" s="69">
        <v>27.919999999999749</v>
      </c>
      <c r="D226" s="69">
        <v>30.680000000000064</v>
      </c>
      <c r="E226" s="69">
        <v>33.439999999999799</v>
      </c>
      <c r="F226" s="69">
        <v>36.199999999999861</v>
      </c>
      <c r="G226" s="69">
        <v>38.959999999999809</v>
      </c>
      <c r="H226" s="69">
        <v>-5.7200000000000033</v>
      </c>
      <c r="I226" s="69">
        <v>-2.4800000000000031</v>
      </c>
      <c r="J226" s="69">
        <v>0.76000000000002021</v>
      </c>
    </row>
    <row r="227" spans="1:10" x14ac:dyDescent="0.25">
      <c r="A227" s="44">
        <v>0.78125</v>
      </c>
      <c r="B227" s="69">
        <v>25.249999999999968</v>
      </c>
      <c r="C227" s="69">
        <v>27.999999999999748</v>
      </c>
      <c r="D227" s="69">
        <v>30.750000000000064</v>
      </c>
      <c r="E227" s="69">
        <v>33.499999999999801</v>
      </c>
      <c r="F227" s="69">
        <v>36.249999999999858</v>
      </c>
      <c r="G227" s="69">
        <v>38.999999999999808</v>
      </c>
      <c r="H227" s="69">
        <v>-5.7500000000000036</v>
      </c>
      <c r="I227" s="69">
        <v>-2.5000000000000031</v>
      </c>
      <c r="J227" s="69">
        <v>0.75000000000002021</v>
      </c>
    </row>
    <row r="228" spans="1:10" x14ac:dyDescent="0.25">
      <c r="A228" s="44">
        <v>0.78472222222222199</v>
      </c>
      <c r="B228" s="69">
        <v>25.339999999999968</v>
      </c>
      <c r="C228" s="69">
        <v>28.079999999999746</v>
      </c>
      <c r="D228" s="69">
        <v>30.820000000000064</v>
      </c>
      <c r="E228" s="69">
        <v>33.559999999999803</v>
      </c>
      <c r="F228" s="69">
        <v>36.299999999999855</v>
      </c>
      <c r="G228" s="69">
        <v>39.039999999999807</v>
      </c>
      <c r="H228" s="69">
        <v>-5.7800000000000038</v>
      </c>
      <c r="I228" s="69">
        <v>-2.5200000000000031</v>
      </c>
      <c r="J228" s="69">
        <v>0.7400000000000202</v>
      </c>
    </row>
    <row r="229" spans="1:10" x14ac:dyDescent="0.25">
      <c r="A229" s="44">
        <v>0.78819444444444398</v>
      </c>
      <c r="B229" s="69">
        <v>25.429999999999968</v>
      </c>
      <c r="C229" s="69">
        <v>28.159999999999744</v>
      </c>
      <c r="D229" s="69">
        <v>30.890000000000065</v>
      </c>
      <c r="E229" s="69">
        <v>33.619999999999806</v>
      </c>
      <c r="F229" s="69">
        <v>36.349999999999852</v>
      </c>
      <c r="G229" s="69">
        <v>39.079999999999806</v>
      </c>
      <c r="H229" s="69">
        <v>-5.8100000000000041</v>
      </c>
      <c r="I229" s="69">
        <v>-2.5400000000000031</v>
      </c>
      <c r="J229" s="69">
        <v>0.73000000000002019</v>
      </c>
    </row>
    <row r="230" spans="1:10" x14ac:dyDescent="0.25">
      <c r="A230" s="44">
        <v>0.79166666666666696</v>
      </c>
      <c r="B230" s="69">
        <v>25.519999999999968</v>
      </c>
      <c r="C230" s="69">
        <v>28.239999999999743</v>
      </c>
      <c r="D230" s="69">
        <v>30.960000000000065</v>
      </c>
      <c r="E230" s="69">
        <v>33.679999999999808</v>
      </c>
      <c r="F230" s="69">
        <v>36.399999999999849</v>
      </c>
      <c r="G230" s="69">
        <v>39.119999999999806</v>
      </c>
      <c r="H230" s="69">
        <v>-5.8400000000000043</v>
      </c>
      <c r="I230" s="69">
        <v>-2.5600000000000032</v>
      </c>
      <c r="J230" s="69">
        <v>0.72000000000002018</v>
      </c>
    </row>
    <row r="231" spans="1:10" x14ac:dyDescent="0.25">
      <c r="A231" s="44">
        <v>0.79513888888888895</v>
      </c>
      <c r="B231" s="69">
        <v>25.609999999999967</v>
      </c>
      <c r="C231" s="69">
        <v>28.319999999999741</v>
      </c>
      <c r="D231" s="69">
        <v>31.030000000000065</v>
      </c>
      <c r="E231" s="69">
        <v>33.73999999999981</v>
      </c>
      <c r="F231" s="69">
        <v>36.449999999999847</v>
      </c>
      <c r="G231" s="69">
        <v>39.159999999999805</v>
      </c>
      <c r="H231" s="69">
        <v>-5.8700000000000045</v>
      </c>
      <c r="I231" s="69">
        <v>-2.5800000000000032</v>
      </c>
      <c r="J231" s="69">
        <v>0.71000000000002017</v>
      </c>
    </row>
    <row r="232" spans="1:10" x14ac:dyDescent="0.25">
      <c r="A232" s="44">
        <v>0.79861111111111105</v>
      </c>
      <c r="B232" s="69">
        <v>25.699999999999967</v>
      </c>
      <c r="C232" s="69">
        <v>28.399999999999739</v>
      </c>
      <c r="D232" s="69">
        <v>31.100000000000065</v>
      </c>
      <c r="E232" s="69">
        <v>33.799999999999812</v>
      </c>
      <c r="F232" s="69">
        <v>36.499999999999844</v>
      </c>
      <c r="G232" s="69">
        <v>39.199999999999804</v>
      </c>
      <c r="H232" s="69">
        <v>-5.9000000000000048</v>
      </c>
      <c r="I232" s="69">
        <v>-2.6000000000000032</v>
      </c>
      <c r="J232" s="69">
        <v>0.70000000000002016</v>
      </c>
    </row>
    <row r="233" spans="1:10" x14ac:dyDescent="0.25">
      <c r="A233" s="44">
        <v>0.80208333333333304</v>
      </c>
      <c r="B233" s="69">
        <v>25.789999999999967</v>
      </c>
      <c r="C233" s="69">
        <v>28.479999999999738</v>
      </c>
      <c r="D233" s="69">
        <v>31.170000000000066</v>
      </c>
      <c r="E233" s="69">
        <v>33.859999999999815</v>
      </c>
      <c r="F233" s="69">
        <v>36.549999999999841</v>
      </c>
      <c r="G233" s="69">
        <v>39.239999999999803</v>
      </c>
      <c r="H233" s="69">
        <v>-5.930000000000005</v>
      </c>
      <c r="I233" s="69">
        <v>-2.6200000000000032</v>
      </c>
      <c r="J233" s="69">
        <v>0.69000000000002015</v>
      </c>
    </row>
    <row r="234" spans="1:10" x14ac:dyDescent="0.25">
      <c r="A234" s="44">
        <v>0.80555555555555503</v>
      </c>
      <c r="B234" s="69">
        <v>25.879999999999967</v>
      </c>
      <c r="C234" s="69">
        <v>28.559999999999736</v>
      </c>
      <c r="D234" s="69">
        <v>31.240000000000066</v>
      </c>
      <c r="E234" s="69">
        <v>33.919999999999817</v>
      </c>
      <c r="F234" s="69">
        <v>36.599999999999838</v>
      </c>
      <c r="G234" s="69">
        <v>39.279999999999802</v>
      </c>
      <c r="H234" s="69">
        <v>-5.9600000000000053</v>
      </c>
      <c r="I234" s="69">
        <v>-2.6400000000000032</v>
      </c>
      <c r="J234" s="69">
        <v>0.68000000000002014</v>
      </c>
    </row>
    <row r="235" spans="1:10" x14ac:dyDescent="0.25">
      <c r="A235" s="44">
        <v>0.80902777777777801</v>
      </c>
      <c r="B235" s="69">
        <v>25.969999999999967</v>
      </c>
      <c r="C235" s="69">
        <v>28.639999999999734</v>
      </c>
      <c r="D235" s="69">
        <v>31.310000000000066</v>
      </c>
      <c r="E235" s="69">
        <v>33.979999999999819</v>
      </c>
      <c r="F235" s="69">
        <v>36.649999999999835</v>
      </c>
      <c r="G235" s="69">
        <v>39.319999999999801</v>
      </c>
      <c r="H235" s="69">
        <v>-5.9900000000000055</v>
      </c>
      <c r="I235" s="69">
        <v>-2.6600000000000033</v>
      </c>
      <c r="J235" s="69">
        <v>0.67000000000002014</v>
      </c>
    </row>
    <row r="236" spans="1:10" x14ac:dyDescent="0.25">
      <c r="A236" s="44">
        <v>0.8125</v>
      </c>
      <c r="B236" s="69">
        <v>26.059999999999967</v>
      </c>
      <c r="C236" s="69">
        <v>28.719999999999732</v>
      </c>
      <c r="D236" s="69">
        <v>31.380000000000067</v>
      </c>
      <c r="E236" s="69">
        <v>34.039999999999822</v>
      </c>
      <c r="F236" s="69">
        <v>36.699999999999832</v>
      </c>
      <c r="G236" s="69">
        <v>39.3599999999998</v>
      </c>
      <c r="H236" s="69">
        <v>-6.0200000000000058</v>
      </c>
      <c r="I236" s="69">
        <v>-2.6800000000000033</v>
      </c>
      <c r="J236" s="69">
        <v>0.66000000000002013</v>
      </c>
    </row>
    <row r="237" spans="1:10" x14ac:dyDescent="0.25">
      <c r="A237" s="44">
        <v>0.81597222222222199</v>
      </c>
      <c r="B237" s="69">
        <v>26.149999999999967</v>
      </c>
      <c r="C237" s="69">
        <v>28.799999999999731</v>
      </c>
      <c r="D237" s="69">
        <v>31.450000000000067</v>
      </c>
      <c r="E237" s="69">
        <v>34.099999999999824</v>
      </c>
      <c r="F237" s="69">
        <v>36.749999999999829</v>
      </c>
      <c r="G237" s="69">
        <v>39.3999999999998</v>
      </c>
      <c r="H237" s="69">
        <v>-6.050000000000006</v>
      </c>
      <c r="I237" s="69">
        <v>-2.7000000000000033</v>
      </c>
      <c r="J237" s="69">
        <v>0.65000000000002012</v>
      </c>
    </row>
    <row r="238" spans="1:10" x14ac:dyDescent="0.25">
      <c r="A238" s="44">
        <v>0.81944444444444398</v>
      </c>
      <c r="B238" s="69">
        <v>26.239999999999966</v>
      </c>
      <c r="C238" s="69">
        <v>28.879999999999729</v>
      </c>
      <c r="D238" s="69">
        <v>31.520000000000067</v>
      </c>
      <c r="E238" s="69">
        <v>34.159999999999826</v>
      </c>
      <c r="F238" s="69">
        <v>36.799999999999827</v>
      </c>
      <c r="G238" s="69">
        <v>39.439999999999799</v>
      </c>
      <c r="H238" s="69">
        <v>-6.0800000000000063</v>
      </c>
      <c r="I238" s="69">
        <v>-2.7200000000000033</v>
      </c>
      <c r="J238" s="69">
        <v>0.64000000000002011</v>
      </c>
    </row>
    <row r="239" spans="1:10" x14ac:dyDescent="0.25">
      <c r="A239" s="44">
        <v>0.82291666666666696</v>
      </c>
      <c r="B239" s="69">
        <v>26.329999999999966</v>
      </c>
      <c r="C239" s="69">
        <v>28.959999999999727</v>
      </c>
      <c r="D239" s="69">
        <v>31.590000000000067</v>
      </c>
      <c r="E239" s="69">
        <v>34.219999999999828</v>
      </c>
      <c r="F239" s="69">
        <v>36.849999999999824</v>
      </c>
      <c r="G239" s="69">
        <v>39.479999999999798</v>
      </c>
      <c r="H239" s="69">
        <v>-6.1100000000000065</v>
      </c>
      <c r="I239" s="69">
        <v>-2.7400000000000033</v>
      </c>
      <c r="J239" s="69">
        <v>0.6300000000000201</v>
      </c>
    </row>
    <row r="240" spans="1:10" x14ac:dyDescent="0.25">
      <c r="A240" s="44">
        <v>0.82638888888888895</v>
      </c>
      <c r="B240" s="69">
        <v>26.419999999999966</v>
      </c>
      <c r="C240" s="69">
        <v>29.039999999999726</v>
      </c>
      <c r="D240" s="69">
        <v>31.660000000000068</v>
      </c>
      <c r="E240" s="69">
        <v>34.279999999999831</v>
      </c>
      <c r="F240" s="69">
        <v>36.899999999999821</v>
      </c>
      <c r="G240" s="69">
        <v>39.519999999999797</v>
      </c>
      <c r="H240" s="69">
        <v>-6.1400000000000068</v>
      </c>
      <c r="I240" s="69">
        <v>-2.7600000000000033</v>
      </c>
      <c r="J240" s="69">
        <v>0.62000000000002009</v>
      </c>
    </row>
    <row r="241" spans="1:10" x14ac:dyDescent="0.25">
      <c r="A241" s="44">
        <v>0.82986111111111105</v>
      </c>
      <c r="B241" s="69">
        <v>26.509999999999966</v>
      </c>
      <c r="C241" s="69">
        <v>29.119999999999724</v>
      </c>
      <c r="D241" s="69">
        <v>31.730000000000068</v>
      </c>
      <c r="E241" s="69">
        <v>34.339999999999833</v>
      </c>
      <c r="F241" s="69">
        <v>36.949999999999818</v>
      </c>
      <c r="G241" s="69">
        <v>39.559999999999796</v>
      </c>
      <c r="H241" s="69">
        <v>-6.170000000000007</v>
      </c>
      <c r="I241" s="69">
        <v>-2.7800000000000034</v>
      </c>
      <c r="J241" s="69">
        <v>0.61000000000002008</v>
      </c>
    </row>
    <row r="242" spans="1:10" x14ac:dyDescent="0.25">
      <c r="A242" s="44">
        <v>0.83333333333333304</v>
      </c>
      <c r="B242" s="69">
        <v>26.599999999999966</v>
      </c>
      <c r="C242" s="69">
        <v>29.199999999999722</v>
      </c>
      <c r="D242" s="69">
        <v>31.800000000000068</v>
      </c>
      <c r="E242" s="69">
        <v>34.399999999999835</v>
      </c>
      <c r="F242" s="69">
        <v>36.999999999999815</v>
      </c>
      <c r="G242" s="69">
        <v>39.599999999999795</v>
      </c>
      <c r="H242" s="69">
        <v>-6.2000000000000073</v>
      </c>
      <c r="I242" s="69">
        <v>-2.8000000000000034</v>
      </c>
      <c r="J242" s="69">
        <v>0.60000000000002007</v>
      </c>
    </row>
    <row r="243" spans="1:10" x14ac:dyDescent="0.25">
      <c r="A243" s="44">
        <v>0.83680555555555503</v>
      </c>
      <c r="B243" s="69">
        <v>26.689999999999966</v>
      </c>
      <c r="C243" s="69">
        <v>29.27999999999972</v>
      </c>
      <c r="D243" s="69">
        <v>31.870000000000068</v>
      </c>
      <c r="E243" s="69">
        <v>34.459999999999837</v>
      </c>
      <c r="F243" s="69">
        <v>37.049999999999812</v>
      </c>
      <c r="G243" s="69">
        <v>39.639999999999795</v>
      </c>
      <c r="H243" s="69">
        <v>-6.2300000000000075</v>
      </c>
      <c r="I243" s="69">
        <v>-2.8200000000000034</v>
      </c>
      <c r="J243" s="69">
        <v>0.59000000000002006</v>
      </c>
    </row>
    <row r="244" spans="1:10" x14ac:dyDescent="0.25">
      <c r="A244" s="44">
        <v>0.84027777777777801</v>
      </c>
      <c r="B244" s="69">
        <v>26.779999999999966</v>
      </c>
      <c r="C244" s="69">
        <v>29.359999999999719</v>
      </c>
      <c r="D244" s="69">
        <v>31.940000000000069</v>
      </c>
      <c r="E244" s="69">
        <v>34.51999999999984</v>
      </c>
      <c r="F244" s="69">
        <v>37.09999999999981</v>
      </c>
      <c r="G244" s="69">
        <v>39.679999999999794</v>
      </c>
      <c r="H244" s="69">
        <v>-6.2600000000000078</v>
      </c>
      <c r="I244" s="69">
        <v>-2.8400000000000034</v>
      </c>
      <c r="J244" s="69">
        <v>0.58000000000002006</v>
      </c>
    </row>
    <row r="245" spans="1:10" x14ac:dyDescent="0.25">
      <c r="A245" s="44">
        <v>0.84375</v>
      </c>
      <c r="B245" s="69">
        <v>26.869999999999965</v>
      </c>
      <c r="C245" s="69">
        <v>29.439999999999717</v>
      </c>
      <c r="D245" s="69">
        <v>32.010000000000069</v>
      </c>
      <c r="E245" s="69">
        <v>34.579999999999842</v>
      </c>
      <c r="F245" s="69">
        <v>37.149999999999807</v>
      </c>
      <c r="G245" s="69">
        <v>39.719999999999793</v>
      </c>
      <c r="H245" s="69">
        <v>-6.290000000000008</v>
      </c>
      <c r="I245" s="69">
        <v>-2.8600000000000034</v>
      </c>
      <c r="J245" s="69">
        <v>0.57000000000002005</v>
      </c>
    </row>
    <row r="246" spans="1:10" x14ac:dyDescent="0.25">
      <c r="A246" s="44">
        <v>0.84722222222222199</v>
      </c>
      <c r="B246" s="69">
        <v>26.959999999999965</v>
      </c>
      <c r="C246" s="69">
        <v>29.519999999999715</v>
      </c>
      <c r="D246" s="69">
        <v>32.080000000000069</v>
      </c>
      <c r="E246" s="69">
        <v>34.639999999999844</v>
      </c>
      <c r="F246" s="69">
        <v>37.199999999999804</v>
      </c>
      <c r="G246" s="69">
        <v>39.759999999999792</v>
      </c>
      <c r="H246" s="69">
        <v>-6.3200000000000083</v>
      </c>
      <c r="I246" s="69">
        <v>-2.8800000000000034</v>
      </c>
      <c r="J246" s="69">
        <v>0.56000000000002004</v>
      </c>
    </row>
    <row r="247" spans="1:10" x14ac:dyDescent="0.25">
      <c r="A247" s="44">
        <v>0.85069444444444398</v>
      </c>
      <c r="B247" s="69">
        <v>27.049999999999965</v>
      </c>
      <c r="C247" s="69">
        <v>29.599999999999714</v>
      </c>
      <c r="D247" s="69">
        <v>32.15000000000007</v>
      </c>
      <c r="E247" s="69">
        <v>34.699999999999847</v>
      </c>
      <c r="F247" s="69">
        <v>37.249999999999801</v>
      </c>
      <c r="G247" s="69">
        <v>39.799999999999791</v>
      </c>
      <c r="H247" s="69">
        <v>-6.3500000000000085</v>
      </c>
      <c r="I247" s="69">
        <v>-2.9000000000000035</v>
      </c>
      <c r="J247" s="69">
        <v>0.55000000000002003</v>
      </c>
    </row>
    <row r="248" spans="1:10" x14ac:dyDescent="0.25">
      <c r="A248" s="44">
        <v>0.85416666666666696</v>
      </c>
      <c r="B248" s="69">
        <v>27.139999999999965</v>
      </c>
      <c r="C248" s="69">
        <v>29.679999999999712</v>
      </c>
      <c r="D248" s="69">
        <v>32.22000000000007</v>
      </c>
      <c r="E248" s="69">
        <v>34.759999999999849</v>
      </c>
      <c r="F248" s="69">
        <v>37.299999999999798</v>
      </c>
      <c r="G248" s="69">
        <v>39.83999999999979</v>
      </c>
      <c r="H248" s="69">
        <v>-6.3800000000000088</v>
      </c>
      <c r="I248" s="69">
        <v>-2.9200000000000035</v>
      </c>
      <c r="J248" s="69">
        <v>0.54000000000002002</v>
      </c>
    </row>
    <row r="249" spans="1:10" x14ac:dyDescent="0.25">
      <c r="A249" s="44">
        <v>0.85763888888888895</v>
      </c>
      <c r="B249" s="69">
        <v>27.229999999999965</v>
      </c>
      <c r="C249" s="69">
        <v>29.75999999999971</v>
      </c>
      <c r="D249" s="69">
        <v>32.29000000000007</v>
      </c>
      <c r="E249" s="69">
        <v>34.819999999999851</v>
      </c>
      <c r="F249" s="69">
        <v>37.349999999999795</v>
      </c>
      <c r="G249" s="69">
        <v>39.879999999999789</v>
      </c>
      <c r="H249" s="69">
        <v>-6.410000000000009</v>
      </c>
      <c r="I249" s="69">
        <v>-2.9400000000000035</v>
      </c>
      <c r="J249" s="69">
        <v>0.53000000000002001</v>
      </c>
    </row>
    <row r="250" spans="1:10" x14ac:dyDescent="0.25">
      <c r="A250" s="44">
        <v>0.86111111111111105</v>
      </c>
      <c r="B250" s="69">
        <v>27.319999999999965</v>
      </c>
      <c r="C250" s="69">
        <v>29.839999999999709</v>
      </c>
      <c r="D250" s="69">
        <v>32.36000000000007</v>
      </c>
      <c r="E250" s="69">
        <v>34.879999999999853</v>
      </c>
      <c r="F250" s="69">
        <v>37.399999999999793</v>
      </c>
      <c r="G250" s="69">
        <v>39.919999999999789</v>
      </c>
      <c r="H250" s="69">
        <v>-6.4400000000000093</v>
      </c>
      <c r="I250" s="69">
        <v>-2.9600000000000035</v>
      </c>
      <c r="J250" s="69">
        <v>0.52000000000002</v>
      </c>
    </row>
    <row r="251" spans="1:10" x14ac:dyDescent="0.25">
      <c r="A251" s="44">
        <v>0.86458333333333304</v>
      </c>
      <c r="B251" s="69">
        <v>27.409999999999965</v>
      </c>
      <c r="C251" s="69">
        <v>29.919999999999707</v>
      </c>
      <c r="D251" s="69">
        <v>32.430000000000071</v>
      </c>
      <c r="E251" s="69">
        <v>34.939999999999856</v>
      </c>
      <c r="F251" s="69">
        <v>37.44999999999979</v>
      </c>
      <c r="G251" s="69">
        <v>39.959999999999788</v>
      </c>
      <c r="H251" s="69">
        <v>-6.4700000000000095</v>
      </c>
      <c r="I251" s="69">
        <v>-2.9800000000000035</v>
      </c>
      <c r="J251" s="69">
        <v>0.51000000000001999</v>
      </c>
    </row>
    <row r="252" spans="1:10" x14ac:dyDescent="0.25">
      <c r="A252" s="44">
        <v>0.86805555555555503</v>
      </c>
      <c r="B252" s="69">
        <v>27.499999999999964</v>
      </c>
      <c r="C252" s="69">
        <v>29.999999999999705</v>
      </c>
      <c r="D252" s="69">
        <v>32.500000000000071</v>
      </c>
      <c r="E252" s="69">
        <v>34.999999999999858</v>
      </c>
      <c r="F252" s="69">
        <v>37.499999999999787</v>
      </c>
      <c r="G252" s="69">
        <v>39.999999999999787</v>
      </c>
      <c r="H252" s="69">
        <v>-6.5000000000000098</v>
      </c>
      <c r="I252" s="69">
        <v>-3.0000000000000036</v>
      </c>
      <c r="J252" s="69">
        <v>0.50000000000001998</v>
      </c>
    </row>
    <row r="253" spans="1:10" x14ac:dyDescent="0.25">
      <c r="A253" s="44">
        <v>0.87152777777777801</v>
      </c>
      <c r="B253" s="69">
        <v>27.589999999999964</v>
      </c>
      <c r="C253" s="69">
        <v>30.079999999999703</v>
      </c>
      <c r="D253" s="69">
        <v>32.570000000000071</v>
      </c>
      <c r="E253" s="69">
        <v>35.05999999999986</v>
      </c>
      <c r="F253" s="69">
        <v>37.549999999999784</v>
      </c>
      <c r="G253" s="69">
        <v>40.039999999999786</v>
      </c>
      <c r="H253" s="69">
        <v>-6.53000000000001</v>
      </c>
      <c r="I253" s="69">
        <v>-3.0200000000000036</v>
      </c>
      <c r="J253" s="69">
        <v>0.49000000000001998</v>
      </c>
    </row>
    <row r="254" spans="1:10" x14ac:dyDescent="0.25">
      <c r="A254" s="44">
        <v>0.875</v>
      </c>
      <c r="B254" s="69">
        <v>27.679999999999964</v>
      </c>
      <c r="C254" s="69">
        <v>30.159999999999702</v>
      </c>
      <c r="D254" s="69">
        <v>32.640000000000072</v>
      </c>
      <c r="E254" s="69">
        <v>35.119999999999862</v>
      </c>
      <c r="F254" s="69">
        <v>37.599999999999781</v>
      </c>
      <c r="G254" s="69">
        <v>40.079999999999785</v>
      </c>
      <c r="H254" s="69">
        <v>-6.5600000000000103</v>
      </c>
      <c r="I254" s="69">
        <v>-3.0400000000000036</v>
      </c>
      <c r="J254" s="69">
        <v>0.48000000000001997</v>
      </c>
    </row>
    <row r="255" spans="1:10" x14ac:dyDescent="0.25">
      <c r="A255" s="44">
        <v>0.87847222222222199</v>
      </c>
      <c r="B255" s="69">
        <v>27.769999999999964</v>
      </c>
      <c r="C255" s="69">
        <v>30.2399999999997</v>
      </c>
      <c r="D255" s="69">
        <v>32.710000000000072</v>
      </c>
      <c r="E255" s="69">
        <v>35.179999999999865</v>
      </c>
      <c r="F255" s="69">
        <v>37.649999999999778</v>
      </c>
      <c r="G255" s="69">
        <v>40.119999999999784</v>
      </c>
      <c r="H255" s="69">
        <v>-6.5900000000000105</v>
      </c>
      <c r="I255" s="69">
        <v>-3.0600000000000036</v>
      </c>
      <c r="J255" s="69">
        <v>0.47000000000001996</v>
      </c>
    </row>
    <row r="256" spans="1:10" x14ac:dyDescent="0.25">
      <c r="A256" s="44">
        <v>0.88194444444444398</v>
      </c>
      <c r="B256" s="69">
        <v>27.859999999999964</v>
      </c>
      <c r="C256" s="69">
        <v>30.319999999999698</v>
      </c>
      <c r="D256" s="69">
        <v>32.780000000000072</v>
      </c>
      <c r="E256" s="69">
        <v>35.239999999999867</v>
      </c>
      <c r="F256" s="69">
        <v>37.699999999999775</v>
      </c>
      <c r="G256" s="69">
        <v>40.159999999999783</v>
      </c>
      <c r="H256" s="69">
        <v>-6.6200000000000108</v>
      </c>
      <c r="I256" s="69">
        <v>-3.0800000000000036</v>
      </c>
      <c r="J256" s="69">
        <v>0.46000000000001995</v>
      </c>
    </row>
    <row r="257" spans="1:10" x14ac:dyDescent="0.25">
      <c r="A257" s="44">
        <v>0.88541666666666696</v>
      </c>
      <c r="B257" s="69">
        <v>27.949999999999964</v>
      </c>
      <c r="C257" s="69">
        <v>30.399999999999697</v>
      </c>
      <c r="D257" s="69">
        <v>32.850000000000072</v>
      </c>
      <c r="E257" s="69">
        <v>35.299999999999869</v>
      </c>
      <c r="F257" s="69">
        <v>37.749999999999773</v>
      </c>
      <c r="G257" s="69">
        <v>40.199999999999783</v>
      </c>
      <c r="H257" s="69">
        <v>-6.650000000000011</v>
      </c>
      <c r="I257" s="69">
        <v>-3.1000000000000036</v>
      </c>
      <c r="J257" s="69">
        <v>0.45000000000001994</v>
      </c>
    </row>
    <row r="258" spans="1:10" x14ac:dyDescent="0.25">
      <c r="A258" s="44">
        <v>0.88888888888888895</v>
      </c>
      <c r="B258" s="69">
        <v>28.039999999999964</v>
      </c>
      <c r="C258" s="69">
        <v>30.479999999999695</v>
      </c>
      <c r="D258" s="69">
        <v>32.920000000000073</v>
      </c>
      <c r="E258" s="69">
        <v>35.359999999999872</v>
      </c>
      <c r="F258" s="69">
        <v>37.79999999999977</v>
      </c>
      <c r="G258" s="69">
        <v>40.239999999999782</v>
      </c>
      <c r="H258" s="69">
        <v>-6.6800000000000113</v>
      </c>
      <c r="I258" s="69">
        <v>-3.1200000000000037</v>
      </c>
      <c r="J258" s="69">
        <v>0.44000000000001993</v>
      </c>
    </row>
    <row r="259" spans="1:10" x14ac:dyDescent="0.25">
      <c r="A259" s="44">
        <v>0.89236111111111105</v>
      </c>
      <c r="B259" s="69">
        <v>28.129999999999963</v>
      </c>
      <c r="C259" s="69">
        <v>30.559999999999693</v>
      </c>
      <c r="D259" s="69">
        <v>32.990000000000073</v>
      </c>
      <c r="E259" s="69">
        <v>35.419999999999874</v>
      </c>
      <c r="F259" s="69">
        <v>37.849999999999767</v>
      </c>
      <c r="G259" s="69">
        <v>40.279999999999781</v>
      </c>
      <c r="H259" s="69">
        <v>-6.7100000000000115</v>
      </c>
      <c r="I259" s="69">
        <v>-3.1400000000000037</v>
      </c>
      <c r="J259" s="69">
        <v>0.43000000000001992</v>
      </c>
    </row>
    <row r="260" spans="1:10" x14ac:dyDescent="0.25">
      <c r="A260" s="44">
        <v>0.89583333333333304</v>
      </c>
      <c r="B260" s="69">
        <v>28.219999999999963</v>
      </c>
      <c r="C260" s="69">
        <v>30.639999999999691</v>
      </c>
      <c r="D260" s="69">
        <v>33.060000000000073</v>
      </c>
      <c r="E260" s="69">
        <v>35.479999999999876</v>
      </c>
      <c r="F260" s="69">
        <v>37.899999999999764</v>
      </c>
      <c r="G260" s="69">
        <v>40.31999999999978</v>
      </c>
      <c r="H260" s="69">
        <v>-6.7400000000000118</v>
      </c>
      <c r="I260" s="69">
        <v>-3.1600000000000037</v>
      </c>
      <c r="J260" s="69">
        <v>0.42000000000001991</v>
      </c>
    </row>
    <row r="261" spans="1:10" x14ac:dyDescent="0.25">
      <c r="A261" s="44">
        <v>0.89930555555555503</v>
      </c>
      <c r="B261" s="69">
        <v>28.309999999999963</v>
      </c>
      <c r="C261" s="69">
        <v>30.71999999999969</v>
      </c>
      <c r="D261" s="69">
        <v>33.130000000000074</v>
      </c>
      <c r="E261" s="69">
        <v>35.539999999999878</v>
      </c>
      <c r="F261" s="69">
        <v>37.949999999999761</v>
      </c>
      <c r="G261" s="69">
        <v>40.359999999999779</v>
      </c>
      <c r="H261" s="69">
        <v>-6.770000000000012</v>
      </c>
      <c r="I261" s="69">
        <v>-3.1800000000000037</v>
      </c>
      <c r="J261" s="69">
        <v>0.4100000000000199</v>
      </c>
    </row>
    <row r="262" spans="1:10" x14ac:dyDescent="0.25">
      <c r="A262" s="44">
        <v>0.90277777777777801</v>
      </c>
      <c r="B262" s="69">
        <v>28.399999999999963</v>
      </c>
      <c r="C262" s="69">
        <v>30.799999999999688</v>
      </c>
      <c r="D262" s="69">
        <v>33.200000000000074</v>
      </c>
      <c r="E262" s="69">
        <v>35.599999999999881</v>
      </c>
      <c r="F262" s="69">
        <v>37.999999999999758</v>
      </c>
      <c r="G262" s="69">
        <v>40.399999999999778</v>
      </c>
      <c r="H262" s="69">
        <v>-6.8000000000000123</v>
      </c>
      <c r="I262" s="69">
        <v>-3.2000000000000037</v>
      </c>
      <c r="J262" s="69">
        <v>0.4000000000000199</v>
      </c>
    </row>
    <row r="263" spans="1:10" x14ac:dyDescent="0.25">
      <c r="A263" s="44">
        <v>0.90625</v>
      </c>
      <c r="B263" s="69">
        <v>28.489999999999963</v>
      </c>
      <c r="C263" s="69">
        <v>30.879999999999686</v>
      </c>
      <c r="D263" s="69">
        <v>33.270000000000074</v>
      </c>
      <c r="E263" s="69">
        <v>35.659999999999883</v>
      </c>
      <c r="F263" s="69">
        <v>38.049999999999756</v>
      </c>
      <c r="G263" s="69">
        <v>40.439999999999777</v>
      </c>
      <c r="H263" s="69">
        <v>-6.8300000000000125</v>
      </c>
      <c r="I263" s="69">
        <v>-3.2200000000000037</v>
      </c>
      <c r="J263" s="69">
        <v>0.39000000000001989</v>
      </c>
    </row>
    <row r="264" spans="1:10" x14ac:dyDescent="0.25">
      <c r="A264" s="44">
        <v>0.90972222222222199</v>
      </c>
      <c r="B264" s="69">
        <v>28.579999999999963</v>
      </c>
      <c r="C264" s="69">
        <v>30.959999999999685</v>
      </c>
      <c r="D264" s="69">
        <v>33.340000000000074</v>
      </c>
      <c r="E264" s="69">
        <v>35.719999999999885</v>
      </c>
      <c r="F264" s="69">
        <v>38.099999999999753</v>
      </c>
      <c r="G264" s="69">
        <v>40.479999999999777</v>
      </c>
      <c r="H264" s="69">
        <v>-6.8600000000000128</v>
      </c>
      <c r="I264" s="69">
        <v>-3.2400000000000038</v>
      </c>
      <c r="J264" s="69">
        <v>0.38000000000001988</v>
      </c>
    </row>
    <row r="265" spans="1:10" x14ac:dyDescent="0.25">
      <c r="A265" s="44">
        <v>0.91319444444444398</v>
      </c>
      <c r="B265" s="69">
        <v>28.669999999999963</v>
      </c>
      <c r="C265" s="69">
        <v>31.039999999999683</v>
      </c>
      <c r="D265" s="69">
        <v>33.410000000000075</v>
      </c>
      <c r="E265" s="69">
        <v>35.779999999999887</v>
      </c>
      <c r="F265" s="69">
        <v>38.14999999999975</v>
      </c>
      <c r="G265" s="69">
        <v>40.519999999999776</v>
      </c>
      <c r="H265" s="69">
        <v>-6.890000000000013</v>
      </c>
      <c r="I265" s="69">
        <v>-3.2600000000000038</v>
      </c>
      <c r="J265" s="69">
        <v>0.37000000000001987</v>
      </c>
    </row>
    <row r="266" spans="1:10" x14ac:dyDescent="0.25">
      <c r="A266" s="44">
        <v>0.91666666666666696</v>
      </c>
      <c r="B266" s="69">
        <v>28.759999999999962</v>
      </c>
      <c r="C266" s="69">
        <v>31.119999999999681</v>
      </c>
      <c r="D266" s="69">
        <v>33.480000000000075</v>
      </c>
      <c r="E266" s="69">
        <v>35.83999999999989</v>
      </c>
      <c r="F266" s="69">
        <v>38.199999999999747</v>
      </c>
      <c r="G266" s="69">
        <v>40.559999999999775</v>
      </c>
      <c r="H266" s="69">
        <v>-6.9200000000000133</v>
      </c>
      <c r="I266" s="69">
        <v>-3.2800000000000038</v>
      </c>
      <c r="J266" s="69">
        <v>0.36000000000001986</v>
      </c>
    </row>
    <row r="267" spans="1:10" x14ac:dyDescent="0.25">
      <c r="A267" s="44">
        <v>0.92013888888888895</v>
      </c>
      <c r="B267" s="69">
        <v>28.849999999999962</v>
      </c>
      <c r="C267" s="69">
        <v>31.19999999999968</v>
      </c>
      <c r="D267" s="69">
        <v>33.550000000000075</v>
      </c>
      <c r="E267" s="69">
        <v>35.899999999999892</v>
      </c>
      <c r="F267" s="69">
        <v>38.249999999999744</v>
      </c>
      <c r="G267" s="69">
        <v>40.599999999999774</v>
      </c>
      <c r="H267" s="69">
        <v>-6.9500000000000135</v>
      </c>
      <c r="I267" s="69">
        <v>-3.3000000000000038</v>
      </c>
      <c r="J267" s="69">
        <v>0.35000000000001985</v>
      </c>
    </row>
    <row r="268" spans="1:10" x14ac:dyDescent="0.25">
      <c r="A268" s="44">
        <v>0.92361111111111105</v>
      </c>
      <c r="B268" s="69">
        <v>28.939999999999962</v>
      </c>
      <c r="C268" s="69">
        <v>31.279999999999678</v>
      </c>
      <c r="D268" s="69">
        <v>33.620000000000076</v>
      </c>
      <c r="E268" s="69">
        <v>35.959999999999894</v>
      </c>
      <c r="F268" s="69">
        <v>38.299999999999741</v>
      </c>
      <c r="G268" s="69">
        <v>40.639999999999773</v>
      </c>
      <c r="H268" s="69">
        <v>-6.9800000000000137</v>
      </c>
      <c r="I268" s="69">
        <v>-3.3200000000000038</v>
      </c>
      <c r="J268" s="69">
        <v>0.34000000000001984</v>
      </c>
    </row>
    <row r="269" spans="1:10" x14ac:dyDescent="0.25">
      <c r="A269" s="44">
        <v>0.92708333333333304</v>
      </c>
      <c r="B269" s="69">
        <v>29.029999999999962</v>
      </c>
      <c r="C269" s="69">
        <v>31.359999999999676</v>
      </c>
      <c r="D269" s="69">
        <v>33.690000000000076</v>
      </c>
      <c r="E269" s="69">
        <v>36.019999999999897</v>
      </c>
      <c r="F269" s="69">
        <v>38.349999999999739</v>
      </c>
      <c r="G269" s="69">
        <v>40.679999999999772</v>
      </c>
      <c r="H269" s="69">
        <v>-7.010000000000014</v>
      </c>
      <c r="I269" s="69">
        <v>-3.3400000000000039</v>
      </c>
      <c r="J269" s="69">
        <v>0.33000000000001983</v>
      </c>
    </row>
    <row r="270" spans="1:10" x14ac:dyDescent="0.25">
      <c r="A270" s="44">
        <v>0.93055555555555503</v>
      </c>
      <c r="B270" s="69">
        <v>29.119999999999962</v>
      </c>
      <c r="C270" s="69">
        <v>31.439999999999674</v>
      </c>
      <c r="D270" s="69">
        <v>33.760000000000076</v>
      </c>
      <c r="E270" s="69">
        <v>36.079999999999899</v>
      </c>
      <c r="F270" s="69">
        <v>38.399999999999736</v>
      </c>
      <c r="G270" s="69">
        <v>40.719999999999771</v>
      </c>
      <c r="H270" s="69">
        <v>-7.0400000000000142</v>
      </c>
      <c r="I270" s="69">
        <v>-3.3600000000000039</v>
      </c>
      <c r="J270" s="69">
        <v>0.32000000000001982</v>
      </c>
    </row>
    <row r="271" spans="1:10" x14ac:dyDescent="0.25">
      <c r="A271" s="44">
        <v>0.93402777777777801</v>
      </c>
      <c r="B271" s="69">
        <v>29.209999999999962</v>
      </c>
      <c r="C271" s="69">
        <v>31.519999999999673</v>
      </c>
      <c r="D271" s="69">
        <v>33.830000000000076</v>
      </c>
      <c r="E271" s="69">
        <v>36.139999999999901</v>
      </c>
      <c r="F271" s="69">
        <v>38.449999999999733</v>
      </c>
      <c r="G271" s="69">
        <v>40.759999999999771</v>
      </c>
      <c r="H271" s="69">
        <v>-7.0700000000000145</v>
      </c>
      <c r="I271" s="69">
        <v>-3.3800000000000039</v>
      </c>
      <c r="J271" s="69">
        <v>0.31000000000001982</v>
      </c>
    </row>
    <row r="272" spans="1:10" x14ac:dyDescent="0.25">
      <c r="A272" s="44">
        <v>0.9375</v>
      </c>
      <c r="B272" s="69">
        <v>29.299999999999962</v>
      </c>
      <c r="C272" s="69">
        <v>31.599999999999671</v>
      </c>
      <c r="D272" s="69">
        <v>33.900000000000077</v>
      </c>
      <c r="E272" s="69">
        <v>36.199999999999903</v>
      </c>
      <c r="F272" s="69">
        <v>38.49999999999973</v>
      </c>
      <c r="G272" s="69">
        <v>40.79999999999977</v>
      </c>
      <c r="H272" s="69">
        <v>-7.1000000000000147</v>
      </c>
      <c r="I272" s="69">
        <v>-3.4000000000000039</v>
      </c>
      <c r="J272" s="69">
        <v>0.30000000000001981</v>
      </c>
    </row>
    <row r="273" spans="1:10" x14ac:dyDescent="0.25">
      <c r="A273" s="44">
        <v>0.94097222222222199</v>
      </c>
      <c r="B273" s="69">
        <v>29.389999999999961</v>
      </c>
      <c r="C273" s="69">
        <v>31.679999999999669</v>
      </c>
      <c r="D273" s="69">
        <v>33.970000000000077</v>
      </c>
      <c r="E273" s="69">
        <v>36.259999999999906</v>
      </c>
      <c r="F273" s="69">
        <v>38.549999999999727</v>
      </c>
      <c r="G273" s="69">
        <v>40.839999999999769</v>
      </c>
      <c r="H273" s="69">
        <v>-7.130000000000015</v>
      </c>
      <c r="I273" s="69">
        <v>-3.4200000000000039</v>
      </c>
      <c r="J273" s="69">
        <v>0.2900000000000198</v>
      </c>
    </row>
    <row r="274" spans="1:10" x14ac:dyDescent="0.25">
      <c r="A274" s="44">
        <v>0.94444444444444398</v>
      </c>
      <c r="B274" s="69">
        <v>29.479999999999961</v>
      </c>
      <c r="C274" s="69">
        <v>31.759999999999668</v>
      </c>
      <c r="D274" s="69">
        <v>34.040000000000077</v>
      </c>
      <c r="E274" s="69">
        <v>36.319999999999908</v>
      </c>
      <c r="F274" s="69">
        <v>38.599999999999724</v>
      </c>
      <c r="G274" s="69">
        <v>40.879999999999768</v>
      </c>
      <c r="H274" s="69">
        <v>-7.1600000000000152</v>
      </c>
      <c r="I274" s="69">
        <v>-3.4400000000000039</v>
      </c>
      <c r="J274" s="69">
        <v>0.28000000000001979</v>
      </c>
    </row>
    <row r="275" spans="1:10" x14ac:dyDescent="0.25">
      <c r="A275" s="44">
        <v>0.94791666666666696</v>
      </c>
      <c r="B275" s="69">
        <v>29.569999999999961</v>
      </c>
      <c r="C275" s="69">
        <v>31.839999999999666</v>
      </c>
      <c r="D275" s="69">
        <v>34.110000000000078</v>
      </c>
      <c r="E275" s="69">
        <v>36.37999999999991</v>
      </c>
      <c r="F275" s="69">
        <v>38.649999999999721</v>
      </c>
      <c r="G275" s="69">
        <v>40.919999999999767</v>
      </c>
      <c r="H275" s="69">
        <v>-7.1900000000000155</v>
      </c>
      <c r="I275" s="69">
        <v>-3.460000000000004</v>
      </c>
      <c r="J275" s="69">
        <v>0.27000000000001978</v>
      </c>
    </row>
    <row r="276" spans="1:10" x14ac:dyDescent="0.25">
      <c r="A276" s="44">
        <v>0.95138888888888895</v>
      </c>
      <c r="B276" s="69">
        <v>29.659999999999961</v>
      </c>
      <c r="C276" s="69">
        <v>31.919999999999664</v>
      </c>
      <c r="D276" s="69">
        <v>34.180000000000078</v>
      </c>
      <c r="E276" s="69">
        <v>36.439999999999912</v>
      </c>
      <c r="F276" s="69">
        <v>38.699999999999719</v>
      </c>
      <c r="G276" s="69">
        <v>40.959999999999766</v>
      </c>
      <c r="H276" s="69">
        <v>-7.2200000000000157</v>
      </c>
      <c r="I276" s="69">
        <v>-3.480000000000004</v>
      </c>
      <c r="J276" s="69">
        <v>0.26000000000001977</v>
      </c>
    </row>
    <row r="277" spans="1:10" x14ac:dyDescent="0.25">
      <c r="A277" s="44">
        <v>0.95486111111111105</v>
      </c>
      <c r="B277" s="69">
        <v>29.749999999999961</v>
      </c>
      <c r="C277" s="69">
        <v>31.999999999999662</v>
      </c>
      <c r="D277" s="69">
        <v>34.250000000000078</v>
      </c>
      <c r="E277" s="69">
        <v>36.499999999999915</v>
      </c>
      <c r="F277" s="69">
        <v>38.749999999999716</v>
      </c>
      <c r="G277" s="69">
        <v>40.999999999999766</v>
      </c>
      <c r="H277" s="69">
        <v>-7.250000000000016</v>
      </c>
      <c r="I277" s="69">
        <v>-3.500000000000004</v>
      </c>
      <c r="J277" s="69">
        <v>0.25000000000001976</v>
      </c>
    </row>
    <row r="278" spans="1:10" x14ac:dyDescent="0.25">
      <c r="A278" s="44">
        <v>0.95833333333333304</v>
      </c>
      <c r="B278" s="69">
        <v>29.839999999999961</v>
      </c>
      <c r="C278" s="69">
        <v>32.079999999999664</v>
      </c>
      <c r="D278" s="69">
        <v>34.320000000000078</v>
      </c>
      <c r="E278" s="69">
        <v>36.559999999999917</v>
      </c>
      <c r="F278" s="69">
        <v>38.799999999999713</v>
      </c>
      <c r="G278" s="69">
        <v>41.039999999999765</v>
      </c>
      <c r="H278" s="69">
        <v>-7.2800000000000162</v>
      </c>
      <c r="I278" s="69">
        <v>-3.520000000000004</v>
      </c>
      <c r="J278" s="69">
        <v>0.24000000000001975</v>
      </c>
    </row>
    <row r="279" spans="1:10" x14ac:dyDescent="0.25">
      <c r="A279" s="44">
        <v>0.96180555555555503</v>
      </c>
      <c r="B279" s="69">
        <v>29.929999999999961</v>
      </c>
      <c r="C279" s="69">
        <v>32.159999999999663</v>
      </c>
      <c r="D279" s="69">
        <v>34.390000000000079</v>
      </c>
      <c r="E279" s="69">
        <v>36.619999999999919</v>
      </c>
      <c r="F279" s="69">
        <v>38.84999999999971</v>
      </c>
      <c r="G279" s="69">
        <v>41.079999999999764</v>
      </c>
      <c r="H279" s="69">
        <v>-7.3100000000000165</v>
      </c>
      <c r="I279" s="69">
        <v>-3.540000000000004</v>
      </c>
      <c r="J279" s="69">
        <v>0.23000000000001974</v>
      </c>
    </row>
    <row r="280" spans="1:10" x14ac:dyDescent="0.25">
      <c r="A280" s="44">
        <v>0.96527777777777801</v>
      </c>
      <c r="B280" s="69">
        <v>30.01999999999996</v>
      </c>
      <c r="C280" s="69">
        <v>32.239999999999661</v>
      </c>
      <c r="D280" s="69">
        <v>34.460000000000079</v>
      </c>
      <c r="E280" s="69">
        <v>36.679999999999922</v>
      </c>
      <c r="F280" s="69">
        <v>38.899999999999707</v>
      </c>
      <c r="G280" s="69">
        <v>41.119999999999763</v>
      </c>
      <c r="H280" s="69">
        <v>-7.3400000000000167</v>
      </c>
      <c r="I280" s="69">
        <v>-3.5600000000000041</v>
      </c>
      <c r="J280" s="69">
        <v>0.22000000000001974</v>
      </c>
    </row>
    <row r="281" spans="1:10" x14ac:dyDescent="0.25">
      <c r="A281" s="44">
        <v>0.96875</v>
      </c>
      <c r="B281" s="69">
        <v>30.10999999999996</v>
      </c>
      <c r="C281" s="69">
        <v>32.319999999999659</v>
      </c>
      <c r="D281" s="69">
        <v>34.530000000000079</v>
      </c>
      <c r="E281" s="69">
        <v>36.739999999999924</v>
      </c>
      <c r="F281" s="69">
        <v>38.949999999999704</v>
      </c>
      <c r="G281" s="69">
        <v>41.159999999999762</v>
      </c>
      <c r="H281" s="69">
        <v>-7.370000000000017</v>
      </c>
      <c r="I281" s="69">
        <v>-3.5800000000000041</v>
      </c>
      <c r="J281" s="69">
        <v>0.21000000000001973</v>
      </c>
    </row>
    <row r="282" spans="1:10" x14ac:dyDescent="0.25">
      <c r="A282" s="44">
        <v>0.97222222222222199</v>
      </c>
      <c r="B282" s="69">
        <v>30.19999999999996</v>
      </c>
      <c r="C282" s="69">
        <v>32.399999999999658</v>
      </c>
      <c r="D282" s="69">
        <v>34.60000000000008</v>
      </c>
      <c r="E282" s="69">
        <v>36.799999999999926</v>
      </c>
      <c r="F282" s="69">
        <v>38.999999999999702</v>
      </c>
      <c r="G282" s="69">
        <v>41.199999999999761</v>
      </c>
      <c r="H282" s="69">
        <v>-7.4000000000000172</v>
      </c>
      <c r="I282" s="69">
        <v>-3.6000000000000041</v>
      </c>
      <c r="J282" s="69">
        <v>0.20000000000001972</v>
      </c>
    </row>
    <row r="283" spans="1:10" x14ac:dyDescent="0.25">
      <c r="A283" s="44">
        <v>0.97569444444444398</v>
      </c>
      <c r="B283" s="69">
        <v>30.28999999999996</v>
      </c>
      <c r="C283" s="69">
        <v>32.479999999999656</v>
      </c>
      <c r="D283" s="69">
        <v>34.67000000000008</v>
      </c>
      <c r="E283" s="69">
        <v>36.859999999999928</v>
      </c>
      <c r="F283" s="69">
        <v>39.049999999999699</v>
      </c>
      <c r="G283" s="69">
        <v>41.23999999999976</v>
      </c>
      <c r="H283" s="69">
        <v>-7.4300000000000175</v>
      </c>
      <c r="I283" s="69">
        <v>-3.6200000000000041</v>
      </c>
      <c r="J283" s="69">
        <v>0.19000000000001971</v>
      </c>
    </row>
    <row r="284" spans="1:10" x14ac:dyDescent="0.25">
      <c r="A284" s="44">
        <v>0.97916666666666696</v>
      </c>
      <c r="B284" s="69">
        <v>30.37999999999996</v>
      </c>
      <c r="C284" s="69">
        <v>32.559999999999654</v>
      </c>
      <c r="D284" s="69">
        <v>34.74000000000008</v>
      </c>
      <c r="E284" s="69">
        <v>36.919999999999931</v>
      </c>
      <c r="F284" s="69">
        <v>39.099999999999696</v>
      </c>
      <c r="G284" s="69">
        <v>41.27999999999976</v>
      </c>
      <c r="H284" s="69">
        <v>-7.4600000000000177</v>
      </c>
      <c r="I284" s="69">
        <v>-3.6400000000000041</v>
      </c>
      <c r="J284" s="69">
        <v>0.1800000000000197</v>
      </c>
    </row>
    <row r="285" spans="1:10" x14ac:dyDescent="0.25">
      <c r="A285" s="44">
        <v>0.98263888888888895</v>
      </c>
      <c r="B285" s="69">
        <v>30.46999999999996</v>
      </c>
      <c r="C285" s="69">
        <v>32.639999999999652</v>
      </c>
      <c r="D285" s="69">
        <v>34.81000000000008</v>
      </c>
      <c r="E285" s="69">
        <v>36.979999999999933</v>
      </c>
      <c r="F285" s="69">
        <v>39.149999999999693</v>
      </c>
      <c r="G285" s="69">
        <v>41.319999999999759</v>
      </c>
      <c r="H285" s="69">
        <v>-7.490000000000018</v>
      </c>
      <c r="I285" s="69">
        <v>-3.6600000000000041</v>
      </c>
      <c r="J285" s="69">
        <v>0.17000000000001969</v>
      </c>
    </row>
    <row r="286" spans="1:10" x14ac:dyDescent="0.25">
      <c r="A286" s="44">
        <v>0.98611111111111105</v>
      </c>
      <c r="B286" s="69">
        <v>30.55999999999996</v>
      </c>
      <c r="C286" s="69">
        <v>32.719999999999651</v>
      </c>
      <c r="D286" s="69">
        <v>34.880000000000081</v>
      </c>
      <c r="E286" s="69">
        <v>37.039999999999935</v>
      </c>
      <c r="F286" s="69">
        <v>39.19999999999969</v>
      </c>
      <c r="G286" s="69">
        <v>41.359999999999758</v>
      </c>
      <c r="H286" s="69">
        <v>-7.5200000000000182</v>
      </c>
      <c r="I286" s="69">
        <v>-3.6800000000000042</v>
      </c>
      <c r="J286" s="69">
        <v>0.16000000000001968</v>
      </c>
    </row>
    <row r="287" spans="1:10" x14ac:dyDescent="0.25">
      <c r="A287" s="44">
        <v>0.98958333333333304</v>
      </c>
      <c r="B287" s="69">
        <v>30.649999999999959</v>
      </c>
      <c r="C287" s="69">
        <v>32.799999999999649</v>
      </c>
      <c r="D287" s="69">
        <v>34.950000000000081</v>
      </c>
      <c r="E287" s="69">
        <v>37.099999999999937</v>
      </c>
      <c r="F287" s="69">
        <v>39.249999999999687</v>
      </c>
      <c r="G287" s="69">
        <v>41.399999999999757</v>
      </c>
      <c r="H287" s="69">
        <v>-7.5500000000000185</v>
      </c>
      <c r="I287" s="69">
        <v>-3.7000000000000042</v>
      </c>
      <c r="J287" s="69">
        <v>0.15000000000001967</v>
      </c>
    </row>
    <row r="288" spans="1:10" x14ac:dyDescent="0.25">
      <c r="A288" s="44">
        <v>0.99305555555555503</v>
      </c>
      <c r="B288" s="69">
        <v>30.739999999999959</v>
      </c>
      <c r="C288" s="69">
        <v>32.879999999999647</v>
      </c>
      <c r="D288" s="69">
        <v>35.020000000000081</v>
      </c>
      <c r="E288" s="69">
        <v>37.15999999999994</v>
      </c>
      <c r="F288" s="69">
        <v>39.299999999999685</v>
      </c>
      <c r="G288" s="69">
        <v>41.439999999999756</v>
      </c>
      <c r="H288" s="69">
        <v>-7.5800000000000187</v>
      </c>
      <c r="I288" s="69">
        <v>-3.7200000000000042</v>
      </c>
      <c r="J288" s="69">
        <v>0.14000000000001966</v>
      </c>
    </row>
    <row r="289" spans="1:11" x14ac:dyDescent="0.25">
      <c r="A289" s="44">
        <v>0.99652777777777801</v>
      </c>
      <c r="B289" s="69">
        <v>30.829999999999959</v>
      </c>
      <c r="C289" s="69">
        <v>32.959999999999646</v>
      </c>
      <c r="D289" s="69">
        <v>35.090000000000082</v>
      </c>
      <c r="E289" s="69">
        <v>37.219999999999942</v>
      </c>
      <c r="F289" s="69">
        <v>39.349999999999682</v>
      </c>
      <c r="G289" s="69">
        <v>41.479999999999755</v>
      </c>
      <c r="H289" s="69">
        <v>-7.610000000000019</v>
      </c>
      <c r="I289" s="69">
        <v>-3.7400000000000042</v>
      </c>
      <c r="J289" s="69">
        <v>0.13000000000001966</v>
      </c>
    </row>
    <row r="290" spans="1:11" ht="60" x14ac:dyDescent="0.25">
      <c r="K290" s="46" t="s">
        <v>1206</v>
      </c>
    </row>
  </sheetData>
  <customSheetViews>
    <customSheetView guid="{679A3195-3DEA-4AC2-A535-82AAF5B552BC}" state="hidden">
      <selection activeCell="A9" sqref="A9"/>
      <pageMargins left="0.75" right="0.75" top="1" bottom="1" header="0.5" footer="0.5"/>
      <pageSetup orientation="portrait" horizontalDpi="1200" verticalDpi="1200" r:id="rId1"/>
      <headerFooter alignWithMargins="0"/>
    </customSheetView>
    <customSheetView guid="{7378B641-E8D1-4C14-8151-CF4CE159D121}" state="hidden">
      <selection activeCell="A9" sqref="A9"/>
      <pageMargins left="0.75" right="0.75" top="1" bottom="1" header="0.5" footer="0.5"/>
      <pageSetup orientation="portrait" horizontalDpi="1200" verticalDpi="1200" r:id="rId2"/>
      <headerFooter alignWithMargins="0"/>
    </customSheetView>
    <customSheetView guid="{6D63B10B-E1E6-452A-80EB-4B2C7D61CF66}" state="hidden">
      <selection activeCell="A9" sqref="A9"/>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Z35"/>
  <sheetViews>
    <sheetView workbookViewId="0">
      <selection activeCell="A9" sqref="A9"/>
    </sheetView>
  </sheetViews>
  <sheetFormatPr defaultRowHeight="15" x14ac:dyDescent="0.25"/>
  <cols>
    <col min="1" max="1" width="11.5703125" style="3" customWidth="1"/>
    <col min="2" max="2" width="57.28515625" style="3" customWidth="1"/>
    <col min="3" max="14" width="9.140625" style="3"/>
    <col min="15" max="15" width="3.28515625" style="47" customWidth="1"/>
    <col min="16" max="16384" width="9.140625" style="3"/>
  </cols>
  <sheetData>
    <row r="1" spans="1:26" ht="33.75" customHeight="1" x14ac:dyDescent="0.25">
      <c r="A1" s="3" t="s">
        <v>26</v>
      </c>
      <c r="B1" s="4" t="s">
        <v>1177</v>
      </c>
    </row>
    <row r="2" spans="1:26" x14ac:dyDescent="0.25">
      <c r="A2" s="3" t="s">
        <v>20</v>
      </c>
      <c r="B2" s="4" t="s">
        <v>58</v>
      </c>
    </row>
    <row r="3" spans="1:26" x14ac:dyDescent="0.25">
      <c r="A3" s="3" t="s">
        <v>1184</v>
      </c>
      <c r="B3" s="4" t="s">
        <v>1190</v>
      </c>
      <c r="C3" s="837" t="s">
        <v>1202</v>
      </c>
      <c r="D3" s="837"/>
      <c r="E3" s="837"/>
      <c r="F3" s="837"/>
      <c r="G3" s="837"/>
      <c r="H3" s="837"/>
      <c r="I3" s="837"/>
      <c r="J3" s="837"/>
      <c r="K3" s="837"/>
      <c r="L3" s="837"/>
      <c r="M3" s="837"/>
      <c r="N3" s="837"/>
    </row>
    <row r="4" spans="1:26" ht="15" customHeight="1" x14ac:dyDescent="0.25">
      <c r="B4" s="4"/>
      <c r="C4" s="3" t="s">
        <v>61</v>
      </c>
      <c r="O4" s="838" t="s">
        <v>1203</v>
      </c>
      <c r="P4" s="48"/>
      <c r="Q4" s="48"/>
      <c r="R4" s="48"/>
      <c r="S4" s="48"/>
      <c r="T4" s="48"/>
      <c r="U4" s="48"/>
      <c r="V4" s="48"/>
      <c r="W4" s="48"/>
      <c r="X4" s="48"/>
      <c r="Y4" s="48"/>
      <c r="Z4" s="48"/>
    </row>
    <row r="5" spans="1:26" x14ac:dyDescent="0.25">
      <c r="B5" s="4"/>
      <c r="O5" s="838"/>
    </row>
    <row r="6" spans="1:26" x14ac:dyDescent="0.25">
      <c r="O6" s="838"/>
    </row>
    <row r="7" spans="1:26" x14ac:dyDescent="0.25">
      <c r="O7" s="838"/>
    </row>
    <row r="8" spans="1:26" x14ac:dyDescent="0.25">
      <c r="O8" s="838"/>
    </row>
    <row r="9" spans="1:26" x14ac:dyDescent="0.25">
      <c r="O9" s="838"/>
    </row>
    <row r="10" spans="1:26" x14ac:dyDescent="0.25">
      <c r="O10" s="838"/>
    </row>
    <row r="11" spans="1:26" x14ac:dyDescent="0.25">
      <c r="O11" s="838"/>
    </row>
    <row r="12" spans="1:26" x14ac:dyDescent="0.25">
      <c r="O12" s="838"/>
    </row>
    <row r="13" spans="1:26" x14ac:dyDescent="0.25">
      <c r="O13" s="838"/>
    </row>
    <row r="14" spans="1:26" x14ac:dyDescent="0.25">
      <c r="O14" s="838"/>
    </row>
    <row r="15" spans="1:26" x14ac:dyDescent="0.25">
      <c r="O15" s="838"/>
    </row>
    <row r="16" spans="1:26" x14ac:dyDescent="0.25">
      <c r="O16" s="838"/>
    </row>
    <row r="17" spans="15:15" x14ac:dyDescent="0.25">
      <c r="O17" s="838"/>
    </row>
    <row r="18" spans="15:15" x14ac:dyDescent="0.25">
      <c r="O18" s="838"/>
    </row>
    <row r="19" spans="15:15" x14ac:dyDescent="0.25">
      <c r="O19" s="838"/>
    </row>
    <row r="20" spans="15:15" x14ac:dyDescent="0.25">
      <c r="O20" s="838"/>
    </row>
    <row r="21" spans="15:15" x14ac:dyDescent="0.25">
      <c r="O21" s="838"/>
    </row>
    <row r="22" spans="15:15" x14ac:dyDescent="0.25">
      <c r="O22" s="838"/>
    </row>
    <row r="23" spans="15:15" x14ac:dyDescent="0.25">
      <c r="O23" s="838"/>
    </row>
    <row r="24" spans="15:15" x14ac:dyDescent="0.25">
      <c r="O24" s="838"/>
    </row>
    <row r="25" spans="15:15" x14ac:dyDescent="0.25">
      <c r="O25" s="838"/>
    </row>
    <row r="26" spans="15:15" x14ac:dyDescent="0.25">
      <c r="O26" s="838"/>
    </row>
    <row r="27" spans="15:15" x14ac:dyDescent="0.25">
      <c r="O27" s="838"/>
    </row>
    <row r="28" spans="15:15" x14ac:dyDescent="0.25">
      <c r="O28" s="838"/>
    </row>
    <row r="29" spans="15:15" x14ac:dyDescent="0.25">
      <c r="O29" s="838"/>
    </row>
    <row r="30" spans="15:15" x14ac:dyDescent="0.25">
      <c r="O30" s="838"/>
    </row>
    <row r="31" spans="15:15" x14ac:dyDescent="0.25">
      <c r="O31" s="838"/>
    </row>
    <row r="33" spans="3:3" x14ac:dyDescent="0.25">
      <c r="C33" s="37" t="s">
        <v>1204</v>
      </c>
    </row>
    <row r="34" spans="3:3" x14ac:dyDescent="0.25">
      <c r="C34" s="3" t="s">
        <v>1335</v>
      </c>
    </row>
    <row r="35" spans="3:3" x14ac:dyDescent="0.25">
      <c r="C35" s="3" t="s">
        <v>1334</v>
      </c>
    </row>
  </sheetData>
  <customSheetViews>
    <customSheetView guid="{679A3195-3DEA-4AC2-A535-82AAF5B552BC}" fitToPage="1" state="hidden">
      <selection activeCell="A9" sqref="A9"/>
      <pageMargins left="0.7" right="0.7" top="0.75" bottom="0.75" header="0.3" footer="0.3"/>
      <pageSetup scale="67" orientation="landscape" horizontalDpi="4294967293" verticalDpi="4294967293" r:id="rId1"/>
    </customSheetView>
    <customSheetView guid="{7378B641-E8D1-4C14-8151-CF4CE159D121}" fitToPage="1" state="hidden">
      <selection activeCell="A9" sqref="A9"/>
      <pageMargins left="0.7" right="0.7" top="0.75" bottom="0.75" header="0.3" footer="0.3"/>
      <pageSetup scale="67" orientation="landscape" horizontalDpi="4294967293" verticalDpi="4294967293" r:id="rId2"/>
    </customSheetView>
    <customSheetView guid="{6D63B10B-E1E6-452A-80EB-4B2C7D61CF66}" fitToPage="1" state="hidden">
      <selection activeCell="A9" sqref="A9"/>
      <pageMargins left="0.7" right="0.7" top="0.75" bottom="0.75" header="0.3" footer="0.3"/>
      <pageSetup scale="67" orientation="landscape" horizontalDpi="4294967293" verticalDpi="4294967293" r:id="rId3"/>
    </customSheetView>
  </customSheetViews>
  <mergeCells count="2">
    <mergeCell ref="C3:N3"/>
    <mergeCell ref="O4:O31"/>
  </mergeCells>
  <dataValidations count="1">
    <dataValidation type="list" allowBlank="1" showInputMessage="1" showErrorMessage="1" sqref="B2">
      <formula1>"PG&amp;E,SCE,Combined"</formula1>
    </dataValidation>
  </dataValidations>
  <pageMargins left="0.7" right="0.7" top="0.75" bottom="0.75" header="0.3" footer="0.3"/>
  <pageSetup scale="67" orientation="landscape" horizontalDpi="4294967293" verticalDpi="4294967293" r:id="rId4"/>
  <drawing r:id="rId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WVQ26"/>
  <sheetViews>
    <sheetView workbookViewId="0">
      <selection activeCell="A9" sqref="A9"/>
    </sheetView>
  </sheetViews>
  <sheetFormatPr defaultRowHeight="15" x14ac:dyDescent="0.25"/>
  <cols>
    <col min="1" max="1" width="6.42578125" style="3" bestFit="1" customWidth="1"/>
    <col min="2" max="9" width="7.28515625" style="3" bestFit="1" customWidth="1"/>
    <col min="10" max="10" width="55.28515625" style="3" customWidth="1"/>
    <col min="11" max="14" width="9.140625" style="3" customWidth="1"/>
    <col min="15" max="255" width="9.140625" style="3"/>
    <col min="256" max="257" width="13.5703125" style="3" customWidth="1"/>
    <col min="258" max="258" width="7.5703125" style="3" customWidth="1"/>
    <col min="259" max="259" width="9.85546875" style="3" customWidth="1"/>
    <col min="260" max="261" width="9.140625" style="3" hidden="1" customWidth="1"/>
    <col min="262" max="262" width="9.140625" style="3"/>
    <col min="263" max="265" width="9.140625" style="3" hidden="1" customWidth="1"/>
    <col min="266" max="511" width="9.140625" style="3"/>
    <col min="512" max="513" width="13.5703125" style="3" customWidth="1"/>
    <col min="514" max="514" width="7.5703125" style="3" customWidth="1"/>
    <col min="515" max="515" width="9.85546875" style="3" customWidth="1"/>
    <col min="516" max="517" width="9.140625" style="3" hidden="1" customWidth="1"/>
    <col min="518" max="518" width="9.140625" style="3"/>
    <col min="519" max="521" width="9.140625" style="3" hidden="1" customWidth="1"/>
    <col min="522" max="767" width="9.140625" style="3"/>
    <col min="768" max="769" width="13.5703125" style="3" customWidth="1"/>
    <col min="770" max="770" width="7.5703125" style="3" customWidth="1"/>
    <col min="771" max="771" width="9.85546875" style="3" customWidth="1"/>
    <col min="772" max="773" width="9.140625" style="3" hidden="1" customWidth="1"/>
    <col min="774" max="774" width="9.140625" style="3"/>
    <col min="775" max="777" width="9.140625" style="3" hidden="1" customWidth="1"/>
    <col min="778" max="1023" width="9.140625" style="3"/>
    <col min="1024" max="1025" width="13.5703125" style="3" customWidth="1"/>
    <col min="1026" max="1026" width="7.5703125" style="3" customWidth="1"/>
    <col min="1027" max="1027" width="9.85546875" style="3" customWidth="1"/>
    <col min="1028" max="1029" width="9.140625" style="3" hidden="1" customWidth="1"/>
    <col min="1030" max="1030" width="9.140625" style="3"/>
    <col min="1031" max="1033" width="9.140625" style="3" hidden="1" customWidth="1"/>
    <col min="1034" max="1279" width="9.140625" style="3"/>
    <col min="1280" max="1281" width="13.5703125" style="3" customWidth="1"/>
    <col min="1282" max="1282" width="7.5703125" style="3" customWidth="1"/>
    <col min="1283" max="1283" width="9.85546875" style="3" customWidth="1"/>
    <col min="1284" max="1285" width="9.140625" style="3" hidden="1" customWidth="1"/>
    <col min="1286" max="1286" width="9.140625" style="3"/>
    <col min="1287" max="1289" width="9.140625" style="3" hidden="1" customWidth="1"/>
    <col min="1290" max="1535" width="9.140625" style="3"/>
    <col min="1536" max="1537" width="13.5703125" style="3" customWidth="1"/>
    <col min="1538" max="1538" width="7.5703125" style="3" customWidth="1"/>
    <col min="1539" max="1539" width="9.85546875" style="3" customWidth="1"/>
    <col min="1540" max="1541" width="9.140625" style="3" hidden="1" customWidth="1"/>
    <col min="1542" max="1542" width="9.140625" style="3"/>
    <col min="1543" max="1545" width="9.140625" style="3" hidden="1" customWidth="1"/>
    <col min="1546" max="1791" width="9.140625" style="3"/>
    <col min="1792" max="1793" width="13.5703125" style="3" customWidth="1"/>
    <col min="1794" max="1794" width="7.5703125" style="3" customWidth="1"/>
    <col min="1795" max="1795" width="9.85546875" style="3" customWidth="1"/>
    <col min="1796" max="1797" width="9.140625" style="3" hidden="1" customWidth="1"/>
    <col min="1798" max="1798" width="9.140625" style="3"/>
    <col min="1799" max="1801" width="9.140625" style="3" hidden="1" customWidth="1"/>
    <col min="1802" max="2047" width="9.140625" style="3"/>
    <col min="2048" max="2049" width="13.5703125" style="3" customWidth="1"/>
    <col min="2050" max="2050" width="7.5703125" style="3" customWidth="1"/>
    <col min="2051" max="2051" width="9.85546875" style="3" customWidth="1"/>
    <col min="2052" max="2053" width="9.140625" style="3" hidden="1" customWidth="1"/>
    <col min="2054" max="2054" width="9.140625" style="3"/>
    <col min="2055" max="2057" width="9.140625" style="3" hidden="1" customWidth="1"/>
    <col min="2058" max="2303" width="9.140625" style="3"/>
    <col min="2304" max="2305" width="13.5703125" style="3" customWidth="1"/>
    <col min="2306" max="2306" width="7.5703125" style="3" customWidth="1"/>
    <col min="2307" max="2307" width="9.85546875" style="3" customWidth="1"/>
    <col min="2308" max="2309" width="9.140625" style="3" hidden="1" customWidth="1"/>
    <col min="2310" max="2310" width="9.140625" style="3"/>
    <col min="2311" max="2313" width="9.140625" style="3" hidden="1" customWidth="1"/>
    <col min="2314" max="2559" width="9.140625" style="3"/>
    <col min="2560" max="2561" width="13.5703125" style="3" customWidth="1"/>
    <col min="2562" max="2562" width="7.5703125" style="3" customWidth="1"/>
    <col min="2563" max="2563" width="9.85546875" style="3" customWidth="1"/>
    <col min="2564" max="2565" width="9.140625" style="3" hidden="1" customWidth="1"/>
    <col min="2566" max="2566" width="9.140625" style="3"/>
    <col min="2567" max="2569" width="9.140625" style="3" hidden="1" customWidth="1"/>
    <col min="2570" max="2815" width="9.140625" style="3"/>
    <col min="2816" max="2817" width="13.5703125" style="3" customWidth="1"/>
    <col min="2818" max="2818" width="7.5703125" style="3" customWidth="1"/>
    <col min="2819" max="2819" width="9.85546875" style="3" customWidth="1"/>
    <col min="2820" max="2821" width="9.140625" style="3" hidden="1" customWidth="1"/>
    <col min="2822" max="2822" width="9.140625" style="3"/>
    <col min="2823" max="2825" width="9.140625" style="3" hidden="1" customWidth="1"/>
    <col min="2826" max="3071" width="9.140625" style="3"/>
    <col min="3072" max="3073" width="13.5703125" style="3" customWidth="1"/>
    <col min="3074" max="3074" width="7.5703125" style="3" customWidth="1"/>
    <col min="3075" max="3075" width="9.85546875" style="3" customWidth="1"/>
    <col min="3076" max="3077" width="9.140625" style="3" hidden="1" customWidth="1"/>
    <col min="3078" max="3078" width="9.140625" style="3"/>
    <col min="3079" max="3081" width="9.140625" style="3" hidden="1" customWidth="1"/>
    <col min="3082" max="3327" width="9.140625" style="3"/>
    <col min="3328" max="3329" width="13.5703125" style="3" customWidth="1"/>
    <col min="3330" max="3330" width="7.5703125" style="3" customWidth="1"/>
    <col min="3331" max="3331" width="9.85546875" style="3" customWidth="1"/>
    <col min="3332" max="3333" width="9.140625" style="3" hidden="1" customWidth="1"/>
    <col min="3334" max="3334" width="9.140625" style="3"/>
    <col min="3335" max="3337" width="9.140625" style="3" hidden="1" customWidth="1"/>
    <col min="3338" max="3583" width="9.140625" style="3"/>
    <col min="3584" max="3585" width="13.5703125" style="3" customWidth="1"/>
    <col min="3586" max="3586" width="7.5703125" style="3" customWidth="1"/>
    <col min="3587" max="3587" width="9.85546875" style="3" customWidth="1"/>
    <col min="3588" max="3589" width="9.140625" style="3" hidden="1" customWidth="1"/>
    <col min="3590" max="3590" width="9.140625" style="3"/>
    <col min="3591" max="3593" width="9.140625" style="3" hidden="1" customWidth="1"/>
    <col min="3594" max="3839" width="9.140625" style="3"/>
    <col min="3840" max="3841" width="13.5703125" style="3" customWidth="1"/>
    <col min="3842" max="3842" width="7.5703125" style="3" customWidth="1"/>
    <col min="3843" max="3843" width="9.85546875" style="3" customWidth="1"/>
    <col min="3844" max="3845" width="9.140625" style="3" hidden="1" customWidth="1"/>
    <col min="3846" max="3846" width="9.140625" style="3"/>
    <col min="3847" max="3849" width="9.140625" style="3" hidden="1" customWidth="1"/>
    <col min="3850" max="4095" width="9.140625" style="3"/>
    <col min="4096" max="4097" width="13.5703125" style="3" customWidth="1"/>
    <col min="4098" max="4098" width="7.5703125" style="3" customWidth="1"/>
    <col min="4099" max="4099" width="9.85546875" style="3" customWidth="1"/>
    <col min="4100" max="4101" width="9.140625" style="3" hidden="1" customWidth="1"/>
    <col min="4102" max="4102" width="9.140625" style="3"/>
    <col min="4103" max="4105" width="9.140625" style="3" hidden="1" customWidth="1"/>
    <col min="4106" max="4351" width="9.140625" style="3"/>
    <col min="4352" max="4353" width="13.5703125" style="3" customWidth="1"/>
    <col min="4354" max="4354" width="7.5703125" style="3" customWidth="1"/>
    <col min="4355" max="4355" width="9.85546875" style="3" customWidth="1"/>
    <col min="4356" max="4357" width="9.140625" style="3" hidden="1" customWidth="1"/>
    <col min="4358" max="4358" width="9.140625" style="3"/>
    <col min="4359" max="4361" width="9.140625" style="3" hidden="1" customWidth="1"/>
    <col min="4362" max="4607" width="9.140625" style="3"/>
    <col min="4608" max="4609" width="13.5703125" style="3" customWidth="1"/>
    <col min="4610" max="4610" width="7.5703125" style="3" customWidth="1"/>
    <col min="4611" max="4611" width="9.85546875" style="3" customWidth="1"/>
    <col min="4612" max="4613" width="9.140625" style="3" hidden="1" customWidth="1"/>
    <col min="4614" max="4614" width="9.140625" style="3"/>
    <col min="4615" max="4617" width="9.140625" style="3" hidden="1" customWidth="1"/>
    <col min="4618" max="4863" width="9.140625" style="3"/>
    <col min="4864" max="4865" width="13.5703125" style="3" customWidth="1"/>
    <col min="4866" max="4866" width="7.5703125" style="3" customWidth="1"/>
    <col min="4867" max="4867" width="9.85546875" style="3" customWidth="1"/>
    <col min="4868" max="4869" width="9.140625" style="3" hidden="1" customWidth="1"/>
    <col min="4870" max="4870" width="9.140625" style="3"/>
    <col min="4871" max="4873" width="9.140625" style="3" hidden="1" customWidth="1"/>
    <col min="4874" max="5119" width="9.140625" style="3"/>
    <col min="5120" max="5121" width="13.5703125" style="3" customWidth="1"/>
    <col min="5122" max="5122" width="7.5703125" style="3" customWidth="1"/>
    <col min="5123" max="5123" width="9.85546875" style="3" customWidth="1"/>
    <col min="5124" max="5125" width="9.140625" style="3" hidden="1" customWidth="1"/>
    <col min="5126" max="5126" width="9.140625" style="3"/>
    <col min="5127" max="5129" width="9.140625" style="3" hidden="1" customWidth="1"/>
    <col min="5130" max="5375" width="9.140625" style="3"/>
    <col min="5376" max="5377" width="13.5703125" style="3" customWidth="1"/>
    <col min="5378" max="5378" width="7.5703125" style="3" customWidth="1"/>
    <col min="5379" max="5379" width="9.85546875" style="3" customWidth="1"/>
    <col min="5380" max="5381" width="9.140625" style="3" hidden="1" customWidth="1"/>
    <col min="5382" max="5382" width="9.140625" style="3"/>
    <col min="5383" max="5385" width="9.140625" style="3" hidden="1" customWidth="1"/>
    <col min="5386" max="5631" width="9.140625" style="3"/>
    <col min="5632" max="5633" width="13.5703125" style="3" customWidth="1"/>
    <col min="5634" max="5634" width="7.5703125" style="3" customWidth="1"/>
    <col min="5635" max="5635" width="9.85546875" style="3" customWidth="1"/>
    <col min="5636" max="5637" width="9.140625" style="3" hidden="1" customWidth="1"/>
    <col min="5638" max="5638" width="9.140625" style="3"/>
    <col min="5639" max="5641" width="9.140625" style="3" hidden="1" customWidth="1"/>
    <col min="5642" max="5887" width="9.140625" style="3"/>
    <col min="5888" max="5889" width="13.5703125" style="3" customWidth="1"/>
    <col min="5890" max="5890" width="7.5703125" style="3" customWidth="1"/>
    <col min="5891" max="5891" width="9.85546875" style="3" customWidth="1"/>
    <col min="5892" max="5893" width="9.140625" style="3" hidden="1" customWidth="1"/>
    <col min="5894" max="5894" width="9.140625" style="3"/>
    <col min="5895" max="5897" width="9.140625" style="3" hidden="1" customWidth="1"/>
    <col min="5898" max="6143" width="9.140625" style="3"/>
    <col min="6144" max="6145" width="13.5703125" style="3" customWidth="1"/>
    <col min="6146" max="6146" width="7.5703125" style="3" customWidth="1"/>
    <col min="6147" max="6147" width="9.85546875" style="3" customWidth="1"/>
    <col min="6148" max="6149" width="9.140625" style="3" hidden="1" customWidth="1"/>
    <col min="6150" max="6150" width="9.140625" style="3"/>
    <col min="6151" max="6153" width="9.140625" style="3" hidden="1" customWidth="1"/>
    <col min="6154" max="6399" width="9.140625" style="3"/>
    <col min="6400" max="6401" width="13.5703125" style="3" customWidth="1"/>
    <col min="6402" max="6402" width="7.5703125" style="3" customWidth="1"/>
    <col min="6403" max="6403" width="9.85546875" style="3" customWidth="1"/>
    <col min="6404" max="6405" width="9.140625" style="3" hidden="1" customWidth="1"/>
    <col min="6406" max="6406" width="9.140625" style="3"/>
    <col min="6407" max="6409" width="9.140625" style="3" hidden="1" customWidth="1"/>
    <col min="6410" max="6655" width="9.140625" style="3"/>
    <col min="6656" max="6657" width="13.5703125" style="3" customWidth="1"/>
    <col min="6658" max="6658" width="7.5703125" style="3" customWidth="1"/>
    <col min="6659" max="6659" width="9.85546875" style="3" customWidth="1"/>
    <col min="6660" max="6661" width="9.140625" style="3" hidden="1" customWidth="1"/>
    <col min="6662" max="6662" width="9.140625" style="3"/>
    <col min="6663" max="6665" width="9.140625" style="3" hidden="1" customWidth="1"/>
    <col min="6666" max="6911" width="9.140625" style="3"/>
    <col min="6912" max="6913" width="13.5703125" style="3" customWidth="1"/>
    <col min="6914" max="6914" width="7.5703125" style="3" customWidth="1"/>
    <col min="6915" max="6915" width="9.85546875" style="3" customWidth="1"/>
    <col min="6916" max="6917" width="9.140625" style="3" hidden="1" customWidth="1"/>
    <col min="6918" max="6918" width="9.140625" style="3"/>
    <col min="6919" max="6921" width="9.140625" style="3" hidden="1" customWidth="1"/>
    <col min="6922" max="7167" width="9.140625" style="3"/>
    <col min="7168" max="7169" width="13.5703125" style="3" customWidth="1"/>
    <col min="7170" max="7170" width="7.5703125" style="3" customWidth="1"/>
    <col min="7171" max="7171" width="9.85546875" style="3" customWidth="1"/>
    <col min="7172" max="7173" width="9.140625" style="3" hidden="1" customWidth="1"/>
    <col min="7174" max="7174" width="9.140625" style="3"/>
    <col min="7175" max="7177" width="9.140625" style="3" hidden="1" customWidth="1"/>
    <col min="7178" max="7423" width="9.140625" style="3"/>
    <col min="7424" max="7425" width="13.5703125" style="3" customWidth="1"/>
    <col min="7426" max="7426" width="7.5703125" style="3" customWidth="1"/>
    <col min="7427" max="7427" width="9.85546875" style="3" customWidth="1"/>
    <col min="7428" max="7429" width="9.140625" style="3" hidden="1" customWidth="1"/>
    <col min="7430" max="7430" width="9.140625" style="3"/>
    <col min="7431" max="7433" width="9.140625" style="3" hidden="1" customWidth="1"/>
    <col min="7434" max="7679" width="9.140625" style="3"/>
    <col min="7680" max="7681" width="13.5703125" style="3" customWidth="1"/>
    <col min="7682" max="7682" width="7.5703125" style="3" customWidth="1"/>
    <col min="7683" max="7683" width="9.85546875" style="3" customWidth="1"/>
    <col min="7684" max="7685" width="9.140625" style="3" hidden="1" customWidth="1"/>
    <col min="7686" max="7686" width="9.140625" style="3"/>
    <col min="7687" max="7689" width="9.140625" style="3" hidden="1" customWidth="1"/>
    <col min="7690" max="7935" width="9.140625" style="3"/>
    <col min="7936" max="7937" width="13.5703125" style="3" customWidth="1"/>
    <col min="7938" max="7938" width="7.5703125" style="3" customWidth="1"/>
    <col min="7939" max="7939" width="9.85546875" style="3" customWidth="1"/>
    <col min="7940" max="7941" width="9.140625" style="3" hidden="1" customWidth="1"/>
    <col min="7942" max="7942" width="9.140625" style="3"/>
    <col min="7943" max="7945" width="9.140625" style="3" hidden="1" customWidth="1"/>
    <col min="7946" max="8191" width="9.140625" style="3"/>
    <col min="8192" max="8193" width="13.5703125" style="3" customWidth="1"/>
    <col min="8194" max="8194" width="7.5703125" style="3" customWidth="1"/>
    <col min="8195" max="8195" width="9.85546875" style="3" customWidth="1"/>
    <col min="8196" max="8197" width="9.140625" style="3" hidden="1" customWidth="1"/>
    <col min="8198" max="8198" width="9.140625" style="3"/>
    <col min="8199" max="8201" width="9.140625" style="3" hidden="1" customWidth="1"/>
    <col min="8202" max="8447" width="9.140625" style="3"/>
    <col min="8448" max="8449" width="13.5703125" style="3" customWidth="1"/>
    <col min="8450" max="8450" width="7.5703125" style="3" customWidth="1"/>
    <col min="8451" max="8451" width="9.85546875" style="3" customWidth="1"/>
    <col min="8452" max="8453" width="9.140625" style="3" hidden="1" customWidth="1"/>
    <col min="8454" max="8454" width="9.140625" style="3"/>
    <col min="8455" max="8457" width="9.140625" style="3" hidden="1" customWidth="1"/>
    <col min="8458" max="8703" width="9.140625" style="3"/>
    <col min="8704" max="8705" width="13.5703125" style="3" customWidth="1"/>
    <col min="8706" max="8706" width="7.5703125" style="3" customWidth="1"/>
    <col min="8707" max="8707" width="9.85546875" style="3" customWidth="1"/>
    <col min="8708" max="8709" width="9.140625" style="3" hidden="1" customWidth="1"/>
    <col min="8710" max="8710" width="9.140625" style="3"/>
    <col min="8711" max="8713" width="9.140625" style="3" hidden="1" customWidth="1"/>
    <col min="8714" max="8959" width="9.140625" style="3"/>
    <col min="8960" max="8961" width="13.5703125" style="3" customWidth="1"/>
    <col min="8962" max="8962" width="7.5703125" style="3" customWidth="1"/>
    <col min="8963" max="8963" width="9.85546875" style="3" customWidth="1"/>
    <col min="8964" max="8965" width="9.140625" style="3" hidden="1" customWidth="1"/>
    <col min="8966" max="8966" width="9.140625" style="3"/>
    <col min="8967" max="8969" width="9.140625" style="3" hidden="1" customWidth="1"/>
    <col min="8970" max="9215" width="9.140625" style="3"/>
    <col min="9216" max="9217" width="13.5703125" style="3" customWidth="1"/>
    <col min="9218" max="9218" width="7.5703125" style="3" customWidth="1"/>
    <col min="9219" max="9219" width="9.85546875" style="3" customWidth="1"/>
    <col min="9220" max="9221" width="9.140625" style="3" hidden="1" customWidth="1"/>
    <col min="9222" max="9222" width="9.140625" style="3"/>
    <col min="9223" max="9225" width="9.140625" style="3" hidden="1" customWidth="1"/>
    <col min="9226" max="9471" width="9.140625" style="3"/>
    <col min="9472" max="9473" width="13.5703125" style="3" customWidth="1"/>
    <col min="9474" max="9474" width="7.5703125" style="3" customWidth="1"/>
    <col min="9475" max="9475" width="9.85546875" style="3" customWidth="1"/>
    <col min="9476" max="9477" width="9.140625" style="3" hidden="1" customWidth="1"/>
    <col min="9478" max="9478" width="9.140625" style="3"/>
    <col min="9479" max="9481" width="9.140625" style="3" hidden="1" customWidth="1"/>
    <col min="9482" max="9727" width="9.140625" style="3"/>
    <col min="9728" max="9729" width="13.5703125" style="3" customWidth="1"/>
    <col min="9730" max="9730" width="7.5703125" style="3" customWidth="1"/>
    <col min="9731" max="9731" width="9.85546875" style="3" customWidth="1"/>
    <col min="9732" max="9733" width="9.140625" style="3" hidden="1" customWidth="1"/>
    <col min="9734" max="9734" width="9.140625" style="3"/>
    <col min="9735" max="9737" width="9.140625" style="3" hidden="1" customWidth="1"/>
    <col min="9738" max="9983" width="9.140625" style="3"/>
    <col min="9984" max="9985" width="13.5703125" style="3" customWidth="1"/>
    <col min="9986" max="9986" width="7.5703125" style="3" customWidth="1"/>
    <col min="9987" max="9987" width="9.85546875" style="3" customWidth="1"/>
    <col min="9988" max="9989" width="9.140625" style="3" hidden="1" customWidth="1"/>
    <col min="9990" max="9990" width="9.140625" style="3"/>
    <col min="9991" max="9993" width="9.140625" style="3" hidden="1" customWidth="1"/>
    <col min="9994" max="10239" width="9.140625" style="3"/>
    <col min="10240" max="10241" width="13.5703125" style="3" customWidth="1"/>
    <col min="10242" max="10242" width="7.5703125" style="3" customWidth="1"/>
    <col min="10243" max="10243" width="9.85546875" style="3" customWidth="1"/>
    <col min="10244" max="10245" width="9.140625" style="3" hidden="1" customWidth="1"/>
    <col min="10246" max="10246" width="9.140625" style="3"/>
    <col min="10247" max="10249" width="9.140625" style="3" hidden="1" customWidth="1"/>
    <col min="10250" max="10495" width="9.140625" style="3"/>
    <col min="10496" max="10497" width="13.5703125" style="3" customWidth="1"/>
    <col min="10498" max="10498" width="7.5703125" style="3" customWidth="1"/>
    <col min="10499" max="10499" width="9.85546875" style="3" customWidth="1"/>
    <col min="10500" max="10501" width="9.140625" style="3" hidden="1" customWidth="1"/>
    <col min="10502" max="10502" width="9.140625" style="3"/>
    <col min="10503" max="10505" width="9.140625" style="3" hidden="1" customWidth="1"/>
    <col min="10506" max="10751" width="9.140625" style="3"/>
    <col min="10752" max="10753" width="13.5703125" style="3" customWidth="1"/>
    <col min="10754" max="10754" width="7.5703125" style="3" customWidth="1"/>
    <col min="10755" max="10755" width="9.85546875" style="3" customWidth="1"/>
    <col min="10756" max="10757" width="9.140625" style="3" hidden="1" customWidth="1"/>
    <col min="10758" max="10758" width="9.140625" style="3"/>
    <col min="10759" max="10761" width="9.140625" style="3" hidden="1" customWidth="1"/>
    <col min="10762" max="11007" width="9.140625" style="3"/>
    <col min="11008" max="11009" width="13.5703125" style="3" customWidth="1"/>
    <col min="11010" max="11010" width="7.5703125" style="3" customWidth="1"/>
    <col min="11011" max="11011" width="9.85546875" style="3" customWidth="1"/>
    <col min="11012" max="11013" width="9.140625" style="3" hidden="1" customWidth="1"/>
    <col min="11014" max="11014" width="9.140625" style="3"/>
    <col min="11015" max="11017" width="9.140625" style="3" hidden="1" customWidth="1"/>
    <col min="11018" max="11263" width="9.140625" style="3"/>
    <col min="11264" max="11265" width="13.5703125" style="3" customWidth="1"/>
    <col min="11266" max="11266" width="7.5703125" style="3" customWidth="1"/>
    <col min="11267" max="11267" width="9.85546875" style="3" customWidth="1"/>
    <col min="11268" max="11269" width="9.140625" style="3" hidden="1" customWidth="1"/>
    <col min="11270" max="11270" width="9.140625" style="3"/>
    <col min="11271" max="11273" width="9.140625" style="3" hidden="1" customWidth="1"/>
    <col min="11274" max="11519" width="9.140625" style="3"/>
    <col min="11520" max="11521" width="13.5703125" style="3" customWidth="1"/>
    <col min="11522" max="11522" width="7.5703125" style="3" customWidth="1"/>
    <col min="11523" max="11523" width="9.85546875" style="3" customWidth="1"/>
    <col min="11524" max="11525" width="9.140625" style="3" hidden="1" customWidth="1"/>
    <col min="11526" max="11526" width="9.140625" style="3"/>
    <col min="11527" max="11529" width="9.140625" style="3" hidden="1" customWidth="1"/>
    <col min="11530" max="11775" width="9.140625" style="3"/>
    <col min="11776" max="11777" width="13.5703125" style="3" customWidth="1"/>
    <col min="11778" max="11778" width="7.5703125" style="3" customWidth="1"/>
    <col min="11779" max="11779" width="9.85546875" style="3" customWidth="1"/>
    <col min="11780" max="11781" width="9.140625" style="3" hidden="1" customWidth="1"/>
    <col min="11782" max="11782" width="9.140625" style="3"/>
    <col min="11783" max="11785" width="9.140625" style="3" hidden="1" customWidth="1"/>
    <col min="11786" max="12031" width="9.140625" style="3"/>
    <col min="12032" max="12033" width="13.5703125" style="3" customWidth="1"/>
    <col min="12034" max="12034" width="7.5703125" style="3" customWidth="1"/>
    <col min="12035" max="12035" width="9.85546875" style="3" customWidth="1"/>
    <col min="12036" max="12037" width="9.140625" style="3" hidden="1" customWidth="1"/>
    <col min="12038" max="12038" width="9.140625" style="3"/>
    <col min="12039" max="12041" width="9.140625" style="3" hidden="1" customWidth="1"/>
    <col min="12042" max="12287" width="9.140625" style="3"/>
    <col min="12288" max="12289" width="13.5703125" style="3" customWidth="1"/>
    <col min="12290" max="12290" width="7.5703125" style="3" customWidth="1"/>
    <col min="12291" max="12291" width="9.85546875" style="3" customWidth="1"/>
    <col min="12292" max="12293" width="9.140625" style="3" hidden="1" customWidth="1"/>
    <col min="12294" max="12294" width="9.140625" style="3"/>
    <col min="12295" max="12297" width="9.140625" style="3" hidden="1" customWidth="1"/>
    <col min="12298" max="12543" width="9.140625" style="3"/>
    <col min="12544" max="12545" width="13.5703125" style="3" customWidth="1"/>
    <col min="12546" max="12546" width="7.5703125" style="3" customWidth="1"/>
    <col min="12547" max="12547" width="9.85546875" style="3" customWidth="1"/>
    <col min="12548" max="12549" width="9.140625" style="3" hidden="1" customWidth="1"/>
    <col min="12550" max="12550" width="9.140625" style="3"/>
    <col min="12551" max="12553" width="9.140625" style="3" hidden="1" customWidth="1"/>
    <col min="12554" max="12799" width="9.140625" style="3"/>
    <col min="12800" max="12801" width="13.5703125" style="3" customWidth="1"/>
    <col min="12802" max="12802" width="7.5703125" style="3" customWidth="1"/>
    <col min="12803" max="12803" width="9.85546875" style="3" customWidth="1"/>
    <col min="12804" max="12805" width="9.140625" style="3" hidden="1" customWidth="1"/>
    <col min="12806" max="12806" width="9.140625" style="3"/>
    <col min="12807" max="12809" width="9.140625" style="3" hidden="1" customWidth="1"/>
    <col min="12810" max="13055" width="9.140625" style="3"/>
    <col min="13056" max="13057" width="13.5703125" style="3" customWidth="1"/>
    <col min="13058" max="13058" width="7.5703125" style="3" customWidth="1"/>
    <col min="13059" max="13059" width="9.85546875" style="3" customWidth="1"/>
    <col min="13060" max="13061" width="9.140625" style="3" hidden="1" customWidth="1"/>
    <col min="13062" max="13062" width="9.140625" style="3"/>
    <col min="13063" max="13065" width="9.140625" style="3" hidden="1" customWidth="1"/>
    <col min="13066" max="13311" width="9.140625" style="3"/>
    <col min="13312" max="13313" width="13.5703125" style="3" customWidth="1"/>
    <col min="13314" max="13314" width="7.5703125" style="3" customWidth="1"/>
    <col min="13315" max="13315" width="9.85546875" style="3" customWidth="1"/>
    <col min="13316" max="13317" width="9.140625" style="3" hidden="1" customWidth="1"/>
    <col min="13318" max="13318" width="9.140625" style="3"/>
    <col min="13319" max="13321" width="9.140625" style="3" hidden="1" customWidth="1"/>
    <col min="13322" max="13567" width="9.140625" style="3"/>
    <col min="13568" max="13569" width="13.5703125" style="3" customWidth="1"/>
    <col min="13570" max="13570" width="7.5703125" style="3" customWidth="1"/>
    <col min="13571" max="13571" width="9.85546875" style="3" customWidth="1"/>
    <col min="13572" max="13573" width="9.140625" style="3" hidden="1" customWidth="1"/>
    <col min="13574" max="13574" width="9.140625" style="3"/>
    <col min="13575" max="13577" width="9.140625" style="3" hidden="1" customWidth="1"/>
    <col min="13578" max="13823" width="9.140625" style="3"/>
    <col min="13824" max="13825" width="13.5703125" style="3" customWidth="1"/>
    <col min="13826" max="13826" width="7.5703125" style="3" customWidth="1"/>
    <col min="13827" max="13827" width="9.85546875" style="3" customWidth="1"/>
    <col min="13828" max="13829" width="9.140625" style="3" hidden="1" customWidth="1"/>
    <col min="13830" max="13830" width="9.140625" style="3"/>
    <col min="13831" max="13833" width="9.140625" style="3" hidden="1" customWidth="1"/>
    <col min="13834" max="14079" width="9.140625" style="3"/>
    <col min="14080" max="14081" width="13.5703125" style="3" customWidth="1"/>
    <col min="14082" max="14082" width="7.5703125" style="3" customWidth="1"/>
    <col min="14083" max="14083" width="9.85546875" style="3" customWidth="1"/>
    <col min="14084" max="14085" width="9.140625" style="3" hidden="1" customWidth="1"/>
    <col min="14086" max="14086" width="9.140625" style="3"/>
    <col min="14087" max="14089" width="9.140625" style="3" hidden="1" customWidth="1"/>
    <col min="14090" max="14335" width="9.140625" style="3"/>
    <col min="14336" max="14337" width="13.5703125" style="3" customWidth="1"/>
    <col min="14338" max="14338" width="7.5703125" style="3" customWidth="1"/>
    <col min="14339" max="14339" width="9.85546875" style="3" customWidth="1"/>
    <col min="14340" max="14341" width="9.140625" style="3" hidden="1" customWidth="1"/>
    <col min="14342" max="14342" width="9.140625" style="3"/>
    <col min="14343" max="14345" width="9.140625" style="3" hidden="1" customWidth="1"/>
    <col min="14346" max="14591" width="9.140625" style="3"/>
    <col min="14592" max="14593" width="13.5703125" style="3" customWidth="1"/>
    <col min="14594" max="14594" width="7.5703125" style="3" customWidth="1"/>
    <col min="14595" max="14595" width="9.85546875" style="3" customWidth="1"/>
    <col min="14596" max="14597" width="9.140625" style="3" hidden="1" customWidth="1"/>
    <col min="14598" max="14598" width="9.140625" style="3"/>
    <col min="14599" max="14601" width="9.140625" style="3" hidden="1" customWidth="1"/>
    <col min="14602" max="14847" width="9.140625" style="3"/>
    <col min="14848" max="14849" width="13.5703125" style="3" customWidth="1"/>
    <col min="14850" max="14850" width="7.5703125" style="3" customWidth="1"/>
    <col min="14851" max="14851" width="9.85546875" style="3" customWidth="1"/>
    <col min="14852" max="14853" width="9.140625" style="3" hidden="1" customWidth="1"/>
    <col min="14854" max="14854" width="9.140625" style="3"/>
    <col min="14855" max="14857" width="9.140625" style="3" hidden="1" customWidth="1"/>
    <col min="14858" max="15103" width="9.140625" style="3"/>
    <col min="15104" max="15105" width="13.5703125" style="3" customWidth="1"/>
    <col min="15106" max="15106" width="7.5703125" style="3" customWidth="1"/>
    <col min="15107" max="15107" width="9.85546875" style="3" customWidth="1"/>
    <col min="15108" max="15109" width="9.140625" style="3" hidden="1" customWidth="1"/>
    <col min="15110" max="15110" width="9.140625" style="3"/>
    <col min="15111" max="15113" width="9.140625" style="3" hidden="1" customWidth="1"/>
    <col min="15114" max="15359" width="9.140625" style="3"/>
    <col min="15360" max="15361" width="13.5703125" style="3" customWidth="1"/>
    <col min="15362" max="15362" width="7.5703125" style="3" customWidth="1"/>
    <col min="15363" max="15363" width="9.85546875" style="3" customWidth="1"/>
    <col min="15364" max="15365" width="9.140625" style="3" hidden="1" customWidth="1"/>
    <col min="15366" max="15366" width="9.140625" style="3"/>
    <col min="15367" max="15369" width="9.140625" style="3" hidden="1" customWidth="1"/>
    <col min="15370" max="15615" width="9.140625" style="3"/>
    <col min="15616" max="15617" width="13.5703125" style="3" customWidth="1"/>
    <col min="15618" max="15618" width="7.5703125" style="3" customWidth="1"/>
    <col min="15619" max="15619" width="9.85546875" style="3" customWidth="1"/>
    <col min="15620" max="15621" width="9.140625" style="3" hidden="1" customWidth="1"/>
    <col min="15622" max="15622" width="9.140625" style="3"/>
    <col min="15623" max="15625" width="9.140625" style="3" hidden="1" customWidth="1"/>
    <col min="15626" max="15871" width="9.140625" style="3"/>
    <col min="15872" max="15873" width="13.5703125" style="3" customWidth="1"/>
    <col min="15874" max="15874" width="7.5703125" style="3" customWidth="1"/>
    <col min="15875" max="15875" width="9.85546875" style="3" customWidth="1"/>
    <col min="15876" max="15877" width="9.140625" style="3" hidden="1" customWidth="1"/>
    <col min="15878" max="15878" width="9.140625" style="3"/>
    <col min="15879" max="15881" width="9.140625" style="3" hidden="1" customWidth="1"/>
    <col min="15882" max="16127" width="9.140625" style="3"/>
    <col min="16128" max="16129" width="13.5703125" style="3" customWidth="1"/>
    <col min="16130" max="16130" width="7.5703125" style="3" customWidth="1"/>
    <col min="16131" max="16131" width="9.85546875" style="3" customWidth="1"/>
    <col min="16132" max="16133" width="9.140625" style="3" hidden="1" customWidth="1"/>
    <col min="16134" max="16134" width="9.140625" style="3"/>
    <col min="16135" max="16137" width="9.140625" style="3" hidden="1" customWidth="1"/>
    <col min="16138" max="16384" width="9.140625" style="3"/>
  </cols>
  <sheetData>
    <row r="1" spans="1:9" s="49" customFormat="1" ht="14.25" x14ac:dyDescent="0.25">
      <c r="A1" s="43" t="s">
        <v>1205</v>
      </c>
      <c r="B1" s="43" t="s">
        <v>1325</v>
      </c>
      <c r="C1" s="43" t="s">
        <v>1326</v>
      </c>
      <c r="D1" s="43" t="s">
        <v>1327</v>
      </c>
      <c r="E1" s="43" t="s">
        <v>1328</v>
      </c>
      <c r="F1" s="49" t="s">
        <v>1330</v>
      </c>
      <c r="G1" s="43" t="s">
        <v>1331</v>
      </c>
      <c r="H1" s="43" t="s">
        <v>1332</v>
      </c>
      <c r="I1" s="43" t="s">
        <v>1333</v>
      </c>
    </row>
    <row r="2" spans="1:9" x14ac:dyDescent="0.25">
      <c r="A2" s="50">
        <v>0</v>
      </c>
      <c r="B2" s="45">
        <v>35</v>
      </c>
      <c r="C2" s="45">
        <v>40</v>
      </c>
      <c r="D2" s="45">
        <v>45</v>
      </c>
      <c r="E2" s="45">
        <v>50</v>
      </c>
      <c r="F2" s="45">
        <v>60</v>
      </c>
      <c r="G2" s="51">
        <v>0.1</v>
      </c>
      <c r="H2" s="51">
        <v>0.9</v>
      </c>
      <c r="I2" s="51">
        <v>0.25</v>
      </c>
    </row>
    <row r="3" spans="1:9" x14ac:dyDescent="0.25">
      <c r="A3" s="50">
        <v>4.1666666666666699E-2</v>
      </c>
      <c r="B3" s="45">
        <v>36.299999999999997</v>
      </c>
      <c r="C3" s="45">
        <v>41.3</v>
      </c>
      <c r="D3" s="45">
        <v>46.3</v>
      </c>
      <c r="E3" s="45">
        <v>51.3</v>
      </c>
      <c r="F3" s="45">
        <v>61.3</v>
      </c>
      <c r="G3" s="51">
        <v>0.1</v>
      </c>
      <c r="H3" s="51">
        <v>0.9</v>
      </c>
      <c r="I3" s="51">
        <v>0.25</v>
      </c>
    </row>
    <row r="4" spans="1:9" x14ac:dyDescent="0.25">
      <c r="A4" s="50">
        <v>8.3333333333333301E-2</v>
      </c>
      <c r="B4" s="45">
        <v>37.599999999999994</v>
      </c>
      <c r="C4" s="45">
        <v>42.599999999999994</v>
      </c>
      <c r="D4" s="45">
        <v>47.599999999999994</v>
      </c>
      <c r="E4" s="45">
        <v>52.599999999999994</v>
      </c>
      <c r="F4" s="45">
        <v>62.599999999999994</v>
      </c>
      <c r="G4" s="51">
        <v>0.1</v>
      </c>
      <c r="H4" s="51">
        <v>0.9</v>
      </c>
      <c r="I4" s="51">
        <v>0.25</v>
      </c>
    </row>
    <row r="5" spans="1:9" x14ac:dyDescent="0.25">
      <c r="A5" s="50">
        <v>0.125</v>
      </c>
      <c r="B5" s="45">
        <v>38.899999999999991</v>
      </c>
      <c r="C5" s="45">
        <v>43.899999999999991</v>
      </c>
      <c r="D5" s="45">
        <v>48.899999999999991</v>
      </c>
      <c r="E5" s="45">
        <v>53.899999999999991</v>
      </c>
      <c r="F5" s="45">
        <v>63.899999999999991</v>
      </c>
      <c r="G5" s="51">
        <v>0.1</v>
      </c>
      <c r="H5" s="51">
        <v>0.9</v>
      </c>
      <c r="I5" s="51">
        <v>0.25</v>
      </c>
    </row>
    <row r="6" spans="1:9" x14ac:dyDescent="0.25">
      <c r="A6" s="50">
        <v>0.16666666666666699</v>
      </c>
      <c r="B6" s="45">
        <v>40.199999999999989</v>
      </c>
      <c r="C6" s="45">
        <v>45.199999999999989</v>
      </c>
      <c r="D6" s="45">
        <v>50.199999999999989</v>
      </c>
      <c r="E6" s="45">
        <v>55.199999999999989</v>
      </c>
      <c r="F6" s="45">
        <v>65.199999999999989</v>
      </c>
      <c r="G6" s="51">
        <v>0.25</v>
      </c>
      <c r="H6" s="51">
        <v>0.75</v>
      </c>
      <c r="I6" s="51">
        <v>0.25</v>
      </c>
    </row>
    <row r="7" spans="1:9" x14ac:dyDescent="0.25">
      <c r="A7" s="50">
        <v>0.20833333333333301</v>
      </c>
      <c r="B7" s="45">
        <v>41.499999999999986</v>
      </c>
      <c r="C7" s="45">
        <v>46.499999999999986</v>
      </c>
      <c r="D7" s="45">
        <v>51.499999999999986</v>
      </c>
      <c r="E7" s="45">
        <v>56.499999999999986</v>
      </c>
      <c r="F7" s="45">
        <v>66.499999999999986</v>
      </c>
      <c r="G7" s="51">
        <v>0.25</v>
      </c>
      <c r="H7" s="51">
        <v>0.75</v>
      </c>
      <c r="I7" s="51">
        <v>0.25</v>
      </c>
    </row>
    <row r="8" spans="1:9" x14ac:dyDescent="0.25">
      <c r="A8" s="50">
        <v>0.25</v>
      </c>
      <c r="B8" s="45">
        <v>42.799999999999983</v>
      </c>
      <c r="C8" s="45">
        <v>47.799999999999983</v>
      </c>
      <c r="D8" s="45">
        <v>52.799999999999983</v>
      </c>
      <c r="E8" s="45">
        <v>57.799999999999983</v>
      </c>
      <c r="F8" s="45">
        <v>67.799999999999983</v>
      </c>
      <c r="G8" s="51">
        <v>0.25</v>
      </c>
      <c r="H8" s="51">
        <v>0.75</v>
      </c>
      <c r="I8" s="51">
        <v>0.25</v>
      </c>
    </row>
    <row r="9" spans="1:9" x14ac:dyDescent="0.25">
      <c r="A9" s="50">
        <v>0.29166666666666702</v>
      </c>
      <c r="B9" s="45">
        <v>44.09999999999998</v>
      </c>
      <c r="C9" s="45">
        <v>49.09999999999998</v>
      </c>
      <c r="D9" s="45">
        <v>54.09999999999998</v>
      </c>
      <c r="E9" s="45">
        <v>59.09999999999998</v>
      </c>
      <c r="F9" s="45">
        <v>69.09999999999998</v>
      </c>
      <c r="G9" s="51">
        <v>0.25</v>
      </c>
      <c r="H9" s="51">
        <v>0.75</v>
      </c>
      <c r="I9" s="51">
        <v>0.25</v>
      </c>
    </row>
    <row r="10" spans="1:9" x14ac:dyDescent="0.25">
      <c r="A10" s="50">
        <v>0.33333333333333298</v>
      </c>
      <c r="B10" s="45">
        <v>45.399999999999977</v>
      </c>
      <c r="C10" s="45">
        <v>50.399999999999977</v>
      </c>
      <c r="D10" s="45">
        <v>55.399999999999977</v>
      </c>
      <c r="E10" s="45">
        <v>60.399999999999977</v>
      </c>
      <c r="F10" s="45">
        <v>70.399999999999977</v>
      </c>
      <c r="G10" s="51">
        <v>0.33</v>
      </c>
      <c r="H10" s="51">
        <v>0.66999999999999993</v>
      </c>
      <c r="I10" s="51">
        <v>0.25</v>
      </c>
    </row>
    <row r="11" spans="1:9" x14ac:dyDescent="0.25">
      <c r="A11" s="50">
        <v>0.375</v>
      </c>
      <c r="B11" s="45">
        <v>46.699999999999974</v>
      </c>
      <c r="C11" s="45">
        <v>51.699999999999974</v>
      </c>
      <c r="D11" s="45">
        <v>56.699999999999974</v>
      </c>
      <c r="E11" s="45">
        <v>61.699999999999974</v>
      </c>
      <c r="F11" s="45">
        <v>71.699999999999974</v>
      </c>
      <c r="G11" s="51">
        <v>0.33</v>
      </c>
      <c r="H11" s="51">
        <v>0.66999999999999993</v>
      </c>
      <c r="I11" s="51">
        <v>0.35</v>
      </c>
    </row>
    <row r="12" spans="1:9" x14ac:dyDescent="0.25">
      <c r="A12" s="50">
        <v>0.41666666666666702</v>
      </c>
      <c r="B12" s="45">
        <v>47.999999999999972</v>
      </c>
      <c r="C12" s="45">
        <v>52.999999999999972</v>
      </c>
      <c r="D12" s="45">
        <v>57.999999999999972</v>
      </c>
      <c r="E12" s="45">
        <v>62.999999999999972</v>
      </c>
      <c r="F12" s="45">
        <v>72.999999999999972</v>
      </c>
      <c r="G12" s="51">
        <v>0.33</v>
      </c>
      <c r="H12" s="51">
        <v>0.66999999999999993</v>
      </c>
      <c r="I12" s="51">
        <v>0.55000000000000004</v>
      </c>
    </row>
    <row r="13" spans="1:9" x14ac:dyDescent="0.25">
      <c r="A13" s="50">
        <v>0.45833333333333298</v>
      </c>
      <c r="B13" s="45">
        <v>49.299999999999969</v>
      </c>
      <c r="C13" s="45">
        <v>54.299999999999969</v>
      </c>
      <c r="D13" s="45">
        <v>59.299999999999969</v>
      </c>
      <c r="E13" s="45">
        <v>64.299999999999969</v>
      </c>
      <c r="F13" s="45">
        <v>74.299999999999969</v>
      </c>
      <c r="G13" s="51">
        <v>0.33</v>
      </c>
      <c r="H13" s="51">
        <v>0.66999999999999993</v>
      </c>
      <c r="I13" s="51">
        <v>0.75</v>
      </c>
    </row>
    <row r="14" spans="1:9" x14ac:dyDescent="0.25">
      <c r="A14" s="50">
        <v>0.5</v>
      </c>
      <c r="B14" s="45">
        <v>50.599999999999966</v>
      </c>
      <c r="C14" s="45">
        <v>55.599999999999966</v>
      </c>
      <c r="D14" s="45">
        <v>60.599999999999966</v>
      </c>
      <c r="E14" s="45">
        <v>65.599999999999966</v>
      </c>
      <c r="F14" s="45">
        <v>75.599999999999966</v>
      </c>
      <c r="G14" s="51">
        <v>0.75</v>
      </c>
      <c r="H14" s="51">
        <v>0.25</v>
      </c>
      <c r="I14" s="51">
        <v>0.9</v>
      </c>
    </row>
    <row r="15" spans="1:9" x14ac:dyDescent="0.25">
      <c r="A15" s="50">
        <v>0.54166666666666696</v>
      </c>
      <c r="B15" s="45">
        <v>51.899999999999963</v>
      </c>
      <c r="C15" s="45">
        <v>56.899999999999963</v>
      </c>
      <c r="D15" s="45">
        <v>61.899999999999963</v>
      </c>
      <c r="E15" s="45">
        <v>66.899999999999963</v>
      </c>
      <c r="F15" s="45">
        <v>76.899999999999963</v>
      </c>
      <c r="G15" s="51">
        <v>0.75</v>
      </c>
      <c r="H15" s="51">
        <v>0.25</v>
      </c>
      <c r="I15" s="51">
        <v>0.99</v>
      </c>
    </row>
    <row r="16" spans="1:9" x14ac:dyDescent="0.25">
      <c r="A16" s="50">
        <v>0.58333333333333304</v>
      </c>
      <c r="B16" s="45">
        <v>53.19999999999996</v>
      </c>
      <c r="C16" s="45">
        <v>58.19999999999996</v>
      </c>
      <c r="D16" s="45">
        <v>63.19999999999996</v>
      </c>
      <c r="E16" s="45">
        <v>68.19999999999996</v>
      </c>
      <c r="F16" s="45">
        <v>78.19999999999996</v>
      </c>
      <c r="G16" s="51">
        <v>0.75</v>
      </c>
      <c r="H16" s="51">
        <v>0.25</v>
      </c>
      <c r="I16" s="51">
        <v>1</v>
      </c>
    </row>
    <row r="17" spans="1:10" x14ac:dyDescent="0.25">
      <c r="A17" s="50">
        <v>0.625</v>
      </c>
      <c r="B17" s="45">
        <v>54.499999999999957</v>
      </c>
      <c r="C17" s="45">
        <v>59.499999999999957</v>
      </c>
      <c r="D17" s="45">
        <v>64.499999999999957</v>
      </c>
      <c r="E17" s="45">
        <v>69.499999999999957</v>
      </c>
      <c r="F17" s="45">
        <v>79.499999999999957</v>
      </c>
      <c r="G17" s="51">
        <v>0.75</v>
      </c>
      <c r="H17" s="51">
        <v>0.25</v>
      </c>
      <c r="I17" s="51">
        <v>0.76</v>
      </c>
    </row>
    <row r="18" spans="1:10" x14ac:dyDescent="0.25">
      <c r="A18" s="50">
        <v>0.66666666666666696</v>
      </c>
      <c r="B18" s="45">
        <v>55.799999999999955</v>
      </c>
      <c r="C18" s="45">
        <v>60.799999999999955</v>
      </c>
      <c r="D18" s="45">
        <v>65.799999999999955</v>
      </c>
      <c r="E18" s="45">
        <v>70.799999999999955</v>
      </c>
      <c r="F18" s="45">
        <v>80.799999999999955</v>
      </c>
      <c r="G18" s="51">
        <v>0.67</v>
      </c>
      <c r="H18" s="51">
        <v>0.32999999999999996</v>
      </c>
      <c r="I18" s="51">
        <v>0.46</v>
      </c>
    </row>
    <row r="19" spans="1:10" x14ac:dyDescent="0.25">
      <c r="A19" s="50">
        <v>0.70833333333333304</v>
      </c>
      <c r="B19" s="45">
        <v>57.099999999999952</v>
      </c>
      <c r="C19" s="45">
        <v>62.099999999999952</v>
      </c>
      <c r="D19" s="45">
        <v>67.099999999999952</v>
      </c>
      <c r="E19" s="45">
        <v>72.099999999999952</v>
      </c>
      <c r="F19" s="45">
        <v>82.099999999999952</v>
      </c>
      <c r="G19" s="51">
        <v>0.67</v>
      </c>
      <c r="H19" s="51">
        <v>0.32999999999999996</v>
      </c>
      <c r="I19" s="51">
        <v>0.25</v>
      </c>
    </row>
    <row r="20" spans="1:10" x14ac:dyDescent="0.25">
      <c r="A20" s="50">
        <v>0.749999999999999</v>
      </c>
      <c r="B20" s="45">
        <v>58.399999999999949</v>
      </c>
      <c r="C20" s="45">
        <v>63.399999999999949</v>
      </c>
      <c r="D20" s="45">
        <v>68.399999999999949</v>
      </c>
      <c r="E20" s="45">
        <v>73.399999999999949</v>
      </c>
      <c r="F20" s="45">
        <v>83.399999999999949</v>
      </c>
      <c r="G20" s="51">
        <v>0.67</v>
      </c>
      <c r="H20" s="51">
        <v>0.32999999999999996</v>
      </c>
      <c r="I20" s="51">
        <v>0.25</v>
      </c>
    </row>
    <row r="21" spans="1:10" x14ac:dyDescent="0.25">
      <c r="A21" s="50">
        <v>0.79166666666666496</v>
      </c>
      <c r="B21" s="45">
        <v>59.699999999999946</v>
      </c>
      <c r="C21" s="45">
        <v>64.699999999999946</v>
      </c>
      <c r="D21" s="45">
        <v>69.699999999999946</v>
      </c>
      <c r="E21" s="45">
        <v>74.699999999999946</v>
      </c>
      <c r="F21" s="45">
        <v>84.699999999999946</v>
      </c>
      <c r="G21" s="51">
        <v>0.67</v>
      </c>
      <c r="H21" s="51">
        <v>0.32999999999999996</v>
      </c>
      <c r="I21" s="51">
        <v>0.25</v>
      </c>
    </row>
    <row r="22" spans="1:10" x14ac:dyDescent="0.25">
      <c r="A22" s="50">
        <v>0.83333333333333104</v>
      </c>
      <c r="B22" s="45">
        <v>60.999999999999943</v>
      </c>
      <c r="C22" s="45">
        <v>65.999999999999943</v>
      </c>
      <c r="D22" s="45">
        <v>70.999999999999943</v>
      </c>
      <c r="E22" s="45">
        <v>75.999999999999943</v>
      </c>
      <c r="F22" s="45">
        <v>85.999999999999943</v>
      </c>
      <c r="G22" s="51">
        <v>0.5</v>
      </c>
      <c r="H22" s="51">
        <v>0.5</v>
      </c>
      <c r="I22" s="51">
        <v>0.25</v>
      </c>
    </row>
    <row r="23" spans="1:10" x14ac:dyDescent="0.25">
      <c r="A23" s="50">
        <v>0.874999999999997</v>
      </c>
      <c r="B23" s="45">
        <v>62.29999999999994</v>
      </c>
      <c r="C23" s="45">
        <v>67.29999999999994</v>
      </c>
      <c r="D23" s="45">
        <v>72.29999999999994</v>
      </c>
      <c r="E23" s="45">
        <v>77.29999999999994</v>
      </c>
      <c r="F23" s="45">
        <v>87.29999999999994</v>
      </c>
      <c r="G23" s="51">
        <v>0.5</v>
      </c>
      <c r="H23" s="51">
        <v>0.5</v>
      </c>
      <c r="I23" s="51">
        <v>0.25</v>
      </c>
    </row>
    <row r="24" spans="1:10" x14ac:dyDescent="0.25">
      <c r="A24" s="50">
        <v>0.91666666666666297</v>
      </c>
      <c r="B24" s="45">
        <v>63.599999999999937</v>
      </c>
      <c r="C24" s="45">
        <v>68.599999999999937</v>
      </c>
      <c r="D24" s="45">
        <v>73.599999999999937</v>
      </c>
      <c r="E24" s="45">
        <v>78.599999999999937</v>
      </c>
      <c r="F24" s="45">
        <v>88.599999999999937</v>
      </c>
      <c r="G24" s="51">
        <v>0.5</v>
      </c>
      <c r="H24" s="51">
        <v>0.5</v>
      </c>
      <c r="I24" s="51">
        <v>0.25</v>
      </c>
    </row>
    <row r="25" spans="1:10" x14ac:dyDescent="0.25">
      <c r="A25" s="50">
        <v>0.95833333333332904</v>
      </c>
      <c r="B25" s="45">
        <v>64.899999999999935</v>
      </c>
      <c r="C25" s="45">
        <v>69.899999999999935</v>
      </c>
      <c r="D25" s="45">
        <v>74.899999999999935</v>
      </c>
      <c r="E25" s="45">
        <v>79.899999999999935</v>
      </c>
      <c r="F25" s="45">
        <v>89.899999999999935</v>
      </c>
      <c r="G25" s="51">
        <v>0.5</v>
      </c>
      <c r="H25" s="51">
        <v>0.5</v>
      </c>
      <c r="I25" s="51">
        <v>0.25</v>
      </c>
    </row>
    <row r="26" spans="1:10" ht="60" x14ac:dyDescent="0.25">
      <c r="J26" s="46" t="s">
        <v>1206</v>
      </c>
    </row>
  </sheetData>
  <customSheetViews>
    <customSheetView guid="{679A3195-3DEA-4AC2-A535-82AAF5B552BC}" hiddenColumns="1" state="hidden">
      <selection activeCell="A9" sqref="A9"/>
      <pageMargins left="0.75" right="0.75" top="1" bottom="1" header="0.5" footer="0.5"/>
      <pageSetup orientation="portrait" verticalDpi="1200" r:id="rId1"/>
      <headerFooter alignWithMargins="0"/>
    </customSheetView>
    <customSheetView guid="{7378B641-E8D1-4C14-8151-CF4CE159D121}" hiddenColumns="1" state="hidden">
      <selection activeCell="A9" sqref="A9"/>
      <pageMargins left="0.75" right="0.75" top="1" bottom="1" header="0.5" footer="0.5"/>
      <pageSetup orientation="portrait" verticalDpi="1200" r:id="rId2"/>
      <headerFooter alignWithMargins="0"/>
    </customSheetView>
    <customSheetView guid="{6D63B10B-E1E6-452A-80EB-4B2C7D61CF66}" hiddenColumns="1" state="hidden">
      <selection activeCell="A9" sqref="A9"/>
      <pageMargins left="0.75" right="0.75" top="1" bottom="1" header="0.5" footer="0.5"/>
      <pageSetup orientation="portrait" verticalDpi="1200" r:id="rId3"/>
      <headerFooter alignWithMargins="0"/>
    </customSheetView>
  </customSheetViews>
  <pageMargins left="0.75" right="0.75" top="1" bottom="1" header="0.5" footer="0.5"/>
  <pageSetup orientation="portrait" verticalDpi="1200" r:id="rId4"/>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Z33"/>
  <sheetViews>
    <sheetView workbookViewId="0">
      <selection activeCell="A9" sqref="A9"/>
    </sheetView>
  </sheetViews>
  <sheetFormatPr defaultRowHeight="15" x14ac:dyDescent="0.25"/>
  <cols>
    <col min="1" max="1" width="11.5703125" style="3" customWidth="1"/>
    <col min="2" max="2" width="57.28515625" style="3" customWidth="1"/>
    <col min="3" max="14" width="9.140625" style="3"/>
    <col min="15" max="15" width="3.28515625" style="47" customWidth="1"/>
    <col min="16" max="16384" width="9.140625" style="3"/>
  </cols>
  <sheetData>
    <row r="1" spans="1:26" ht="33.75" customHeight="1" x14ac:dyDescent="0.25">
      <c r="A1" s="3" t="s">
        <v>26</v>
      </c>
      <c r="B1" s="4" t="s">
        <v>1177</v>
      </c>
    </row>
    <row r="2" spans="1:26" x14ac:dyDescent="0.25">
      <c r="A2" s="3" t="s">
        <v>20</v>
      </c>
      <c r="B2" s="4" t="s">
        <v>58</v>
      </c>
    </row>
    <row r="3" spans="1:26" x14ac:dyDescent="0.25">
      <c r="A3" s="3" t="s">
        <v>1184</v>
      </c>
      <c r="B3" s="4" t="s">
        <v>1190</v>
      </c>
      <c r="C3" s="837" t="s">
        <v>1202</v>
      </c>
      <c r="D3" s="837"/>
      <c r="E3" s="837"/>
      <c r="F3" s="837"/>
      <c r="G3" s="837"/>
      <c r="H3" s="837"/>
      <c r="I3" s="837"/>
      <c r="J3" s="837"/>
      <c r="K3" s="837"/>
      <c r="L3" s="837"/>
      <c r="M3" s="837"/>
      <c r="N3" s="837"/>
    </row>
    <row r="4" spans="1:26" x14ac:dyDescent="0.25">
      <c r="B4" s="4"/>
      <c r="C4" s="3" t="s">
        <v>61</v>
      </c>
      <c r="O4" s="838" t="s">
        <v>1203</v>
      </c>
      <c r="P4" s="48"/>
      <c r="Q4" s="48"/>
      <c r="R4" s="48"/>
      <c r="S4" s="48"/>
      <c r="T4" s="48"/>
      <c r="U4" s="48"/>
      <c r="V4" s="48"/>
      <c r="W4" s="48"/>
      <c r="X4" s="48"/>
      <c r="Y4" s="48"/>
      <c r="Z4" s="48"/>
    </row>
    <row r="5" spans="1:26" x14ac:dyDescent="0.25">
      <c r="B5" s="4"/>
      <c r="O5" s="838"/>
    </row>
    <row r="6" spans="1:26" x14ac:dyDescent="0.25">
      <c r="O6" s="838"/>
    </row>
    <row r="7" spans="1:26" x14ac:dyDescent="0.25">
      <c r="O7" s="838"/>
    </row>
    <row r="8" spans="1:26" x14ac:dyDescent="0.25">
      <c r="O8" s="838"/>
    </row>
    <row r="9" spans="1:26" x14ac:dyDescent="0.25">
      <c r="O9" s="838"/>
    </row>
    <row r="10" spans="1:26" x14ac:dyDescent="0.25">
      <c r="O10" s="838"/>
    </row>
    <row r="11" spans="1:26" x14ac:dyDescent="0.25">
      <c r="O11" s="838"/>
    </row>
    <row r="12" spans="1:26" x14ac:dyDescent="0.25">
      <c r="O12" s="838"/>
    </row>
    <row r="13" spans="1:26" x14ac:dyDescent="0.25">
      <c r="O13" s="838"/>
    </row>
    <row r="14" spans="1:26" x14ac:dyDescent="0.25">
      <c r="O14" s="838"/>
    </row>
    <row r="15" spans="1:26" x14ac:dyDescent="0.25">
      <c r="O15" s="838"/>
    </row>
    <row r="16" spans="1:26" x14ac:dyDescent="0.25">
      <c r="O16" s="838"/>
    </row>
    <row r="17" spans="15:15" x14ac:dyDescent="0.25">
      <c r="O17" s="838"/>
    </row>
    <row r="18" spans="15:15" x14ac:dyDescent="0.25">
      <c r="O18" s="838"/>
    </row>
    <row r="19" spans="15:15" x14ac:dyDescent="0.25">
      <c r="O19" s="838"/>
    </row>
    <row r="20" spans="15:15" x14ac:dyDescent="0.25">
      <c r="O20" s="838"/>
    </row>
    <row r="21" spans="15:15" x14ac:dyDescent="0.25">
      <c r="O21" s="838"/>
    </row>
    <row r="22" spans="15:15" x14ac:dyDescent="0.25">
      <c r="O22" s="838"/>
    </row>
    <row r="23" spans="15:15" x14ac:dyDescent="0.25">
      <c r="O23" s="838"/>
    </row>
    <row r="24" spans="15:15" x14ac:dyDescent="0.25">
      <c r="O24" s="838"/>
    </row>
    <row r="25" spans="15:15" x14ac:dyDescent="0.25">
      <c r="O25" s="838"/>
    </row>
    <row r="26" spans="15:15" x14ac:dyDescent="0.25">
      <c r="O26" s="838"/>
    </row>
    <row r="27" spans="15:15" x14ac:dyDescent="0.25">
      <c r="O27" s="838"/>
    </row>
    <row r="28" spans="15:15" x14ac:dyDescent="0.25">
      <c r="O28" s="838"/>
    </row>
    <row r="29" spans="15:15" x14ac:dyDescent="0.25">
      <c r="O29" s="838"/>
    </row>
    <row r="30" spans="15:15" x14ac:dyDescent="0.25">
      <c r="O30" s="838"/>
    </row>
    <row r="31" spans="15:15" x14ac:dyDescent="0.25">
      <c r="O31" s="838"/>
    </row>
    <row r="33" spans="3:3" x14ac:dyDescent="0.25">
      <c r="C33" s="37" t="s">
        <v>1209</v>
      </c>
    </row>
  </sheetData>
  <customSheetViews>
    <customSheetView guid="{679A3195-3DEA-4AC2-A535-82AAF5B552BC}" fitToPage="1" state="hidden">
      <selection activeCell="A9" sqref="A9"/>
      <pageMargins left="0.7" right="0.7" top="0.75" bottom="0.75" header="0.3" footer="0.3"/>
      <pageSetup scale="67" orientation="landscape" horizontalDpi="4294967293" verticalDpi="4294967293" r:id="rId1"/>
    </customSheetView>
    <customSheetView guid="{7378B641-E8D1-4C14-8151-CF4CE159D121}" fitToPage="1" state="hidden">
      <selection activeCell="A9" sqref="A9"/>
      <pageMargins left="0.7" right="0.7" top="0.75" bottom="0.75" header="0.3" footer="0.3"/>
      <pageSetup scale="67" orientation="landscape" horizontalDpi="4294967293" verticalDpi="4294967293" r:id="rId2"/>
    </customSheetView>
    <customSheetView guid="{6D63B10B-E1E6-452A-80EB-4B2C7D61CF66}" fitToPage="1" state="hidden">
      <selection activeCell="A9" sqref="A9"/>
      <pageMargins left="0.7" right="0.7" top="0.75" bottom="0.75" header="0.3" footer="0.3"/>
      <pageSetup scale="67" orientation="landscape" horizontalDpi="4294967293" verticalDpi="4294967293" r:id="rId3"/>
    </customSheetView>
  </customSheetViews>
  <mergeCells count="2">
    <mergeCell ref="C3:N3"/>
    <mergeCell ref="O4:O31"/>
  </mergeCells>
  <dataValidations count="1">
    <dataValidation type="list" allowBlank="1" showInputMessage="1" showErrorMessage="1" sqref="B2">
      <formula1>"PG&amp;E,SCE,Combined"</formula1>
    </dataValidation>
  </dataValidations>
  <pageMargins left="0.7" right="0.7" top="0.75" bottom="0.75" header="0.3" footer="0.3"/>
  <pageSetup scale="67" orientation="landscape" horizontalDpi="4294967293" verticalDpi="4294967293" r:id="rId4"/>
  <drawing r:id="rId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H7"/>
  <sheetViews>
    <sheetView workbookViewId="0">
      <selection activeCell="A9" sqref="A9"/>
    </sheetView>
  </sheetViews>
  <sheetFormatPr defaultRowHeight="15" x14ac:dyDescent="0.25"/>
  <cols>
    <col min="1" max="1" width="10.7109375" style="3" bestFit="1" customWidth="1"/>
    <col min="2" max="7" width="10.140625" style="3" bestFit="1" customWidth="1"/>
    <col min="8" max="8" width="48.42578125" style="3" customWidth="1"/>
    <col min="9" max="244" width="9.140625" style="3"/>
    <col min="245" max="245" width="17.85546875" style="3" customWidth="1"/>
    <col min="246" max="500" width="9.140625" style="3"/>
    <col min="501" max="501" width="17.85546875" style="3" customWidth="1"/>
    <col min="502" max="756" width="9.140625" style="3"/>
    <col min="757" max="757" width="17.85546875" style="3" customWidth="1"/>
    <col min="758" max="1012" width="9.140625" style="3"/>
    <col min="1013" max="1013" width="17.85546875" style="3" customWidth="1"/>
    <col min="1014" max="1268" width="9.140625" style="3"/>
    <col min="1269" max="1269" width="17.85546875" style="3" customWidth="1"/>
    <col min="1270" max="1524" width="9.140625" style="3"/>
    <col min="1525" max="1525" width="17.85546875" style="3" customWidth="1"/>
    <col min="1526" max="1780" width="9.140625" style="3"/>
    <col min="1781" max="1781" width="17.85546875" style="3" customWidth="1"/>
    <col min="1782" max="2036" width="9.140625" style="3"/>
    <col min="2037" max="2037" width="17.85546875" style="3" customWidth="1"/>
    <col min="2038" max="2292" width="9.140625" style="3"/>
    <col min="2293" max="2293" width="17.85546875" style="3" customWidth="1"/>
    <col min="2294" max="2548" width="9.140625" style="3"/>
    <col min="2549" max="2549" width="17.85546875" style="3" customWidth="1"/>
    <col min="2550" max="2804" width="9.140625" style="3"/>
    <col min="2805" max="2805" width="17.85546875" style="3" customWidth="1"/>
    <col min="2806" max="3060" width="9.140625" style="3"/>
    <col min="3061" max="3061" width="17.85546875" style="3" customWidth="1"/>
    <col min="3062" max="3316" width="9.140625" style="3"/>
    <col min="3317" max="3317" width="17.85546875" style="3" customWidth="1"/>
    <col min="3318" max="3572" width="9.140625" style="3"/>
    <col min="3573" max="3573" width="17.85546875" style="3" customWidth="1"/>
    <col min="3574" max="3828" width="9.140625" style="3"/>
    <col min="3829" max="3829" width="17.85546875" style="3" customWidth="1"/>
    <col min="3830" max="4084" width="9.140625" style="3"/>
    <col min="4085" max="4085" width="17.85546875" style="3" customWidth="1"/>
    <col min="4086" max="4340" width="9.140625" style="3"/>
    <col min="4341" max="4341" width="17.85546875" style="3" customWidth="1"/>
    <col min="4342" max="4596" width="9.140625" style="3"/>
    <col min="4597" max="4597" width="17.85546875" style="3" customWidth="1"/>
    <col min="4598" max="4852" width="9.140625" style="3"/>
    <col min="4853" max="4853" width="17.85546875" style="3" customWidth="1"/>
    <col min="4854" max="5108" width="9.140625" style="3"/>
    <col min="5109" max="5109" width="17.85546875" style="3" customWidth="1"/>
    <col min="5110" max="5364" width="9.140625" style="3"/>
    <col min="5365" max="5365" width="17.85546875" style="3" customWidth="1"/>
    <col min="5366" max="5620" width="9.140625" style="3"/>
    <col min="5621" max="5621" width="17.85546875" style="3" customWidth="1"/>
    <col min="5622" max="5876" width="9.140625" style="3"/>
    <col min="5877" max="5877" width="17.85546875" style="3" customWidth="1"/>
    <col min="5878" max="6132" width="9.140625" style="3"/>
    <col min="6133" max="6133" width="17.85546875" style="3" customWidth="1"/>
    <col min="6134" max="6388" width="9.140625" style="3"/>
    <col min="6389" max="6389" width="17.85546875" style="3" customWidth="1"/>
    <col min="6390" max="6644" width="9.140625" style="3"/>
    <col min="6645" max="6645" width="17.85546875" style="3" customWidth="1"/>
    <col min="6646" max="6900" width="9.140625" style="3"/>
    <col min="6901" max="6901" width="17.85546875" style="3" customWidth="1"/>
    <col min="6902" max="7156" width="9.140625" style="3"/>
    <col min="7157" max="7157" width="17.85546875" style="3" customWidth="1"/>
    <col min="7158" max="7412" width="9.140625" style="3"/>
    <col min="7413" max="7413" width="17.85546875" style="3" customWidth="1"/>
    <col min="7414" max="7668" width="9.140625" style="3"/>
    <col min="7669" max="7669" width="17.85546875" style="3" customWidth="1"/>
    <col min="7670" max="7924" width="9.140625" style="3"/>
    <col min="7925" max="7925" width="17.85546875" style="3" customWidth="1"/>
    <col min="7926" max="8180" width="9.140625" style="3"/>
    <col min="8181" max="8181" width="17.85546875" style="3" customWidth="1"/>
    <col min="8182" max="8436" width="9.140625" style="3"/>
    <col min="8437" max="8437" width="17.85546875" style="3" customWidth="1"/>
    <col min="8438" max="8692" width="9.140625" style="3"/>
    <col min="8693" max="8693" width="17.85546875" style="3" customWidth="1"/>
    <col min="8694" max="8948" width="9.140625" style="3"/>
    <col min="8949" max="8949" width="17.85546875" style="3" customWidth="1"/>
    <col min="8950" max="9204" width="9.140625" style="3"/>
    <col min="9205" max="9205" width="17.85546875" style="3" customWidth="1"/>
    <col min="9206" max="9460" width="9.140625" style="3"/>
    <col min="9461" max="9461" width="17.85546875" style="3" customWidth="1"/>
    <col min="9462" max="9716" width="9.140625" style="3"/>
    <col min="9717" max="9717" width="17.85546875" style="3" customWidth="1"/>
    <col min="9718" max="9972" width="9.140625" style="3"/>
    <col min="9973" max="9973" width="17.85546875" style="3" customWidth="1"/>
    <col min="9974" max="10228" width="9.140625" style="3"/>
    <col min="10229" max="10229" width="17.85546875" style="3" customWidth="1"/>
    <col min="10230" max="10484" width="9.140625" style="3"/>
    <col min="10485" max="10485" width="17.85546875" style="3" customWidth="1"/>
    <col min="10486" max="10740" width="9.140625" style="3"/>
    <col min="10741" max="10741" width="17.85546875" style="3" customWidth="1"/>
    <col min="10742" max="10996" width="9.140625" style="3"/>
    <col min="10997" max="10997" width="17.85546875" style="3" customWidth="1"/>
    <col min="10998" max="11252" width="9.140625" style="3"/>
    <col min="11253" max="11253" width="17.85546875" style="3" customWidth="1"/>
    <col min="11254" max="11508" width="9.140625" style="3"/>
    <col min="11509" max="11509" width="17.85546875" style="3" customWidth="1"/>
    <col min="11510" max="11764" width="9.140625" style="3"/>
    <col min="11765" max="11765" width="17.85546875" style="3" customWidth="1"/>
    <col min="11766" max="12020" width="9.140625" style="3"/>
    <col min="12021" max="12021" width="17.85546875" style="3" customWidth="1"/>
    <col min="12022" max="12276" width="9.140625" style="3"/>
    <col min="12277" max="12277" width="17.85546875" style="3" customWidth="1"/>
    <col min="12278" max="12532" width="9.140625" style="3"/>
    <col min="12533" max="12533" width="17.85546875" style="3" customWidth="1"/>
    <col min="12534" max="12788" width="9.140625" style="3"/>
    <col min="12789" max="12789" width="17.85546875" style="3" customWidth="1"/>
    <col min="12790" max="13044" width="9.140625" style="3"/>
    <col min="13045" max="13045" width="17.85546875" style="3" customWidth="1"/>
    <col min="13046" max="13300" width="9.140625" style="3"/>
    <col min="13301" max="13301" width="17.85546875" style="3" customWidth="1"/>
    <col min="13302" max="13556" width="9.140625" style="3"/>
    <col min="13557" max="13557" width="17.85546875" style="3" customWidth="1"/>
    <col min="13558" max="13812" width="9.140625" style="3"/>
    <col min="13813" max="13813" width="17.85546875" style="3" customWidth="1"/>
    <col min="13814" max="14068" width="9.140625" style="3"/>
    <col min="14069" max="14069" width="17.85546875" style="3" customWidth="1"/>
    <col min="14070" max="14324" width="9.140625" style="3"/>
    <col min="14325" max="14325" width="17.85546875" style="3" customWidth="1"/>
    <col min="14326" max="14580" width="9.140625" style="3"/>
    <col min="14581" max="14581" width="17.85546875" style="3" customWidth="1"/>
    <col min="14582" max="14836" width="9.140625" style="3"/>
    <col min="14837" max="14837" width="17.85546875" style="3" customWidth="1"/>
    <col min="14838" max="15092" width="9.140625" style="3"/>
    <col min="15093" max="15093" width="17.85546875" style="3" customWidth="1"/>
    <col min="15094" max="15348" width="9.140625" style="3"/>
    <col min="15349" max="15349" width="17.85546875" style="3" customWidth="1"/>
    <col min="15350" max="15604" width="9.140625" style="3"/>
    <col min="15605" max="15605" width="17.85546875" style="3" customWidth="1"/>
    <col min="15606" max="15860" width="9.140625" style="3"/>
    <col min="15861" max="15861" width="17.85546875" style="3" customWidth="1"/>
    <col min="15862" max="16116" width="9.140625" style="3"/>
    <col min="16117" max="16117" width="17.85546875" style="3" customWidth="1"/>
    <col min="16118" max="16384" width="9.140625" style="3"/>
  </cols>
  <sheetData>
    <row r="1" spans="1:8" s="43" customFormat="1" ht="14.25" x14ac:dyDescent="0.25">
      <c r="B1" s="43" t="s">
        <v>1210</v>
      </c>
      <c r="C1" s="43" t="s">
        <v>1211</v>
      </c>
      <c r="D1" s="43" t="s">
        <v>1212</v>
      </c>
      <c r="E1" s="43" t="s">
        <v>1213</v>
      </c>
      <c r="F1" s="43" t="s">
        <v>1214</v>
      </c>
      <c r="G1" s="43" t="s">
        <v>1215</v>
      </c>
    </row>
    <row r="2" spans="1:8" x14ac:dyDescent="0.25">
      <c r="A2" s="49" t="s">
        <v>1216</v>
      </c>
      <c r="B2" s="52">
        <v>102</v>
      </c>
      <c r="C2" s="52">
        <v>128</v>
      </c>
      <c r="D2" s="52">
        <v>187</v>
      </c>
      <c r="E2" s="52">
        <v>66</v>
      </c>
      <c r="F2" s="52">
        <v>97</v>
      </c>
      <c r="G2" s="52">
        <v>196</v>
      </c>
    </row>
    <row r="3" spans="1:8" x14ac:dyDescent="0.25">
      <c r="A3" s="49" t="s">
        <v>1217</v>
      </c>
      <c r="B3" s="52">
        <v>127</v>
      </c>
      <c r="C3" s="52">
        <v>184</v>
      </c>
      <c r="D3" s="52">
        <v>179</v>
      </c>
      <c r="E3" s="52">
        <v>96</v>
      </c>
      <c r="F3" s="52">
        <v>127</v>
      </c>
      <c r="G3" s="52">
        <v>189</v>
      </c>
    </row>
    <row r="4" spans="1:8" x14ac:dyDescent="0.25">
      <c r="A4" s="49" t="s">
        <v>1218</v>
      </c>
      <c r="B4" s="52">
        <v>169</v>
      </c>
      <c r="C4" s="52">
        <v>113</v>
      </c>
      <c r="D4" s="52">
        <v>86</v>
      </c>
      <c r="E4" s="52">
        <v>117</v>
      </c>
      <c r="F4" s="52">
        <v>163</v>
      </c>
      <c r="G4" s="52">
        <v>83</v>
      </c>
    </row>
    <row r="5" spans="1:8" x14ac:dyDescent="0.25">
      <c r="A5" s="49" t="s">
        <v>1219</v>
      </c>
      <c r="B5" s="52">
        <v>127</v>
      </c>
      <c r="C5" s="52">
        <v>73</v>
      </c>
      <c r="D5" s="52">
        <v>168</v>
      </c>
      <c r="E5" s="52">
        <v>62</v>
      </c>
      <c r="F5" s="52">
        <v>113</v>
      </c>
      <c r="G5" s="52">
        <v>168</v>
      </c>
    </row>
    <row r="6" spans="1:8" x14ac:dyDescent="0.25">
      <c r="A6" s="49" t="s">
        <v>1220</v>
      </c>
      <c r="B6" s="52">
        <v>197</v>
      </c>
      <c r="C6" s="52">
        <v>125</v>
      </c>
      <c r="D6" s="52">
        <v>158</v>
      </c>
      <c r="E6" s="52">
        <v>52</v>
      </c>
      <c r="F6" s="52">
        <v>153</v>
      </c>
      <c r="G6" s="52">
        <v>193</v>
      </c>
    </row>
    <row r="7" spans="1:8" ht="90" x14ac:dyDescent="0.25">
      <c r="H7" s="46" t="s">
        <v>1221</v>
      </c>
    </row>
  </sheetData>
  <customSheetViews>
    <customSheetView guid="{679A3195-3DEA-4AC2-A535-82AAF5B552BC}" state="hidden">
      <selection activeCell="A9" sqref="A9"/>
      <pageMargins left="0.75" right="0.75" top="1" bottom="1" header="0.5" footer="0.5"/>
      <pageSetup orientation="portrait" horizontalDpi="1200" verticalDpi="1200" r:id="rId1"/>
      <headerFooter alignWithMargins="0"/>
    </customSheetView>
    <customSheetView guid="{7378B641-E8D1-4C14-8151-CF4CE159D121}" state="hidden">
      <selection activeCell="A9" sqref="A9"/>
      <pageMargins left="0.75" right="0.75" top="1" bottom="1" header="0.5" footer="0.5"/>
      <pageSetup orientation="portrait" horizontalDpi="1200" verticalDpi="1200" r:id="rId2"/>
      <headerFooter alignWithMargins="0"/>
    </customSheetView>
    <customSheetView guid="{6D63B10B-E1E6-452A-80EB-4B2C7D61CF66}" state="hidden">
      <selection activeCell="A9" sqref="A9"/>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81"/>
  <sheetViews>
    <sheetView workbookViewId="0">
      <selection activeCell="A7" sqref="A7"/>
    </sheetView>
  </sheetViews>
  <sheetFormatPr defaultRowHeight="15" x14ac:dyDescent="0.25"/>
  <cols>
    <col min="1" max="1" width="15.85546875" style="3" customWidth="1"/>
    <col min="2" max="7" width="10.7109375" style="3" customWidth="1"/>
    <col min="8" max="8" width="9.140625" style="3"/>
    <col min="9" max="19" width="16.7109375" style="3" customWidth="1"/>
    <col min="20" max="20" width="15" style="3" customWidth="1"/>
    <col min="21" max="16384" width="9.140625" style="3"/>
  </cols>
  <sheetData>
    <row r="1" spans="1:20" s="74" customFormat="1" x14ac:dyDescent="0.25">
      <c r="A1" s="74" t="s">
        <v>1378</v>
      </c>
      <c r="B1" s="74" t="s">
        <v>1360</v>
      </c>
      <c r="C1" s="74" t="s">
        <v>1375</v>
      </c>
      <c r="D1" s="74" t="s">
        <v>1361</v>
      </c>
      <c r="E1" s="74" t="s">
        <v>1362</v>
      </c>
      <c r="F1" s="74" t="s">
        <v>1376</v>
      </c>
      <c r="G1" s="74" t="s">
        <v>1371</v>
      </c>
      <c r="I1" s="77" t="s">
        <v>1374</v>
      </c>
      <c r="J1" s="78"/>
      <c r="K1" s="78"/>
      <c r="L1" s="78"/>
      <c r="M1" s="78"/>
      <c r="N1" s="78"/>
    </row>
    <row r="2" spans="1:20" s="37" customFormat="1" x14ac:dyDescent="0.25">
      <c r="A2" s="75"/>
      <c r="B2" s="74" t="str">
        <f>B1</f>
        <v>Median</v>
      </c>
      <c r="C2" s="74"/>
      <c r="D2" s="74"/>
      <c r="E2" s="74"/>
      <c r="F2" s="74"/>
      <c r="G2" s="74" t="str">
        <f>G1</f>
        <v>Mean</v>
      </c>
      <c r="I2" s="77" t="s">
        <v>1373</v>
      </c>
      <c r="J2" s="79"/>
      <c r="K2" s="79"/>
      <c r="L2" s="79"/>
      <c r="M2" s="79"/>
      <c r="N2" s="79"/>
    </row>
    <row r="3" spans="1:20" x14ac:dyDescent="0.25">
      <c r="A3" s="74" t="s">
        <v>3222</v>
      </c>
      <c r="B3" s="51">
        <f>MEDIAN($Q$13:$Q$34)</f>
        <v>0</v>
      </c>
      <c r="C3" s="51">
        <f>QUARTILE($Q$13:$Q$34,1)</f>
        <v>-4.9644023643600488E-2</v>
      </c>
      <c r="D3" s="51">
        <f>MIN($Q$13:$Q$34)</f>
        <v>-0.44200626959247646</v>
      </c>
      <c r="E3" s="51">
        <f>MAX($Q$13:$Q$34)</f>
        <v>1.9285714285714286</v>
      </c>
      <c r="F3" s="51">
        <f>QUARTILE($Q$13:$Q$34,3)</f>
        <v>0.26487199477825724</v>
      </c>
      <c r="G3" s="51">
        <f>AVERAGE($Q$13:$Q$34)</f>
        <v>0.24712804718983816</v>
      </c>
    </row>
    <row r="4" spans="1:20" x14ac:dyDescent="0.25">
      <c r="A4" s="74" t="s">
        <v>3223</v>
      </c>
      <c r="B4" s="51">
        <f>MEDIAN($R$13:$R$34)</f>
        <v>-0.38983050847457629</v>
      </c>
      <c r="C4" s="51">
        <f>QUARTILE($R$13:$R$34,1)</f>
        <v>-0.45795146977525969</v>
      </c>
      <c r="D4" s="51">
        <f>MIN($R$13:$R$34)</f>
        <v>-0.52287822878228785</v>
      </c>
      <c r="E4" s="51">
        <f>MAX($R$13:$R$34)</f>
        <v>9.712460063897764E-2</v>
      </c>
      <c r="F4" s="51">
        <f>QUARTILE($R$13:$R$34,3)</f>
        <v>-0.16836451404286767</v>
      </c>
      <c r="G4" s="51">
        <f>AVERAGE($R$13:$R$34)</f>
        <v>-0.29908482934177055</v>
      </c>
    </row>
    <row r="5" spans="1:20" x14ac:dyDescent="0.25">
      <c r="A5" s="74" t="s">
        <v>3226</v>
      </c>
      <c r="B5" s="51">
        <f>MEDIAN($R$35:$R$81)</f>
        <v>-0.19032418001525553</v>
      </c>
      <c r="C5" s="51">
        <f>QUARTILE($R$35:$R$81,1)</f>
        <v>-0.3748359319483342</v>
      </c>
      <c r="D5" s="51">
        <f>MIN($R$35:$R$81)</f>
        <v>-0.58255813953488367</v>
      </c>
      <c r="E5" s="51">
        <f>MAX($R$35:$R$81)</f>
        <v>0.13088235294117648</v>
      </c>
      <c r="F5" s="51">
        <f>QUARTILE($R$35:$R$81,3)</f>
        <v>-9.7656641604010025E-2</v>
      </c>
      <c r="G5" s="51">
        <f>AVERAGE($R$35:$R$81)</f>
        <v>-0.23331962604078918</v>
      </c>
    </row>
    <row r="6" spans="1:20" x14ac:dyDescent="0.25">
      <c r="A6" s="74" t="s">
        <v>3224</v>
      </c>
      <c r="B6" s="51">
        <f>MEDIAN($S$13:$S$34)</f>
        <v>0</v>
      </c>
      <c r="C6" s="51">
        <f>QUARTILE($S$13:$S$34,1)</f>
        <v>0</v>
      </c>
      <c r="D6" s="51">
        <f>MIN($S$13:$S$34)</f>
        <v>-0.17241379310344826</v>
      </c>
      <c r="E6" s="51">
        <f>MAX($S$13:$S$34)</f>
        <v>3</v>
      </c>
      <c r="F6" s="51">
        <f>QUARTILE($S$13:$S$34,3)</f>
        <v>0.6470588235294118</v>
      </c>
      <c r="G6" s="51">
        <f>AVERAGE($S$13:$S$34)</f>
        <v>0.51416683384229034</v>
      </c>
    </row>
    <row r="7" spans="1:20" x14ac:dyDescent="0.25">
      <c r="A7" s="74" t="s">
        <v>3225</v>
      </c>
      <c r="B7" s="51">
        <f>MEDIAN($T$13:$T$34)</f>
        <v>-0.75</v>
      </c>
      <c r="C7" s="51">
        <f>QUARTILE($T$13:$T$34,1)</f>
        <v>-0.88497899159663873</v>
      </c>
      <c r="D7" s="51">
        <f>MIN($T$13:$T$34)</f>
        <v>-0.92857142857142849</v>
      </c>
      <c r="E7" s="51">
        <f>MAX($T$13:$T$34)</f>
        <v>-0.21428571428571436</v>
      </c>
      <c r="F7" s="51">
        <f>QUARTILE($T$13:$T$34,3)</f>
        <v>-0.60714285714285721</v>
      </c>
      <c r="G7" s="51">
        <f>AVERAGE($T$13:$T$34)</f>
        <v>-0.69753734827264247</v>
      </c>
    </row>
    <row r="8" spans="1:20" x14ac:dyDescent="0.25">
      <c r="A8" s="74" t="s">
        <v>3227</v>
      </c>
      <c r="B8" s="51">
        <f>MEDIAN($T$35:$T$81)</f>
        <v>-0.66768916155419222</v>
      </c>
      <c r="C8" s="51">
        <f>QUARTILE($T$35:$T$81,1)</f>
        <v>-0.80019300598645693</v>
      </c>
      <c r="D8" s="51">
        <f>MIN($T$35:$T$81)</f>
        <v>-0.91715210355987054</v>
      </c>
      <c r="E8" s="51">
        <f>MAX($T$35:$T$81)</f>
        <v>0</v>
      </c>
      <c r="F8" s="51">
        <f>QUARTILE($T$35:$T$81,3)</f>
        <v>-0.53578058457394528</v>
      </c>
      <c r="G8" s="51">
        <f>AVERAGE($T$35:$T$81)</f>
        <v>-0.63466758688017366</v>
      </c>
    </row>
    <row r="10" spans="1:20" ht="35.1" customHeight="1" x14ac:dyDescent="0.25">
      <c r="B10" s="732" t="s">
        <v>1372</v>
      </c>
      <c r="C10" s="732"/>
      <c r="D10" s="732"/>
      <c r="E10" s="732"/>
      <c r="F10" s="732"/>
      <c r="G10" s="732"/>
    </row>
    <row r="11" spans="1:20" ht="35.1" customHeight="1" x14ac:dyDescent="0.25">
      <c r="B11" s="732" t="s">
        <v>1377</v>
      </c>
      <c r="C11" s="732"/>
      <c r="D11" s="732"/>
      <c r="E11" s="732"/>
      <c r="F11" s="732"/>
      <c r="G11" s="732"/>
    </row>
    <row r="12" spans="1:20" ht="45" x14ac:dyDescent="0.25">
      <c r="I12" s="4" t="str">
        <f>FileReviewW12!A1</f>
        <v>Trkg_IOU</v>
      </c>
      <c r="J12" s="4" t="str">
        <f>FileReviewW12!O1</f>
        <v>Trkg_UpgradeType</v>
      </c>
      <c r="K12" s="4" t="str">
        <f>FileReviewW12!CH1</f>
        <v>JRT_Pre_CFM50_Infiltration</v>
      </c>
      <c r="L12" s="4" t="str">
        <f>FileReviewW12!DR1</f>
        <v>PreQC_DESKCL_CFM50</v>
      </c>
      <c r="M12" s="4" t="str">
        <f>FileReviewW12!CV1</f>
        <v>JRT_Post_CFM50_Infiltration</v>
      </c>
      <c r="N12" s="4" t="str">
        <f>FileReviewW12!CI1</f>
        <v>JRT_Pre_DuctLeakage_CFM25</v>
      </c>
      <c r="O12" s="4" t="str">
        <f>FileReviewW12!DS1</f>
        <v>PreQC_DESKCL_CFM25</v>
      </c>
      <c r="P12" s="4" t="str">
        <f>FileReviewW12!CW1</f>
        <v>JRT_Post_DuctLeakage_CFM25</v>
      </c>
      <c r="Q12" s="4" t="s">
        <v>1925</v>
      </c>
      <c r="R12" s="4" t="s">
        <v>1926</v>
      </c>
      <c r="S12" s="4" t="s">
        <v>1927</v>
      </c>
      <c r="T12" s="4" t="s">
        <v>1928</v>
      </c>
    </row>
    <row r="13" spans="1:20" x14ac:dyDescent="0.25">
      <c r="I13" s="3" t="str">
        <f>FileReviewW12!A2</f>
        <v>SCE</v>
      </c>
      <c r="J13" s="3" t="str">
        <f>FileReviewW12!O2</f>
        <v>Advanced</v>
      </c>
      <c r="K13" s="3">
        <f>FileReviewW12!CH2</f>
        <v>3582</v>
      </c>
      <c r="L13" s="3">
        <f>FileReviewW12!DR2</f>
        <v>0</v>
      </c>
      <c r="M13" s="3">
        <f>FileReviewW12!CV2</f>
        <v>2160</v>
      </c>
      <c r="N13" s="254">
        <f>FileReviewW12!CI2</f>
        <v>0.39</v>
      </c>
      <c r="O13" s="254">
        <f>FileReviewW12!DS2</f>
        <v>0</v>
      </c>
      <c r="P13" s="254">
        <f>FileReviewW12!CW2</f>
        <v>0.09</v>
      </c>
      <c r="Q13" s="254"/>
      <c r="R13" s="254">
        <f>(M13-K13)/K13</f>
        <v>-0.39698492462311558</v>
      </c>
      <c r="S13" s="254"/>
      <c r="T13" s="254"/>
    </row>
    <row r="14" spans="1:20" x14ac:dyDescent="0.25">
      <c r="I14" s="3" t="str">
        <f>FileReviewW12!A3</f>
        <v>SCE</v>
      </c>
      <c r="J14" s="3" t="str">
        <f>FileReviewW12!O3</f>
        <v>Advanced</v>
      </c>
      <c r="K14" s="3">
        <f>FileReviewW12!CH3</f>
        <v>4800</v>
      </c>
      <c r="L14" s="3">
        <f>FileReviewW12!DR3</f>
        <v>4328</v>
      </c>
      <c r="M14" s="3">
        <f>FileReviewW12!CV3</f>
        <v>4099</v>
      </c>
      <c r="N14" s="254">
        <f>FileReviewW12!CI3</f>
        <v>7.0000000000000007E-2</v>
      </c>
      <c r="O14" s="254">
        <f>FileReviewW12!DS3</f>
        <v>0.28000000000000003</v>
      </c>
      <c r="P14" s="254">
        <f>FileReviewW12!CW3</f>
        <v>0.03</v>
      </c>
      <c r="Q14" s="254">
        <f t="shared" ref="Q14:Q34" si="0">(L14-K14)/K14</f>
        <v>-9.8333333333333328E-2</v>
      </c>
      <c r="R14" s="254">
        <f t="shared" ref="R14:R76" si="1">(M14-K14)/K14</f>
        <v>-0.14604166666666665</v>
      </c>
      <c r="S14" s="254">
        <f t="shared" ref="S14:S34" si="2">(O14-N14)/N14</f>
        <v>3</v>
      </c>
      <c r="T14" s="254">
        <f t="shared" ref="T14:T34" si="3">(P14-O14)/O14</f>
        <v>-0.89285714285714279</v>
      </c>
    </row>
    <row r="15" spans="1:20" x14ac:dyDescent="0.25">
      <c r="I15" s="3" t="str">
        <f>FileReviewW12!A4</f>
        <v>SCE</v>
      </c>
      <c r="J15" s="3" t="str">
        <f>FileReviewW12!O4</f>
        <v>Advanced</v>
      </c>
      <c r="K15" s="3">
        <f>FileReviewW12!CH4</f>
        <v>1565</v>
      </c>
      <c r="L15" s="3">
        <f>FileReviewW12!DR4</f>
        <v>3446</v>
      </c>
      <c r="M15" s="3">
        <f>FileReviewW12!CV4</f>
        <v>1717</v>
      </c>
      <c r="N15" s="254">
        <f>FileReviewW12!CI4</f>
        <v>0.28000000000000003</v>
      </c>
      <c r="O15" s="254">
        <f>FileReviewW12!DS4</f>
        <v>0.28000000000000003</v>
      </c>
      <c r="P15" s="254">
        <f>FileReviewW12!CW4</f>
        <v>7.0000000000000007E-2</v>
      </c>
      <c r="Q15" s="254">
        <f t="shared" si="0"/>
        <v>1.2019169329073482</v>
      </c>
      <c r="R15" s="254">
        <f t="shared" si="1"/>
        <v>9.712460063897764E-2</v>
      </c>
      <c r="S15" s="254">
        <f t="shared" si="2"/>
        <v>0</v>
      </c>
      <c r="T15" s="254">
        <f t="shared" si="3"/>
        <v>-0.75</v>
      </c>
    </row>
    <row r="16" spans="1:20" x14ac:dyDescent="0.25">
      <c r="I16" s="3" t="str">
        <f>FileReviewW12!A5</f>
        <v>SCE</v>
      </c>
      <c r="J16" s="3" t="str">
        <f>FileReviewW12!O5</f>
        <v>Advanced</v>
      </c>
      <c r="K16" s="3">
        <f>FileReviewW12!CH5</f>
        <v>2710</v>
      </c>
      <c r="L16" s="3">
        <f>FileReviewW12!DR5</f>
        <v>2337</v>
      </c>
      <c r="M16" s="3">
        <f>FileReviewW12!CV5</f>
        <v>1293</v>
      </c>
      <c r="N16" s="254">
        <f>FileReviewW12!CI5</f>
        <v>0.28000000000000003</v>
      </c>
      <c r="O16" s="254">
        <f>FileReviewW12!DS5</f>
        <v>0.28000000000000003</v>
      </c>
      <c r="P16" s="254">
        <f>FileReviewW12!CW5</f>
        <v>0.1</v>
      </c>
      <c r="Q16" s="254">
        <f t="shared" si="0"/>
        <v>-0.13763837638376383</v>
      </c>
      <c r="R16" s="254">
        <f t="shared" si="1"/>
        <v>-0.52287822878228785</v>
      </c>
      <c r="S16" s="254">
        <f t="shared" si="2"/>
        <v>0</v>
      </c>
      <c r="T16" s="254">
        <f t="shared" si="3"/>
        <v>-0.6428571428571429</v>
      </c>
    </row>
    <row r="17" spans="9:20" x14ac:dyDescent="0.25">
      <c r="I17" s="3" t="str">
        <f>FileReviewW12!A6</f>
        <v>SCE</v>
      </c>
      <c r="J17" s="3" t="str">
        <f>FileReviewW12!O6</f>
        <v>Advanced</v>
      </c>
      <c r="K17" s="3">
        <f>FileReviewW12!CH6</f>
        <v>1358</v>
      </c>
      <c r="L17" s="3">
        <f>FileReviewW12!DR6</f>
        <v>3977</v>
      </c>
      <c r="M17" s="3">
        <f>FileReviewW12!CV6</f>
        <v>1361</v>
      </c>
      <c r="N17" s="254">
        <f>FileReviewW12!CI6</f>
        <v>0.1</v>
      </c>
      <c r="O17" s="254">
        <f>FileReviewW12!DS6</f>
        <v>0.28000000000000003</v>
      </c>
      <c r="P17" s="254">
        <f>FileReviewW12!CW6</f>
        <v>0.05</v>
      </c>
      <c r="Q17" s="254">
        <f t="shared" si="0"/>
        <v>1.9285714285714286</v>
      </c>
      <c r="R17" s="254">
        <f t="shared" si="1"/>
        <v>2.2091310751104565E-3</v>
      </c>
      <c r="S17" s="254">
        <f t="shared" si="2"/>
        <v>1.8</v>
      </c>
      <c r="T17" s="254">
        <f t="shared" si="3"/>
        <v>-0.82142857142857151</v>
      </c>
    </row>
    <row r="18" spans="9:20" s="190" customFormat="1" x14ac:dyDescent="0.25">
      <c r="I18" s="190" t="str">
        <f>FileReviewW12!A7</f>
        <v>SCE</v>
      </c>
      <c r="J18" s="190" t="str">
        <f>FileReviewW12!O7</f>
        <v>Basic</v>
      </c>
      <c r="K18" s="190">
        <f>FileReviewW12!CH7</f>
        <v>2713</v>
      </c>
      <c r="L18" s="190">
        <f>FileReviewW12!DR7</f>
        <v>0</v>
      </c>
      <c r="M18" s="190">
        <f>FileReviewW12!CV7</f>
        <v>2581</v>
      </c>
      <c r="N18" s="655">
        <f>FileReviewW12!CI7</f>
        <v>0.15</v>
      </c>
      <c r="O18" s="655">
        <f>FileReviewW12!DS7</f>
        <v>0</v>
      </c>
      <c r="P18" s="655">
        <f>FileReviewW12!CW7</f>
        <v>0.06</v>
      </c>
      <c r="Q18" s="655"/>
      <c r="R18" s="655"/>
      <c r="S18" s="655"/>
      <c r="T18" s="655"/>
    </row>
    <row r="19" spans="9:20" x14ac:dyDescent="0.25">
      <c r="I19" s="3" t="str">
        <f>FileReviewW12!A8</f>
        <v>SCE</v>
      </c>
      <c r="J19" s="3" t="str">
        <f>FileReviewW12!O8</f>
        <v>Advanced</v>
      </c>
      <c r="K19" s="3">
        <f>FileReviewW12!CH8</f>
        <v>3310</v>
      </c>
      <c r="L19" s="3">
        <f>FileReviewW12!DR8</f>
        <v>3430</v>
      </c>
      <c r="M19" s="3">
        <f>FileReviewW12!CV8</f>
        <v>1675</v>
      </c>
      <c r="N19" s="254">
        <f>FileReviewW12!CI8</f>
        <v>0.3</v>
      </c>
      <c r="O19" s="254">
        <f>FileReviewW12!DS8</f>
        <v>0.28000000000000003</v>
      </c>
      <c r="P19" s="254">
        <f>FileReviewW12!CW8</f>
        <v>0.09</v>
      </c>
      <c r="Q19" s="254">
        <f t="shared" si="0"/>
        <v>3.6253776435045321E-2</v>
      </c>
      <c r="R19" s="254">
        <f t="shared" si="1"/>
        <v>-0.49395770392749244</v>
      </c>
      <c r="S19" s="254">
        <f t="shared" si="2"/>
        <v>-6.6666666666666541E-2</v>
      </c>
      <c r="T19" s="254">
        <f t="shared" si="3"/>
        <v>-0.6785714285714286</v>
      </c>
    </row>
    <row r="20" spans="9:20" x14ac:dyDescent="0.25">
      <c r="I20" s="3" t="str">
        <f>FileReviewW12!A9</f>
        <v>SCE</v>
      </c>
      <c r="J20" s="3" t="str">
        <f>FileReviewW12!O9</f>
        <v>Advanced</v>
      </c>
      <c r="K20" s="3">
        <f>FileReviewW12!CH9</f>
        <v>1428</v>
      </c>
      <c r="L20" s="3">
        <f>FileReviewW12!DR9</f>
        <v>2480</v>
      </c>
      <c r="M20" s="3">
        <f>FileReviewW12!CV9</f>
        <v>1485</v>
      </c>
      <c r="N20" s="254">
        <f>FileReviewW12!CI9</f>
        <v>0.28000000000000003</v>
      </c>
      <c r="O20" s="254">
        <f>FileReviewW12!DS9</f>
        <v>0.28000000000000003</v>
      </c>
      <c r="P20" s="254">
        <f>FileReviewW12!CW9</f>
        <v>0.02</v>
      </c>
      <c r="Q20" s="254">
        <f t="shared" si="0"/>
        <v>0.73669467787114851</v>
      </c>
      <c r="R20" s="254">
        <f t="shared" si="1"/>
        <v>3.9915966386554619E-2</v>
      </c>
      <c r="S20" s="254">
        <f t="shared" si="2"/>
        <v>0</v>
      </c>
      <c r="T20" s="254">
        <f t="shared" si="3"/>
        <v>-0.92857142857142849</v>
      </c>
    </row>
    <row r="21" spans="9:20" x14ac:dyDescent="0.25">
      <c r="I21" s="3" t="str">
        <f>FileReviewW12!A10</f>
        <v>SCE</v>
      </c>
      <c r="J21" s="3" t="str">
        <f>FileReviewW12!O10</f>
        <v>Advanced</v>
      </c>
      <c r="K21" s="3">
        <f>FileReviewW12!CH10</f>
        <v>5060</v>
      </c>
      <c r="L21" s="3">
        <f>FileReviewW12!DR10</f>
        <v>6761</v>
      </c>
      <c r="M21" s="3">
        <f>FileReviewW12!CV10</f>
        <v>0</v>
      </c>
      <c r="N21" s="254">
        <f>FileReviewW12!CI10</f>
        <v>0.12</v>
      </c>
      <c r="O21" s="254">
        <f>FileReviewW12!DS10</f>
        <v>0.28000000000000003</v>
      </c>
      <c r="P21" s="254">
        <f>FileReviewW12!CW10</f>
        <v>0</v>
      </c>
      <c r="Q21" s="254">
        <f t="shared" si="0"/>
        <v>0.33616600790513834</v>
      </c>
      <c r="R21" s="254"/>
      <c r="S21" s="254">
        <f t="shared" si="2"/>
        <v>1.3333333333333337</v>
      </c>
      <c r="T21" s="254"/>
    </row>
    <row r="22" spans="9:20" s="190" customFormat="1" x14ac:dyDescent="0.25">
      <c r="I22" s="190" t="str">
        <f>FileReviewW12!A11</f>
        <v>SCE</v>
      </c>
      <c r="J22" s="190" t="str">
        <f>FileReviewW12!O11</f>
        <v>Basic</v>
      </c>
      <c r="K22" s="190">
        <f>FileReviewW12!CH11</f>
        <v>5264</v>
      </c>
      <c r="L22" s="190">
        <f>FileReviewW12!DR11</f>
        <v>0</v>
      </c>
      <c r="M22" s="190">
        <f>FileReviewW12!CV11</f>
        <v>2365</v>
      </c>
      <c r="N22" s="655">
        <f>FileReviewW12!CI11</f>
        <v>0.27</v>
      </c>
      <c r="O22" s="655">
        <f>FileReviewW12!DS11</f>
        <v>0</v>
      </c>
      <c r="P22" s="655">
        <f>FileReviewW12!CW11</f>
        <v>0.06</v>
      </c>
      <c r="Q22" s="655"/>
      <c r="R22" s="655"/>
      <c r="S22" s="655"/>
      <c r="T22" s="655"/>
    </row>
    <row r="23" spans="9:20" s="190" customFormat="1" x14ac:dyDescent="0.25">
      <c r="I23" s="190" t="str">
        <f>FileReviewW12!A12</f>
        <v>SCE</v>
      </c>
      <c r="J23" s="190" t="str">
        <f>FileReviewW12!O12</f>
        <v>Basic</v>
      </c>
      <c r="K23" s="190">
        <f>FileReviewW12!CH12</f>
        <v>5379</v>
      </c>
      <c r="L23" s="190">
        <f>FileReviewW12!DR12</f>
        <v>0</v>
      </c>
      <c r="M23" s="190">
        <f>FileReviewW12!CV12</f>
        <v>3551</v>
      </c>
      <c r="N23" s="655">
        <f>FileReviewW12!CI12</f>
        <v>0.51</v>
      </c>
      <c r="O23" s="655">
        <f>FileReviewW12!DS12</f>
        <v>0</v>
      </c>
      <c r="P23" s="655">
        <f>FileReviewW12!CW12</f>
        <v>0.15</v>
      </c>
      <c r="Q23" s="655"/>
      <c r="R23" s="655"/>
      <c r="S23" s="655"/>
      <c r="T23" s="655"/>
    </row>
    <row r="24" spans="9:20" x14ac:dyDescent="0.25">
      <c r="I24" s="3" t="str">
        <f>FileReviewW12!A13</f>
        <v>SCE</v>
      </c>
      <c r="J24" s="3" t="str">
        <f>FileReviewW12!O13</f>
        <v>Advanced</v>
      </c>
      <c r="K24" s="3">
        <f>FileReviewW12!CH13</f>
        <v>2147</v>
      </c>
      <c r="L24" s="3">
        <f>FileReviewW12!DR13</f>
        <v>2147</v>
      </c>
      <c r="M24" s="3">
        <f>FileReviewW12!CV13</f>
        <v>1395</v>
      </c>
      <c r="N24" s="254">
        <f>FileReviewW12!CI13</f>
        <v>0.17</v>
      </c>
      <c r="O24" s="254">
        <f>FileReviewW12!DS13</f>
        <v>0.17</v>
      </c>
      <c r="P24" s="254">
        <f>FileReviewW12!CW13</f>
        <v>0.02</v>
      </c>
      <c r="Q24" s="254">
        <f t="shared" si="0"/>
        <v>0</v>
      </c>
      <c r="R24" s="254">
        <f t="shared" si="1"/>
        <v>-0.3502561714019562</v>
      </c>
      <c r="S24" s="254">
        <f t="shared" si="2"/>
        <v>0</v>
      </c>
      <c r="T24" s="254">
        <f t="shared" si="3"/>
        <v>-0.88235294117647067</v>
      </c>
    </row>
    <row r="25" spans="9:20" x14ac:dyDescent="0.25">
      <c r="I25" s="3" t="str">
        <f>FileReviewW12!A14</f>
        <v>SCE</v>
      </c>
      <c r="J25" s="3" t="str">
        <f>FileReviewW12!O14</f>
        <v>Advanced</v>
      </c>
      <c r="K25" s="3">
        <f>FileReviewW12!CH14</f>
        <v>1353</v>
      </c>
      <c r="L25" s="3">
        <f>FileReviewW12!DR14</f>
        <v>1353</v>
      </c>
      <c r="M25" s="3">
        <f>FileReviewW12!CV14</f>
        <v>1095</v>
      </c>
      <c r="N25" s="254">
        <f>FileReviewW12!CI14</f>
        <v>0</v>
      </c>
      <c r="O25" s="254">
        <f>FileReviewW12!DS14</f>
        <v>0</v>
      </c>
      <c r="P25" s="254">
        <f>FileReviewW12!CW14</f>
        <v>0</v>
      </c>
      <c r="Q25" s="254">
        <f t="shared" si="0"/>
        <v>0</v>
      </c>
      <c r="R25" s="254">
        <f t="shared" si="1"/>
        <v>-0.19068736141906872</v>
      </c>
      <c r="S25" s="254"/>
      <c r="T25" s="254"/>
    </row>
    <row r="26" spans="9:20" x14ac:dyDescent="0.25">
      <c r="I26" s="3" t="str">
        <f>FileReviewW12!A15</f>
        <v>SCE</v>
      </c>
      <c r="J26" s="3" t="str">
        <f>FileReviewW12!O15</f>
        <v>Advanced</v>
      </c>
      <c r="K26" s="3">
        <f>FileReviewW12!CH15</f>
        <v>4189</v>
      </c>
      <c r="L26" s="3">
        <f>FileReviewW12!DR15</f>
        <v>4424</v>
      </c>
      <c r="M26" s="3">
        <f>FileReviewW12!CV15</f>
        <v>2556</v>
      </c>
      <c r="N26" s="254">
        <f>FileReviewW12!CI15</f>
        <v>0.17</v>
      </c>
      <c r="O26" s="254">
        <f>FileReviewW12!DS15</f>
        <v>0.28000000000000003</v>
      </c>
      <c r="P26" s="254">
        <f>FileReviewW12!CW15</f>
        <v>0.03</v>
      </c>
      <c r="Q26" s="254">
        <f t="shared" si="0"/>
        <v>5.6099307710670801E-2</v>
      </c>
      <c r="R26" s="254">
        <f t="shared" si="1"/>
        <v>-0.38983050847457629</v>
      </c>
      <c r="S26" s="254">
        <f t="shared" si="2"/>
        <v>0.6470588235294118</v>
      </c>
      <c r="T26" s="254">
        <f t="shared" si="3"/>
        <v>-0.89285714285714279</v>
      </c>
    </row>
    <row r="27" spans="9:20" x14ac:dyDescent="0.25">
      <c r="I27" s="3" t="str">
        <f>FileReviewW12!A16</f>
        <v>SCE</v>
      </c>
      <c r="J27" s="3" t="str">
        <f>FileReviewW12!O16</f>
        <v>Advanced</v>
      </c>
      <c r="K27" s="3">
        <f>FileReviewW12!CH16</f>
        <v>2180</v>
      </c>
      <c r="L27" s="3">
        <f>FileReviewW12!DR16</f>
        <v>2602</v>
      </c>
      <c r="M27" s="3">
        <f>FileReviewW12!CV16</f>
        <v>1175</v>
      </c>
      <c r="N27" s="254">
        <f>FileReviewW12!CI16</f>
        <v>0.1</v>
      </c>
      <c r="O27" s="254">
        <f>FileReviewW12!DS16</f>
        <v>0.1</v>
      </c>
      <c r="P27" s="254">
        <f>FileReviewW12!CW16</f>
        <v>0.05</v>
      </c>
      <c r="Q27" s="254">
        <f t="shared" si="0"/>
        <v>0.19357798165137616</v>
      </c>
      <c r="R27" s="254">
        <f t="shared" si="1"/>
        <v>-0.46100917431192662</v>
      </c>
      <c r="S27" s="254">
        <f t="shared" si="2"/>
        <v>0</v>
      </c>
      <c r="T27" s="254">
        <f t="shared" si="3"/>
        <v>-0.5</v>
      </c>
    </row>
    <row r="28" spans="9:20" x14ac:dyDescent="0.25">
      <c r="I28" s="3" t="str">
        <f>FileReviewW12!A17</f>
        <v>SCE</v>
      </c>
      <c r="J28" s="3" t="str">
        <f>FileReviewW12!O17</f>
        <v>Advanced</v>
      </c>
      <c r="K28" s="3">
        <f>FileReviewW12!CH17</f>
        <v>2356</v>
      </c>
      <c r="L28" s="3">
        <f>FileReviewW12!DR17</f>
        <v>2344</v>
      </c>
      <c r="M28" s="3">
        <f>FileReviewW12!CV17</f>
        <v>1395</v>
      </c>
      <c r="N28" s="254">
        <f>FileReviewW12!CI17</f>
        <v>0.28000000000000003</v>
      </c>
      <c r="O28" s="254">
        <f>FileReviewW12!DS17</f>
        <v>0.28000000000000003</v>
      </c>
      <c r="P28" s="254">
        <f>FileReviewW12!CW17</f>
        <v>0.22</v>
      </c>
      <c r="Q28" s="254">
        <f t="shared" si="0"/>
        <v>-5.0933786078098476E-3</v>
      </c>
      <c r="R28" s="254">
        <f t="shared" si="1"/>
        <v>-0.40789473684210525</v>
      </c>
      <c r="S28" s="254">
        <f t="shared" si="2"/>
        <v>0</v>
      </c>
      <c r="T28" s="254">
        <f t="shared" si="3"/>
        <v>-0.21428571428571436</v>
      </c>
    </row>
    <row r="29" spans="9:20" s="190" customFormat="1" x14ac:dyDescent="0.25">
      <c r="I29" s="190" t="str">
        <f>FileReviewW12!A18</f>
        <v>SCE</v>
      </c>
      <c r="J29" s="190" t="str">
        <f>FileReviewW12!O18</f>
        <v>Basic</v>
      </c>
      <c r="K29" s="190">
        <f>FileReviewW12!CH18</f>
        <v>2890</v>
      </c>
      <c r="L29" s="190">
        <f>FileReviewW12!DR18</f>
        <v>0</v>
      </c>
      <c r="M29" s="190">
        <f>FileReviewW12!CV18</f>
        <v>2460</v>
      </c>
      <c r="N29" s="655">
        <f>FileReviewW12!CI18</f>
        <v>0.56999999999999995</v>
      </c>
      <c r="O29" s="655">
        <f>FileReviewW12!DS18</f>
        <v>0</v>
      </c>
      <c r="P29" s="655">
        <f>FileReviewW12!CW18</f>
        <v>0.32</v>
      </c>
      <c r="Q29" s="655"/>
      <c r="R29" s="655"/>
      <c r="S29" s="655"/>
      <c r="T29" s="655"/>
    </row>
    <row r="30" spans="9:20" s="190" customFormat="1" x14ac:dyDescent="0.25">
      <c r="I30" s="190" t="str">
        <f>FileReviewW12!A19</f>
        <v>SCE</v>
      </c>
      <c r="J30" s="190" t="str">
        <f>FileReviewW12!O19</f>
        <v>Basic</v>
      </c>
      <c r="K30" s="190">
        <f>FileReviewW12!CH19</f>
        <v>2600</v>
      </c>
      <c r="L30" s="190">
        <f>FileReviewW12!DR19</f>
        <v>0</v>
      </c>
      <c r="M30" s="190">
        <f>FileReviewW12!CV19</f>
        <v>2335</v>
      </c>
      <c r="N30" s="655">
        <f>FileReviewW12!CI19</f>
        <v>0.34</v>
      </c>
      <c r="O30" s="655">
        <f>FileReviewW12!DS19</f>
        <v>0</v>
      </c>
      <c r="P30" s="655">
        <f>FileReviewW12!CW19</f>
        <v>7.0000000000000007E-2</v>
      </c>
      <c r="Q30" s="655"/>
      <c r="R30" s="655"/>
      <c r="S30" s="655"/>
      <c r="T30" s="655"/>
    </row>
    <row r="31" spans="9:20" x14ac:dyDescent="0.25">
      <c r="I31" s="3" t="str">
        <f>FileReviewW12!A20</f>
        <v>SCE</v>
      </c>
      <c r="J31" s="3" t="str">
        <f>FileReviewW12!O20</f>
        <v>Advanced</v>
      </c>
      <c r="K31" s="3">
        <f>FileReviewW12!CH20</f>
        <v>8045</v>
      </c>
      <c r="L31" s="3">
        <f>FileReviewW12!DR20</f>
        <v>7681</v>
      </c>
      <c r="M31" s="3">
        <f>FileReviewW12!CV20</f>
        <v>4036</v>
      </c>
      <c r="N31" s="254">
        <f>FileReviewW12!CI20</f>
        <v>0.21</v>
      </c>
      <c r="O31" s="254">
        <f>FileReviewW12!DS20</f>
        <v>0.24</v>
      </c>
      <c r="P31" s="254">
        <f>FileReviewW12!CW20</f>
        <v>0.06</v>
      </c>
      <c r="Q31" s="254">
        <f t="shared" si="0"/>
        <v>-4.5245494095711623E-2</v>
      </c>
      <c r="R31" s="254">
        <f t="shared" si="1"/>
        <v>-0.49832193909260408</v>
      </c>
      <c r="S31" s="254">
        <f t="shared" si="2"/>
        <v>0.14285714285714285</v>
      </c>
      <c r="T31" s="254">
        <f t="shared" si="3"/>
        <v>-0.75</v>
      </c>
    </row>
    <row r="32" spans="9:20" s="190" customFormat="1" x14ac:dyDescent="0.25">
      <c r="I32" s="190" t="str">
        <f>FileReviewW12!A21</f>
        <v>SCE</v>
      </c>
      <c r="J32" s="190" t="str">
        <f>FileReviewW12!O21</f>
        <v>Basic</v>
      </c>
      <c r="K32" s="190">
        <f>FileReviewW12!CH21</f>
        <v>2025</v>
      </c>
      <c r="L32" s="190">
        <f>FileReviewW12!DR21</f>
        <v>0</v>
      </c>
      <c r="M32" s="190">
        <f>FileReviewW12!CV21</f>
        <v>1345</v>
      </c>
      <c r="N32" s="655">
        <f>FileReviewW12!CI21</f>
        <v>0.2</v>
      </c>
      <c r="O32" s="655">
        <f>FileReviewW12!DS21</f>
        <v>0</v>
      </c>
      <c r="P32" s="655">
        <f>FileReviewW12!CW21</f>
        <v>7.0000000000000007E-2</v>
      </c>
      <c r="Q32" s="655"/>
      <c r="R32" s="655"/>
      <c r="S32" s="655"/>
      <c r="T32" s="655"/>
    </row>
    <row r="33" spans="9:20" x14ac:dyDescent="0.25">
      <c r="I33" s="3" t="str">
        <f>FileReviewW12!A22</f>
        <v>SCE</v>
      </c>
      <c r="J33" s="3" t="str">
        <f>FileReviewW12!O22</f>
        <v>Advanced</v>
      </c>
      <c r="K33" s="3">
        <f>FileReviewW12!CH22</f>
        <v>2871</v>
      </c>
      <c r="L33" s="3">
        <f>FileReviewW12!DR22</f>
        <v>1602</v>
      </c>
      <c r="M33" s="3">
        <f>FileReviewW12!CV22</f>
        <v>1565</v>
      </c>
      <c r="N33" s="254">
        <f>FileReviewW12!CI22</f>
        <v>0</v>
      </c>
      <c r="O33" s="254">
        <f>FileReviewW12!DS22</f>
        <v>0</v>
      </c>
      <c r="P33" s="254">
        <f>FileReviewW12!CW22</f>
        <v>0</v>
      </c>
      <c r="Q33" s="254">
        <f t="shared" si="0"/>
        <v>-0.44200626959247646</v>
      </c>
      <c r="R33" s="254">
        <f t="shared" si="1"/>
        <v>-0.45489376523859282</v>
      </c>
      <c r="S33" s="254"/>
      <c r="T33" s="254"/>
    </row>
    <row r="34" spans="9:20" x14ac:dyDescent="0.25">
      <c r="I34" s="3" t="str">
        <f>FileReviewW12!A23</f>
        <v>SCE</v>
      </c>
      <c r="J34" s="3" t="str">
        <f>FileReviewW12!O23</f>
        <v>Advanced</v>
      </c>
      <c r="K34" s="3">
        <f>FileReviewW12!CH23</f>
        <v>4700</v>
      </c>
      <c r="L34" s="3">
        <f>FileReviewW12!DR23</f>
        <v>4446</v>
      </c>
      <c r="M34" s="3">
        <f>FileReviewW12!CV23</f>
        <v>3230</v>
      </c>
      <c r="N34" s="254">
        <f>FileReviewW12!CI23</f>
        <v>0.28999999999999998</v>
      </c>
      <c r="O34" s="254">
        <f>FileReviewW12!DS23</f>
        <v>0.24</v>
      </c>
      <c r="P34" s="254">
        <f>FileReviewW12!CW23</f>
        <v>0.14000000000000001</v>
      </c>
      <c r="Q34" s="254">
        <f t="shared" si="0"/>
        <v>-5.4042553191489359E-2</v>
      </c>
      <c r="R34" s="254">
        <f t="shared" si="1"/>
        <v>-0.31276595744680852</v>
      </c>
      <c r="S34" s="254">
        <f t="shared" si="2"/>
        <v>-0.17241379310344826</v>
      </c>
      <c r="T34" s="254">
        <f t="shared" si="3"/>
        <v>-0.41666666666666657</v>
      </c>
    </row>
    <row r="35" spans="9:20" s="656" customFormat="1" x14ac:dyDescent="0.25">
      <c r="I35" s="656" t="str">
        <f>FileReviewW12!A24</f>
        <v>PG&amp;E</v>
      </c>
      <c r="J35" s="656" t="str">
        <f>FileReviewW12!O24</f>
        <v>Advanced</v>
      </c>
      <c r="K35" s="656">
        <f>FileReviewW12!CH24</f>
        <v>2235</v>
      </c>
      <c r="M35" s="656">
        <f>FileReviewW12!CV24</f>
        <v>1135</v>
      </c>
      <c r="N35" s="656">
        <f>FileReviewW12!CI24</f>
        <v>0</v>
      </c>
      <c r="P35" s="656">
        <f>FileReviewW12!CW24</f>
        <v>0</v>
      </c>
      <c r="R35" s="657">
        <f t="shared" si="1"/>
        <v>-0.49217002237136465</v>
      </c>
      <c r="S35" s="657"/>
      <c r="T35" s="657"/>
    </row>
    <row r="36" spans="9:20" x14ac:dyDescent="0.25">
      <c r="I36" s="3" t="str">
        <f>FileReviewW12!A25</f>
        <v>PG&amp;E</v>
      </c>
      <c r="J36" s="3" t="str">
        <f>FileReviewW12!O25</f>
        <v>Advanced</v>
      </c>
      <c r="K36" s="3">
        <f>FileReviewW12!CH25</f>
        <v>1285</v>
      </c>
      <c r="M36" s="3">
        <f>FileReviewW12!CV25</f>
        <v>875</v>
      </c>
      <c r="N36" s="3">
        <f>FileReviewW12!CI25</f>
        <v>333</v>
      </c>
      <c r="P36" s="3">
        <f>FileReviewW12!CW25</f>
        <v>49</v>
      </c>
      <c r="R36" s="254">
        <f t="shared" si="1"/>
        <v>-0.31906614785992216</v>
      </c>
      <c r="S36" s="254"/>
      <c r="T36" s="254">
        <f t="shared" ref="T36:T80" si="4">(P36-N36)/N36</f>
        <v>-0.85285285285285284</v>
      </c>
    </row>
    <row r="37" spans="9:20" x14ac:dyDescent="0.25">
      <c r="I37" s="3" t="str">
        <f>FileReviewW12!A26</f>
        <v>PG&amp;E</v>
      </c>
      <c r="J37" s="3" t="str">
        <f>FileReviewW12!O26</f>
        <v>Advanced</v>
      </c>
      <c r="K37" s="3">
        <f>FileReviewW12!CH26</f>
        <v>1200</v>
      </c>
      <c r="M37" s="3">
        <f>FileReviewW12!CV26</f>
        <v>1260</v>
      </c>
      <c r="N37" s="3">
        <f>FileReviewW12!CI26</f>
        <v>177</v>
      </c>
      <c r="P37" s="3">
        <f>FileReviewW12!CW26</f>
        <v>48</v>
      </c>
      <c r="R37" s="254">
        <f t="shared" si="1"/>
        <v>0.05</v>
      </c>
      <c r="S37" s="254"/>
      <c r="T37" s="254">
        <f t="shared" si="4"/>
        <v>-0.72881355932203384</v>
      </c>
    </row>
    <row r="38" spans="9:20" x14ac:dyDescent="0.25">
      <c r="I38" s="3" t="str">
        <f>FileReviewW12!A27</f>
        <v>PG&amp;E</v>
      </c>
      <c r="J38" s="3" t="str">
        <f>FileReviewW12!O27</f>
        <v>Advanced</v>
      </c>
      <c r="K38" s="3">
        <f>FileReviewW12!CH27</f>
        <v>1710</v>
      </c>
      <c r="M38" s="3">
        <f>FileReviewW12!CV27</f>
        <v>1599</v>
      </c>
      <c r="N38" s="3">
        <f>FileReviewW12!CI27</f>
        <v>480</v>
      </c>
      <c r="P38" s="3">
        <f>FileReviewW12!CW27</f>
        <v>257</v>
      </c>
      <c r="R38" s="254">
        <f t="shared" si="1"/>
        <v>-6.491228070175438E-2</v>
      </c>
      <c r="S38" s="254"/>
      <c r="T38" s="254">
        <f t="shared" si="4"/>
        <v>-0.46458333333333335</v>
      </c>
    </row>
    <row r="39" spans="9:20" x14ac:dyDescent="0.25">
      <c r="I39" s="3" t="str">
        <f>FileReviewW12!A28</f>
        <v>PG&amp;E</v>
      </c>
      <c r="J39" s="3" t="str">
        <f>FileReviewW12!O28</f>
        <v>Advanced</v>
      </c>
      <c r="K39" s="3">
        <f>FileReviewW12!CH28</f>
        <v>4300</v>
      </c>
      <c r="M39" s="3">
        <f>FileReviewW12!CV28</f>
        <v>1795</v>
      </c>
      <c r="N39" s="3">
        <f>FileReviewW12!CI28</f>
        <v>420</v>
      </c>
      <c r="P39" s="3">
        <f>FileReviewW12!CW28</f>
        <v>92</v>
      </c>
      <c r="R39" s="254">
        <f t="shared" si="1"/>
        <v>-0.58255813953488367</v>
      </c>
      <c r="S39" s="254"/>
      <c r="T39" s="254">
        <f t="shared" si="4"/>
        <v>-0.78095238095238095</v>
      </c>
    </row>
    <row r="40" spans="9:20" x14ac:dyDescent="0.25">
      <c r="I40" s="3" t="str">
        <f>FileReviewW12!A29</f>
        <v>PG&amp;E</v>
      </c>
      <c r="J40" s="3" t="str">
        <f>FileReviewW12!O29</f>
        <v>Advanced</v>
      </c>
      <c r="K40" s="3">
        <f>FileReviewW12!CH29</f>
        <v>1565</v>
      </c>
      <c r="M40" s="3">
        <f>FileReviewW12!CV29</f>
        <v>1535</v>
      </c>
      <c r="N40" s="3">
        <f>FileReviewW12!CI29</f>
        <v>730</v>
      </c>
      <c r="P40" s="3">
        <f>FileReviewW12!CW29</f>
        <v>124</v>
      </c>
      <c r="R40" s="254">
        <f t="shared" si="1"/>
        <v>-1.9169329073482427E-2</v>
      </c>
      <c r="S40" s="254"/>
      <c r="T40" s="254">
        <f t="shared" si="4"/>
        <v>-0.83013698630136989</v>
      </c>
    </row>
    <row r="41" spans="9:20" x14ac:dyDescent="0.25">
      <c r="I41" s="3" t="str">
        <f>FileReviewW12!A30</f>
        <v>PG&amp;E</v>
      </c>
      <c r="J41" s="3" t="str">
        <f>FileReviewW12!O30</f>
        <v>Advanced</v>
      </c>
      <c r="K41" s="3">
        <f>FileReviewW12!CH30</f>
        <v>2985</v>
      </c>
      <c r="M41" s="3">
        <f>FileReviewW12!CV30</f>
        <v>2550</v>
      </c>
      <c r="N41" s="3">
        <f>FileReviewW12!CI30</f>
        <v>367</v>
      </c>
      <c r="P41" s="3">
        <f>FileReviewW12!CW30</f>
        <v>148</v>
      </c>
      <c r="R41" s="254">
        <f t="shared" si="1"/>
        <v>-0.14572864321608039</v>
      </c>
      <c r="S41" s="254"/>
      <c r="T41" s="254">
        <f t="shared" si="4"/>
        <v>-0.59673024523160767</v>
      </c>
    </row>
    <row r="42" spans="9:20" x14ac:dyDescent="0.25">
      <c r="I42" s="3" t="str">
        <f>FileReviewW12!A31</f>
        <v>PG&amp;E</v>
      </c>
      <c r="J42" s="3" t="str">
        <f>FileReviewW12!O31</f>
        <v>Advanced</v>
      </c>
      <c r="K42" s="3">
        <f>FileReviewW12!CH31</f>
        <v>2866</v>
      </c>
      <c r="M42" s="3">
        <f>FileReviewW12!CV31</f>
        <v>2000</v>
      </c>
      <c r="N42" s="3">
        <f>FileReviewW12!CI31</f>
        <v>323</v>
      </c>
      <c r="P42" s="3">
        <f>FileReviewW12!CW31</f>
        <v>163</v>
      </c>
      <c r="R42" s="254">
        <f t="shared" si="1"/>
        <v>-0.30216329378925333</v>
      </c>
      <c r="S42" s="254"/>
      <c r="T42" s="254">
        <f t="shared" si="4"/>
        <v>-0.49535603715170279</v>
      </c>
    </row>
    <row r="43" spans="9:20" x14ac:dyDescent="0.25">
      <c r="I43" s="3" t="str">
        <f>FileReviewW12!A32</f>
        <v>PG&amp;E</v>
      </c>
      <c r="J43" s="3" t="str">
        <f>FileReviewW12!O32</f>
        <v>Advanced</v>
      </c>
      <c r="K43" s="3">
        <f>FileReviewW12!CH32</f>
        <v>3901</v>
      </c>
      <c r="M43" s="3">
        <f>FileReviewW12!CV32</f>
        <v>2086</v>
      </c>
      <c r="N43" s="3">
        <f>FileReviewW12!CI32</f>
        <v>420</v>
      </c>
      <c r="P43" s="3">
        <f>FileReviewW12!CW32</f>
        <v>68</v>
      </c>
      <c r="R43" s="254">
        <f t="shared" si="1"/>
        <v>-0.46526531658549092</v>
      </c>
      <c r="S43" s="254"/>
      <c r="T43" s="254">
        <f t="shared" si="4"/>
        <v>-0.83809523809523812</v>
      </c>
    </row>
    <row r="44" spans="9:20" x14ac:dyDescent="0.25">
      <c r="I44" s="3" t="str">
        <f>FileReviewW12!A33</f>
        <v>PG&amp;E</v>
      </c>
      <c r="J44" s="3" t="str">
        <f>FileReviewW12!O33</f>
        <v>Advanced</v>
      </c>
      <c r="K44" s="3">
        <f>FileReviewW12!CH33</f>
        <v>2395</v>
      </c>
      <c r="M44" s="3">
        <f>FileReviewW12!CV33</f>
        <v>1692</v>
      </c>
      <c r="N44" s="3">
        <f>FileReviewW12!CI33</f>
        <v>875</v>
      </c>
      <c r="P44" s="3">
        <f>FileReviewW12!CW33</f>
        <v>318</v>
      </c>
      <c r="R44" s="254">
        <f t="shared" si="1"/>
        <v>-0.29352818371607514</v>
      </c>
      <c r="S44" s="254"/>
      <c r="T44" s="254">
        <f t="shared" si="4"/>
        <v>-0.63657142857142857</v>
      </c>
    </row>
    <row r="45" spans="9:20" x14ac:dyDescent="0.25">
      <c r="I45" s="3" t="str">
        <f>FileReviewW12!A35</f>
        <v>PG&amp;E</v>
      </c>
      <c r="J45" s="3" t="str">
        <f>FileReviewW12!O35</f>
        <v>Advanced</v>
      </c>
      <c r="K45" s="3">
        <f>FileReviewW12!CH35</f>
        <v>4256</v>
      </c>
      <c r="M45" s="3">
        <f>FileReviewW12!CV35</f>
        <v>3656</v>
      </c>
      <c r="N45" s="3">
        <f>FileReviewW12!CI35</f>
        <v>0</v>
      </c>
      <c r="P45" s="3">
        <f>FileReviewW12!CW35</f>
        <v>0</v>
      </c>
      <c r="R45" s="254">
        <f t="shared" si="1"/>
        <v>-0.14097744360902256</v>
      </c>
      <c r="S45" s="254"/>
      <c r="T45" s="254"/>
    </row>
    <row r="46" spans="9:20" x14ac:dyDescent="0.25">
      <c r="I46" s="3" t="str">
        <f>FileReviewW12!A36</f>
        <v>PG&amp;E</v>
      </c>
      <c r="J46" s="3" t="str">
        <f>FileReviewW12!O36</f>
        <v>Advanced</v>
      </c>
      <c r="K46" s="3">
        <f>FileReviewW12!CH36</f>
        <v>2876</v>
      </c>
      <c r="M46" s="3">
        <f>FileReviewW12!CV36</f>
        <v>2876</v>
      </c>
      <c r="N46" s="3">
        <f>FileReviewW12!CI36</f>
        <v>445</v>
      </c>
      <c r="P46" s="3">
        <f>FileReviewW12!CW36</f>
        <v>138</v>
      </c>
      <c r="R46" s="254">
        <f t="shared" si="1"/>
        <v>0</v>
      </c>
      <c r="S46" s="254"/>
      <c r="T46" s="254">
        <f t="shared" si="4"/>
        <v>-0.68988764044943818</v>
      </c>
    </row>
    <row r="47" spans="9:20" x14ac:dyDescent="0.25">
      <c r="I47" s="3" t="str">
        <f>FileReviewW12!A37</f>
        <v>PG&amp;E</v>
      </c>
      <c r="J47" s="3" t="str">
        <f>FileReviewW12!O37</f>
        <v>Advanced</v>
      </c>
      <c r="K47" s="3">
        <f>FileReviewW12!CH37</f>
        <v>5221</v>
      </c>
      <c r="M47" s="3">
        <f>FileReviewW12!CV37</f>
        <v>2734</v>
      </c>
      <c r="N47" s="3">
        <f>FileReviewW12!CI37</f>
        <v>329</v>
      </c>
      <c r="P47" s="3">
        <f>FileReviewW12!CW37</f>
        <v>118</v>
      </c>
      <c r="R47" s="254">
        <f t="shared" si="1"/>
        <v>-0.47634552767669031</v>
      </c>
      <c r="S47" s="254"/>
      <c r="T47" s="254">
        <f t="shared" si="4"/>
        <v>-0.64133738601823709</v>
      </c>
    </row>
    <row r="48" spans="9:20" x14ac:dyDescent="0.25">
      <c r="I48" s="3" t="str">
        <f>FileReviewW12!A40</f>
        <v>PG&amp;E</v>
      </c>
      <c r="J48" s="3" t="str">
        <f>FileReviewW12!O40</f>
        <v>Advanced</v>
      </c>
      <c r="K48" s="3">
        <f>FileReviewW12!CH40</f>
        <v>1665</v>
      </c>
      <c r="M48" s="3">
        <f>FileReviewW12!CV40</f>
        <v>1763</v>
      </c>
      <c r="N48" s="3">
        <f>FileReviewW12!CI40</f>
        <v>430</v>
      </c>
      <c r="P48" s="3">
        <f>FileReviewW12!CW40</f>
        <v>100</v>
      </c>
      <c r="R48" s="254">
        <f t="shared" si="1"/>
        <v>5.8858858858858859E-2</v>
      </c>
      <c r="S48" s="254"/>
      <c r="T48" s="254">
        <f t="shared" si="4"/>
        <v>-0.76744186046511631</v>
      </c>
    </row>
    <row r="49" spans="9:20" x14ac:dyDescent="0.25">
      <c r="I49" s="3" t="str">
        <f>FileReviewW12!A41</f>
        <v>PG&amp;E</v>
      </c>
      <c r="J49" s="3" t="str">
        <f>FileReviewW12!O41</f>
        <v>Advanced</v>
      </c>
      <c r="K49" s="3">
        <f>FileReviewW12!CH41</f>
        <v>2070</v>
      </c>
      <c r="M49" s="3">
        <f>FileReviewW12!CV41</f>
        <v>1380</v>
      </c>
      <c r="N49" s="3">
        <f>FileReviewW12!CI41</f>
        <v>450</v>
      </c>
      <c r="P49" s="3">
        <f>FileReviewW12!CW41</f>
        <v>41</v>
      </c>
      <c r="R49" s="254">
        <f t="shared" si="1"/>
        <v>-0.33333333333333331</v>
      </c>
      <c r="S49" s="254"/>
      <c r="T49" s="254">
        <f t="shared" si="4"/>
        <v>-0.90888888888888886</v>
      </c>
    </row>
    <row r="50" spans="9:20" x14ac:dyDescent="0.25">
      <c r="I50" s="3" t="str">
        <f>FileReviewW12!A42</f>
        <v>PG&amp;E</v>
      </c>
      <c r="J50" s="3" t="str">
        <f>FileReviewW12!O42</f>
        <v>Advanced</v>
      </c>
      <c r="K50" s="3">
        <f>FileReviewW12!CH42</f>
        <v>2235</v>
      </c>
      <c r="M50" s="3">
        <f>FileReviewW12!CV42</f>
        <v>1135</v>
      </c>
      <c r="N50" s="3">
        <f>FileReviewW12!CI42</f>
        <v>400</v>
      </c>
      <c r="P50" s="3">
        <f>FileReviewW12!CW42</f>
        <v>143</v>
      </c>
      <c r="R50" s="254">
        <f t="shared" si="1"/>
        <v>-0.49217002237136465</v>
      </c>
      <c r="S50" s="254"/>
      <c r="T50" s="254">
        <f t="shared" si="4"/>
        <v>-0.64249999999999996</v>
      </c>
    </row>
    <row r="51" spans="9:20" x14ac:dyDescent="0.25">
      <c r="I51" s="3" t="str">
        <f>FileReviewW12!A43</f>
        <v>PG&amp;E</v>
      </c>
      <c r="J51" s="3" t="str">
        <f>FileReviewW12!O43</f>
        <v>Advanced</v>
      </c>
      <c r="K51" s="3">
        <f>FileReviewW12!CH43</f>
        <v>2760</v>
      </c>
      <c r="M51" s="3">
        <f>FileReviewW12!CV43</f>
        <v>2012</v>
      </c>
      <c r="N51" s="3">
        <f>FileReviewW12!CI43</f>
        <v>880</v>
      </c>
      <c r="P51" s="3">
        <f>FileReviewW12!CW43</f>
        <v>76</v>
      </c>
      <c r="R51" s="254">
        <f t="shared" si="1"/>
        <v>-0.27101449275362322</v>
      </c>
      <c r="S51" s="254"/>
      <c r="T51" s="254">
        <f t="shared" si="4"/>
        <v>-0.91363636363636369</v>
      </c>
    </row>
    <row r="52" spans="9:20" x14ac:dyDescent="0.25">
      <c r="I52" s="3" t="str">
        <f>FileReviewW12!A44</f>
        <v>PG&amp;E</v>
      </c>
      <c r="J52" s="3" t="str">
        <f>FileReviewW12!O44</f>
        <v>Advanced</v>
      </c>
      <c r="K52" s="3">
        <f>FileReviewW12!CH44</f>
        <v>2300</v>
      </c>
      <c r="M52" s="3">
        <f>FileReviewW12!CV44</f>
        <v>1849</v>
      </c>
      <c r="N52" s="3">
        <f>FileReviewW12!CI44</f>
        <v>223</v>
      </c>
      <c r="P52" s="3">
        <f>FileReviewW12!CW44</f>
        <v>51</v>
      </c>
      <c r="R52" s="254">
        <f t="shared" si="1"/>
        <v>-0.19608695652173913</v>
      </c>
      <c r="S52" s="254"/>
      <c r="T52" s="254">
        <f t="shared" si="4"/>
        <v>-0.77130044843049328</v>
      </c>
    </row>
    <row r="53" spans="9:20" x14ac:dyDescent="0.25">
      <c r="I53" s="3" t="str">
        <f>FileReviewW12!A45</f>
        <v>PG&amp;E</v>
      </c>
      <c r="J53" s="3" t="str">
        <f>FileReviewW12!O45</f>
        <v>Advanced</v>
      </c>
      <c r="K53" s="3">
        <f>FileReviewW12!CH45</f>
        <v>2625</v>
      </c>
      <c r="M53" s="3">
        <f>FileReviewW12!CV45</f>
        <v>2340</v>
      </c>
      <c r="N53" s="3">
        <f>FileReviewW12!CI45</f>
        <v>0</v>
      </c>
      <c r="P53" s="3">
        <f>FileReviewW12!CW45</f>
        <v>52</v>
      </c>
      <c r="R53" s="254">
        <f t="shared" si="1"/>
        <v>-0.10857142857142857</v>
      </c>
      <c r="S53" s="254"/>
      <c r="T53" s="254"/>
    </row>
    <row r="54" spans="9:20" x14ac:dyDescent="0.25">
      <c r="I54" s="3" t="str">
        <f>FileReviewW12!A46</f>
        <v>PG&amp;E</v>
      </c>
      <c r="J54" s="3" t="str">
        <f>FileReviewW12!O46</f>
        <v>Advanced</v>
      </c>
      <c r="K54" s="3">
        <f>FileReviewW12!CH46</f>
        <v>2400</v>
      </c>
      <c r="M54" s="3">
        <f>FileReviewW12!CV46</f>
        <v>1237</v>
      </c>
      <c r="N54" s="3">
        <f>FileReviewW12!CI46</f>
        <v>1545</v>
      </c>
      <c r="P54" s="3">
        <f>FileReviewW12!CW46</f>
        <v>128</v>
      </c>
      <c r="R54" s="254">
        <f t="shared" si="1"/>
        <v>-0.48458333333333331</v>
      </c>
      <c r="S54" s="254"/>
      <c r="T54" s="254">
        <f t="shared" si="4"/>
        <v>-0.91715210355987054</v>
      </c>
    </row>
    <row r="55" spans="9:20" x14ac:dyDescent="0.25">
      <c r="I55" s="3" t="str">
        <f>FileReviewW12!A47</f>
        <v>PG&amp;E</v>
      </c>
      <c r="J55" s="3" t="str">
        <f>FileReviewW12!O47</f>
        <v>Advanced</v>
      </c>
      <c r="K55" s="3">
        <f>FileReviewW12!CH47</f>
        <v>2545</v>
      </c>
      <c r="M55" s="3">
        <f>FileReviewW12!CV47</f>
        <v>1616</v>
      </c>
      <c r="N55" s="3">
        <f>FileReviewW12!CI47</f>
        <v>326</v>
      </c>
      <c r="P55" s="3">
        <f>FileReviewW12!CW47</f>
        <v>108</v>
      </c>
      <c r="R55" s="254">
        <f t="shared" si="1"/>
        <v>-0.36502946954813359</v>
      </c>
      <c r="S55" s="254"/>
      <c r="T55" s="254">
        <f t="shared" si="4"/>
        <v>-0.66871165644171782</v>
      </c>
    </row>
    <row r="56" spans="9:20" x14ac:dyDescent="0.25">
      <c r="I56" s="3" t="str">
        <f>FileReviewW12!A48</f>
        <v>PG&amp;E</v>
      </c>
      <c r="J56" s="3" t="str">
        <f>FileReviewW12!O48</f>
        <v>Advanced</v>
      </c>
      <c r="K56" s="3">
        <f>FileReviewW12!CH48</f>
        <v>1580</v>
      </c>
      <c r="M56" s="3">
        <f>FileReviewW12!CV48</f>
        <v>1520</v>
      </c>
      <c r="N56" s="3">
        <f>FileReviewW12!CI48</f>
        <v>34</v>
      </c>
      <c r="P56" s="3">
        <f>FileReviewW12!CW48</f>
        <v>34</v>
      </c>
      <c r="R56" s="254">
        <f t="shared" si="1"/>
        <v>-3.7974683544303799E-2</v>
      </c>
      <c r="S56" s="254"/>
      <c r="T56" s="254">
        <f t="shared" si="4"/>
        <v>0</v>
      </c>
    </row>
    <row r="57" spans="9:20" x14ac:dyDescent="0.25">
      <c r="I57" s="3" t="str">
        <f>FileReviewW12!A50</f>
        <v>PG&amp;E</v>
      </c>
      <c r="J57" s="3" t="str">
        <f>FileReviewW12!O50</f>
        <v>Advanced</v>
      </c>
      <c r="K57" s="3">
        <f>FileReviewW12!CH50</f>
        <v>2470</v>
      </c>
      <c r="M57" s="3">
        <f>FileReviewW12!CV50</f>
        <v>2185</v>
      </c>
      <c r="N57" s="3">
        <f>FileReviewW12!CI50</f>
        <v>0</v>
      </c>
      <c r="P57" s="3">
        <f>FileReviewW12!CW50</f>
        <v>45</v>
      </c>
      <c r="R57" s="254">
        <f t="shared" si="1"/>
        <v>-0.11538461538461539</v>
      </c>
      <c r="S57" s="254"/>
      <c r="T57" s="254"/>
    </row>
    <row r="58" spans="9:20" x14ac:dyDescent="0.25">
      <c r="I58" s="3" t="str">
        <f>FileReviewW12!A51</f>
        <v>PG&amp;E</v>
      </c>
      <c r="J58" s="3" t="str">
        <f>FileReviewW12!O51</f>
        <v>Advanced</v>
      </c>
      <c r="K58" s="3">
        <f>FileReviewW12!CH51</f>
        <v>3000</v>
      </c>
      <c r="M58" s="3">
        <f>FileReviewW12!CV51</f>
        <v>2043</v>
      </c>
      <c r="N58" s="3">
        <f>FileReviewW12!CI51</f>
        <v>397</v>
      </c>
      <c r="P58" s="3">
        <f>FileReviewW12!CW51</f>
        <v>76</v>
      </c>
      <c r="R58" s="254">
        <f t="shared" si="1"/>
        <v>-0.31900000000000001</v>
      </c>
      <c r="S58" s="254"/>
      <c r="T58" s="254">
        <f t="shared" si="4"/>
        <v>-0.80856423173803527</v>
      </c>
    </row>
    <row r="59" spans="9:20" x14ac:dyDescent="0.25">
      <c r="I59" s="3" t="str">
        <f>FileReviewW12!A52</f>
        <v>PG&amp;E</v>
      </c>
      <c r="J59" s="3" t="str">
        <f>FileReviewW12!O52</f>
        <v>Advanced</v>
      </c>
      <c r="K59" s="3">
        <f>FileReviewW12!CH52</f>
        <v>1930</v>
      </c>
      <c r="M59" s="3">
        <f>FileReviewW12!CV52</f>
        <v>1392</v>
      </c>
      <c r="N59" s="3">
        <f>FileReviewW12!CI52</f>
        <v>0</v>
      </c>
      <c r="P59" s="3">
        <f>FileReviewW12!CW52</f>
        <v>0</v>
      </c>
      <c r="R59" s="254">
        <f t="shared" si="1"/>
        <v>-0.27875647668393783</v>
      </c>
      <c r="S59" s="254"/>
      <c r="T59" s="254"/>
    </row>
    <row r="60" spans="9:20" x14ac:dyDescent="0.25">
      <c r="I60" s="3" t="str">
        <f>FileReviewW12!A53</f>
        <v>PG&amp;E</v>
      </c>
      <c r="J60" s="3" t="str">
        <f>FileReviewW12!O53</f>
        <v>Advanced</v>
      </c>
      <c r="K60" s="3">
        <f>FileReviewW12!CH53</f>
        <v>2560</v>
      </c>
      <c r="M60" s="3">
        <f>FileReviewW12!CV53</f>
        <v>1360</v>
      </c>
      <c r="N60" s="3">
        <f>FileReviewW12!CI53</f>
        <v>368</v>
      </c>
      <c r="P60" s="3">
        <f>FileReviewW12!CW53</f>
        <v>60</v>
      </c>
      <c r="R60" s="254">
        <f t="shared" si="1"/>
        <v>-0.46875</v>
      </c>
      <c r="S60" s="254"/>
      <c r="T60" s="254">
        <f t="shared" si="4"/>
        <v>-0.83695652173913049</v>
      </c>
    </row>
    <row r="61" spans="9:20" x14ac:dyDescent="0.25">
      <c r="I61" s="3" t="str">
        <f>FileReviewW12!A54</f>
        <v>PG&amp;E</v>
      </c>
      <c r="J61" s="3" t="str">
        <f>FileReviewW12!O54</f>
        <v>Advanced</v>
      </c>
      <c r="K61" s="3">
        <f>FileReviewW12!CH54</f>
        <v>2500</v>
      </c>
      <c r="M61" s="3">
        <f>FileReviewW12!CV54</f>
        <v>2604</v>
      </c>
      <c r="N61" s="3">
        <f>FileReviewW12!CI54</f>
        <v>25</v>
      </c>
      <c r="P61" s="3">
        <f>FileReviewW12!CW54</f>
        <v>25</v>
      </c>
      <c r="R61" s="254">
        <f t="shared" si="1"/>
        <v>4.1599999999999998E-2</v>
      </c>
      <c r="S61" s="254"/>
      <c r="T61" s="254">
        <f t="shared" si="4"/>
        <v>0</v>
      </c>
    </row>
    <row r="62" spans="9:20" x14ac:dyDescent="0.25">
      <c r="I62" s="3" t="str">
        <f>FileReviewW12!A55</f>
        <v>PG&amp;E</v>
      </c>
      <c r="J62" s="3" t="str">
        <f>FileReviewW12!O55</f>
        <v>Advanced</v>
      </c>
      <c r="K62" s="3">
        <f>FileReviewW12!CH55</f>
        <v>3620</v>
      </c>
      <c r="M62" s="3">
        <f>FileReviewW12!CV55</f>
        <v>1801</v>
      </c>
      <c r="N62" s="3">
        <f>FileReviewW12!CI55</f>
        <v>1020</v>
      </c>
      <c r="P62" s="3">
        <f>FileReviewW12!CW55</f>
        <v>226</v>
      </c>
      <c r="R62" s="254">
        <f t="shared" si="1"/>
        <v>-0.50248618784530386</v>
      </c>
      <c r="S62" s="254"/>
      <c r="T62" s="254">
        <f t="shared" si="4"/>
        <v>-0.77843137254901962</v>
      </c>
    </row>
    <row r="63" spans="9:20" x14ac:dyDescent="0.25">
      <c r="I63" s="3" t="str">
        <f>FileReviewW12!A56</f>
        <v>PG&amp;E</v>
      </c>
      <c r="J63" s="3" t="str">
        <f>FileReviewW12!O56</f>
        <v>Advanced</v>
      </c>
      <c r="K63" s="3">
        <f>FileReviewW12!CH56</f>
        <v>2540</v>
      </c>
      <c r="M63" s="3">
        <f>FileReviewW12!CV56</f>
        <v>2210</v>
      </c>
      <c r="N63" s="3">
        <f>FileReviewW12!CI56</f>
        <v>615</v>
      </c>
      <c r="P63" s="3">
        <f>FileReviewW12!CW56</f>
        <v>460</v>
      </c>
      <c r="R63" s="254">
        <f t="shared" si="1"/>
        <v>-0.12992125984251968</v>
      </c>
      <c r="S63" s="254"/>
      <c r="T63" s="254">
        <f t="shared" si="4"/>
        <v>-0.25203252032520324</v>
      </c>
    </row>
    <row r="64" spans="9:20" x14ac:dyDescent="0.25">
      <c r="I64" s="3" t="str">
        <f>FileReviewW12!A57</f>
        <v>PG&amp;E</v>
      </c>
      <c r="J64" s="3" t="str">
        <f>FileReviewW12!O57</f>
        <v>Advanced</v>
      </c>
      <c r="K64" s="3">
        <f>FileReviewW12!CH57</f>
        <v>2485</v>
      </c>
      <c r="M64" s="3" t="str">
        <f>FileReviewW12!CV57</f>
        <v>n/a</v>
      </c>
      <c r="N64" s="3">
        <f>FileReviewW12!CI57</f>
        <v>385</v>
      </c>
      <c r="P64" s="3">
        <f>FileReviewW12!CW57</f>
        <v>78</v>
      </c>
      <c r="R64" s="254"/>
      <c r="S64" s="254"/>
      <c r="T64" s="254">
        <f t="shared" si="4"/>
        <v>-0.79740259740259745</v>
      </c>
    </row>
    <row r="65" spans="9:20" x14ac:dyDescent="0.25">
      <c r="I65" s="3" t="str">
        <f>FileReviewW12!A58</f>
        <v>PG&amp;E</v>
      </c>
      <c r="J65" s="3" t="str">
        <f>FileReviewW12!O58</f>
        <v>Advanced</v>
      </c>
      <c r="K65" s="3">
        <f>FileReviewW12!CH58</f>
        <v>2150</v>
      </c>
      <c r="M65" s="3">
        <f>FileReviewW12!CV58</f>
        <v>1850</v>
      </c>
      <c r="N65" s="3">
        <f>FileReviewW12!CI58</f>
        <v>0</v>
      </c>
      <c r="P65" s="3">
        <f>FileReviewW12!CW58</f>
        <v>80</v>
      </c>
      <c r="R65" s="254">
        <f t="shared" si="1"/>
        <v>-0.13953488372093023</v>
      </c>
      <c r="S65" s="254"/>
      <c r="T65" s="254"/>
    </row>
    <row r="66" spans="9:20" x14ac:dyDescent="0.25">
      <c r="I66" s="3" t="str">
        <f>FileReviewW12!A59</f>
        <v>PG&amp;E</v>
      </c>
      <c r="J66" s="3" t="str">
        <f>FileReviewW12!O59</f>
        <v>Advanced</v>
      </c>
      <c r="K66" s="3">
        <f>FileReviewW12!CH59</f>
        <v>1460</v>
      </c>
      <c r="M66" s="3">
        <f>FileReviewW12!CV59</f>
        <v>1375</v>
      </c>
      <c r="N66" s="3">
        <f>FileReviewW12!CI59</f>
        <v>152</v>
      </c>
      <c r="P66" s="3">
        <f>FileReviewW12!CW59</f>
        <v>69</v>
      </c>
      <c r="R66" s="254">
        <f t="shared" si="1"/>
        <v>-5.8219178082191778E-2</v>
      </c>
      <c r="S66" s="254"/>
      <c r="T66" s="254">
        <f t="shared" si="4"/>
        <v>-0.54605263157894735</v>
      </c>
    </row>
    <row r="67" spans="9:20" x14ac:dyDescent="0.25">
      <c r="I67" s="3" t="str">
        <f>FileReviewW12!A60</f>
        <v>PG&amp;E</v>
      </c>
      <c r="J67" s="3" t="str">
        <f>FileReviewW12!O60</f>
        <v>Advanced</v>
      </c>
      <c r="K67" s="3">
        <f>FileReviewW12!CH60</f>
        <v>2761</v>
      </c>
      <c r="M67" s="3">
        <f>FileReviewW12!CV60</f>
        <v>2700</v>
      </c>
      <c r="N67" s="3">
        <f>FileReviewW12!CI60</f>
        <v>317</v>
      </c>
      <c r="P67" s="3">
        <f>FileReviewW12!CW60</f>
        <v>94</v>
      </c>
      <c r="R67" s="254">
        <f t="shared" si="1"/>
        <v>-2.2093444404201378E-2</v>
      </c>
      <c r="S67" s="254"/>
      <c r="T67" s="254">
        <f t="shared" si="4"/>
        <v>-0.70347003154574128</v>
      </c>
    </row>
    <row r="68" spans="9:20" x14ac:dyDescent="0.25">
      <c r="I68" s="3" t="str">
        <f>FileReviewW12!A61</f>
        <v>PG&amp;E</v>
      </c>
      <c r="J68" s="3" t="str">
        <f>FileReviewW12!O61</f>
        <v>Advanced</v>
      </c>
      <c r="K68" s="3">
        <f>FileReviewW12!CH61</f>
        <v>4330</v>
      </c>
      <c r="M68" s="3">
        <f>FileReviewW12!CV61</f>
        <v>1886</v>
      </c>
      <c r="N68" s="3">
        <f>FileReviewW12!CI61</f>
        <v>101</v>
      </c>
      <c r="P68" s="3">
        <f>FileReviewW12!CW61</f>
        <v>0</v>
      </c>
      <c r="R68" s="254">
        <f t="shared" si="1"/>
        <v>-0.56443418013856816</v>
      </c>
      <c r="S68" s="254"/>
      <c r="T68" s="254"/>
    </row>
    <row r="69" spans="9:20" x14ac:dyDescent="0.25">
      <c r="I69" s="3" t="str">
        <f>FileReviewW12!A62</f>
        <v>PG&amp;E</v>
      </c>
      <c r="J69" s="3" t="str">
        <f>FileReviewW12!O62</f>
        <v>Advanced</v>
      </c>
      <c r="K69" s="3">
        <f>FileReviewW12!CH62</f>
        <v>1462</v>
      </c>
      <c r="M69" s="3">
        <f>FileReviewW12!CV62</f>
        <v>1441</v>
      </c>
      <c r="N69" s="3">
        <f>FileReviewW12!CI62</f>
        <v>304</v>
      </c>
      <c r="P69" s="3">
        <f>FileReviewW12!CW62</f>
        <v>0</v>
      </c>
      <c r="R69" s="254">
        <f t="shared" si="1"/>
        <v>-1.4363885088919288E-2</v>
      </c>
      <c r="S69" s="254"/>
      <c r="T69" s="254"/>
    </row>
    <row r="70" spans="9:20" x14ac:dyDescent="0.25">
      <c r="I70" s="3" t="str">
        <f>FileReviewW12!A63</f>
        <v>PG&amp;E</v>
      </c>
      <c r="J70" s="3" t="str">
        <f>FileReviewW12!O63</f>
        <v>Advanced</v>
      </c>
      <c r="K70" s="3">
        <f>FileReviewW12!CH63</f>
        <v>1425</v>
      </c>
      <c r="M70" s="3">
        <f>FileReviewW12!CV63</f>
        <v>1162</v>
      </c>
      <c r="N70" s="3">
        <f>FileReviewW12!CI63</f>
        <v>0</v>
      </c>
      <c r="P70" s="3">
        <f>FileReviewW12!CW63</f>
        <v>0</v>
      </c>
      <c r="R70" s="254">
        <f t="shared" si="1"/>
        <v>-0.18456140350877193</v>
      </c>
      <c r="S70" s="254"/>
      <c r="T70" s="254"/>
    </row>
    <row r="71" spans="9:20" x14ac:dyDescent="0.25">
      <c r="I71" s="3" t="str">
        <f>FileReviewW12!A64</f>
        <v>PG&amp;E</v>
      </c>
      <c r="J71" s="3" t="str">
        <f>FileReviewW12!O64</f>
        <v>Advanced</v>
      </c>
      <c r="K71" s="3" t="str">
        <f>FileReviewW12!CH64</f>
        <v>N/A</v>
      </c>
      <c r="M71" s="3">
        <f>FileReviewW12!CV64</f>
        <v>1946</v>
      </c>
      <c r="N71" s="3">
        <f>FileReviewW12!CI64</f>
        <v>235</v>
      </c>
      <c r="P71" s="3">
        <f>FileReviewW12!CW64</f>
        <v>152</v>
      </c>
      <c r="R71" s="254"/>
      <c r="S71" s="254"/>
      <c r="T71" s="254">
        <f t="shared" si="4"/>
        <v>-0.35319148936170214</v>
      </c>
    </row>
    <row r="72" spans="9:20" x14ac:dyDescent="0.25">
      <c r="I72" s="3" t="str">
        <f>FileReviewW12!A66</f>
        <v>PG&amp;E</v>
      </c>
      <c r="J72" s="3" t="str">
        <f>FileReviewW12!O66</f>
        <v>Advanced</v>
      </c>
      <c r="K72" s="3">
        <f>FileReviewW12!CH66</f>
        <v>2992</v>
      </c>
      <c r="M72" s="3">
        <f>FileReviewW12!CV66</f>
        <v>1613</v>
      </c>
      <c r="N72" s="3">
        <f>FileReviewW12!CI66</f>
        <v>331</v>
      </c>
      <c r="P72" s="3">
        <f>FileReviewW12!CW66</f>
        <v>160</v>
      </c>
      <c r="R72" s="254">
        <f t="shared" si="1"/>
        <v>-0.46089572192513367</v>
      </c>
      <c r="S72" s="254"/>
      <c r="T72" s="254">
        <f t="shared" si="4"/>
        <v>-0.5166163141993958</v>
      </c>
    </row>
    <row r="73" spans="9:20" x14ac:dyDescent="0.25">
      <c r="I73" s="3" t="str">
        <f>FileReviewW12!A67</f>
        <v>PG&amp;E</v>
      </c>
      <c r="J73" s="3" t="str">
        <f>FileReviewW12!O67</f>
        <v>Advanced</v>
      </c>
      <c r="K73" s="3">
        <f>FileReviewW12!CH67</f>
        <v>2085</v>
      </c>
      <c r="M73" s="3">
        <f>FileReviewW12!CV67</f>
        <v>1727</v>
      </c>
      <c r="N73" s="3">
        <f>FileReviewW12!CI67</f>
        <v>0</v>
      </c>
      <c r="P73" s="3">
        <f>FileReviewW12!CW67</f>
        <v>0</v>
      </c>
      <c r="R73" s="254">
        <f t="shared" si="1"/>
        <v>-0.17170263788968826</v>
      </c>
      <c r="S73" s="254"/>
      <c r="T73" s="254"/>
    </row>
    <row r="74" spans="9:20" x14ac:dyDescent="0.25">
      <c r="I74" s="3" t="str">
        <f>FileReviewW12!A68</f>
        <v>PG&amp;E</v>
      </c>
      <c r="J74" s="3" t="str">
        <f>FileReviewW12!O68</f>
        <v>Advanced</v>
      </c>
      <c r="K74" s="3">
        <f>FileReviewW12!CH68</f>
        <v>2460</v>
      </c>
      <c r="M74" s="3">
        <f>FileReviewW12!CV68</f>
        <v>2060</v>
      </c>
      <c r="N74" s="3">
        <f>FileReviewW12!CI68</f>
        <v>415</v>
      </c>
      <c r="P74" s="3">
        <f>FileReviewW12!CW68</f>
        <v>190</v>
      </c>
      <c r="R74" s="254">
        <f t="shared" si="1"/>
        <v>-0.16260162601626016</v>
      </c>
      <c r="S74" s="254"/>
      <c r="T74" s="254">
        <f t="shared" si="4"/>
        <v>-0.54216867469879515</v>
      </c>
    </row>
    <row r="75" spans="9:20" x14ac:dyDescent="0.25">
      <c r="I75" s="3" t="str">
        <f>FileReviewW12!A69</f>
        <v>PG&amp;E</v>
      </c>
      <c r="J75" s="3" t="str">
        <f>FileReviewW12!O69</f>
        <v>Advanced</v>
      </c>
      <c r="K75" s="3">
        <f>FileReviewW12!CH69</f>
        <v>4073</v>
      </c>
      <c r="M75" s="3">
        <f>FileReviewW12!CV69</f>
        <v>3405</v>
      </c>
      <c r="N75" s="3">
        <f>FileReviewW12!CI69</f>
        <v>691</v>
      </c>
      <c r="P75" s="3">
        <f>FileReviewW12!CW69</f>
        <v>108</v>
      </c>
      <c r="R75" s="254">
        <f t="shared" si="1"/>
        <v>-0.16400687453965138</v>
      </c>
      <c r="S75" s="254"/>
      <c r="T75" s="254">
        <f t="shared" si="4"/>
        <v>-0.84370477568740954</v>
      </c>
    </row>
    <row r="76" spans="9:20" x14ac:dyDescent="0.25">
      <c r="I76" s="3" t="str">
        <f>FileReviewW12!A70</f>
        <v>PG&amp;E</v>
      </c>
      <c r="J76" s="3" t="str">
        <f>FileReviewW12!O70</f>
        <v>Advanced</v>
      </c>
      <c r="K76" s="3">
        <f>FileReviewW12!CH70</f>
        <v>3400</v>
      </c>
      <c r="M76" s="3">
        <f>FileReviewW12!CV70</f>
        <v>3845</v>
      </c>
      <c r="N76" s="3">
        <f>FileReviewW12!CI70</f>
        <v>1419</v>
      </c>
      <c r="P76" s="3">
        <f>FileReviewW12!CW70</f>
        <v>780</v>
      </c>
      <c r="R76" s="254">
        <f t="shared" si="1"/>
        <v>0.13088235294117648</v>
      </c>
      <c r="S76" s="254"/>
      <c r="T76" s="254">
        <f t="shared" si="4"/>
        <v>-0.45031712473572938</v>
      </c>
    </row>
    <row r="77" spans="9:20" x14ac:dyDescent="0.25">
      <c r="I77" s="3" t="str">
        <f>FileReviewW12!A71</f>
        <v>PG&amp;E</v>
      </c>
      <c r="J77" s="3" t="str">
        <f>FileReviewW12!O71</f>
        <v>Advanced</v>
      </c>
      <c r="K77" s="3" t="str">
        <f>FileReviewW12!CH71</f>
        <v>na</v>
      </c>
      <c r="M77" s="3">
        <f>FileReviewW12!CV71</f>
        <v>3240</v>
      </c>
      <c r="N77" s="3">
        <f>FileReviewW12!CI71</f>
        <v>740</v>
      </c>
      <c r="P77" s="3">
        <f>FileReviewW12!CW71</f>
        <v>321</v>
      </c>
      <c r="R77" s="254"/>
      <c r="S77" s="254"/>
      <c r="T77" s="254">
        <f t="shared" si="4"/>
        <v>-0.56621621621621621</v>
      </c>
    </row>
    <row r="78" spans="9:20" x14ac:dyDescent="0.25">
      <c r="I78" s="3" t="str">
        <f>FileReviewW12!A72</f>
        <v>PG&amp;E</v>
      </c>
      <c r="J78" s="3" t="str">
        <f>FileReviewW12!O72</f>
        <v>Advanced</v>
      </c>
      <c r="K78" s="3">
        <f>FileReviewW12!CH72</f>
        <v>3150</v>
      </c>
      <c r="M78" s="3">
        <f>FileReviewW12!CV72</f>
        <v>2200</v>
      </c>
      <c r="N78" s="3">
        <f>FileReviewW12!CI72</f>
        <v>420</v>
      </c>
      <c r="P78" s="3">
        <f>FileReviewW12!CW72</f>
        <v>140</v>
      </c>
      <c r="R78" s="254">
        <f t="shared" ref="R78:R81" si="5">(M78-K78)/K78</f>
        <v>-0.30158730158730157</v>
      </c>
      <c r="S78" s="254"/>
      <c r="T78" s="254">
        <f t="shared" si="4"/>
        <v>-0.66666666666666663</v>
      </c>
    </row>
    <row r="79" spans="9:20" x14ac:dyDescent="0.25">
      <c r="I79" s="3" t="str">
        <f>FileReviewW12!A73</f>
        <v>PG&amp;E</v>
      </c>
      <c r="J79" s="3" t="str">
        <f>FileReviewW12!O73</f>
        <v>Advanced</v>
      </c>
      <c r="K79" s="3">
        <f>FileReviewW12!CH73</f>
        <v>1950</v>
      </c>
      <c r="M79" s="3">
        <f>FileReviewW12!CV73</f>
        <v>1655</v>
      </c>
      <c r="N79" s="3">
        <f>FileReviewW12!CI73</f>
        <v>279</v>
      </c>
      <c r="P79" s="3">
        <f>FileReviewW12!CW73</f>
        <v>106</v>
      </c>
      <c r="R79" s="254">
        <f t="shared" si="5"/>
        <v>-0.15128205128205127</v>
      </c>
      <c r="S79" s="254"/>
      <c r="T79" s="254">
        <f t="shared" si="4"/>
        <v>-0.62007168458781359</v>
      </c>
    </row>
    <row r="80" spans="9:20" x14ac:dyDescent="0.25">
      <c r="I80" s="3" t="str">
        <f>FileReviewW12!A74</f>
        <v>PG&amp;E</v>
      </c>
      <c r="J80" s="3" t="str">
        <f>FileReviewW12!O74</f>
        <v>Advanced</v>
      </c>
      <c r="K80" s="3">
        <f>FileReviewW12!CH74</f>
        <v>3199</v>
      </c>
      <c r="M80" s="3">
        <f>FileReviewW12!CV74</f>
        <v>2102</v>
      </c>
      <c r="N80" s="3">
        <f>FileReviewW12!CI74</f>
        <v>311</v>
      </c>
      <c r="P80" s="3">
        <f>FileReviewW12!CW74</f>
        <v>180</v>
      </c>
      <c r="R80" s="254">
        <f t="shared" si="5"/>
        <v>-0.34291966239449828</v>
      </c>
      <c r="S80" s="254"/>
      <c r="T80" s="254">
        <f t="shared" si="4"/>
        <v>-0.4212218649517685</v>
      </c>
    </row>
    <row r="81" spans="9:20" x14ac:dyDescent="0.25">
      <c r="I81" s="3" t="str">
        <f>FileReviewW12!A75</f>
        <v>PG&amp;E</v>
      </c>
      <c r="J81" s="3" t="str">
        <f>FileReviewW12!O75</f>
        <v>Advanced</v>
      </c>
      <c r="K81" s="3">
        <f>FileReviewW12!CH75</f>
        <v>2115</v>
      </c>
      <c r="M81" s="3">
        <f>FileReviewW12!CV75</f>
        <v>1260</v>
      </c>
      <c r="N81" s="3">
        <f>FileReviewW12!CI75</f>
        <v>0</v>
      </c>
      <c r="P81" s="3">
        <f>FileReviewW12!CW75</f>
        <v>68</v>
      </c>
      <c r="R81" s="254">
        <f t="shared" si="5"/>
        <v>-0.40425531914893614</v>
      </c>
      <c r="S81" s="254"/>
      <c r="T81" s="254"/>
    </row>
  </sheetData>
  <customSheetViews>
    <customSheetView guid="{679A3195-3DEA-4AC2-A535-82AAF5B552BC}" state="hidden">
      <selection activeCell="A7" sqref="A7"/>
      <pageMargins left="0.7" right="0.7" top="0.75" bottom="0.75" header="0.3" footer="0.3"/>
      <pageSetup orientation="landscape" horizontalDpi="4294967293" verticalDpi="4294967293" r:id="rId1"/>
    </customSheetView>
    <customSheetView guid="{7378B641-E8D1-4C14-8151-CF4CE159D121}">
      <selection activeCell="A7" sqref="A7"/>
      <pageMargins left="0.7" right="0.7" top="0.75" bottom="0.75" header="0.3" footer="0.3"/>
      <pageSetup orientation="landscape" horizontalDpi="4294967293" verticalDpi="4294967293" r:id="rId2"/>
    </customSheetView>
    <customSheetView guid="{6D63B10B-E1E6-452A-80EB-4B2C7D61CF66}" state="hidden">
      <selection activeCell="A7" sqref="A7"/>
      <pageMargins left="0.7" right="0.7" top="0.75" bottom="0.75" header="0.3" footer="0.3"/>
      <pageSetup orientation="landscape" horizontalDpi="4294967293" verticalDpi="4294967293" r:id="rId3"/>
    </customSheetView>
  </customSheetViews>
  <mergeCells count="2">
    <mergeCell ref="B10:G10"/>
    <mergeCell ref="B11:G11"/>
  </mergeCells>
  <pageMargins left="0.7" right="0.7" top="0.75" bottom="0.75" header="0.3" footer="0.3"/>
  <pageSetup orientation="landscape" horizontalDpi="4294967293" verticalDpi="4294967293" r:id="rId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Z34"/>
  <sheetViews>
    <sheetView workbookViewId="0">
      <selection activeCell="A9" sqref="A9"/>
    </sheetView>
  </sheetViews>
  <sheetFormatPr defaultRowHeight="15" x14ac:dyDescent="0.25"/>
  <cols>
    <col min="1" max="1" width="11.5703125" style="3" customWidth="1"/>
    <col min="2" max="2" width="57.28515625" style="3" customWidth="1"/>
    <col min="3" max="14" width="9.140625" style="3"/>
    <col min="15" max="15" width="3.28515625" style="47" customWidth="1"/>
    <col min="16" max="16384" width="9.140625" style="3"/>
  </cols>
  <sheetData>
    <row r="1" spans="1:26" ht="33.75" customHeight="1" x14ac:dyDescent="0.25">
      <c r="A1" s="3" t="s">
        <v>26</v>
      </c>
      <c r="B1" s="4" t="s">
        <v>1177</v>
      </c>
    </row>
    <row r="2" spans="1:26" x14ac:dyDescent="0.25">
      <c r="A2" s="3" t="s">
        <v>20</v>
      </c>
      <c r="B2" s="4" t="s">
        <v>58</v>
      </c>
    </row>
    <row r="3" spans="1:26" x14ac:dyDescent="0.25">
      <c r="A3" s="3" t="s">
        <v>1184</v>
      </c>
      <c r="B3" s="4" t="s">
        <v>1190</v>
      </c>
      <c r="C3" s="837" t="s">
        <v>1202</v>
      </c>
      <c r="D3" s="837"/>
      <c r="E3" s="837"/>
      <c r="F3" s="837"/>
      <c r="G3" s="837"/>
      <c r="H3" s="837"/>
      <c r="I3" s="837"/>
      <c r="J3" s="837"/>
      <c r="K3" s="837"/>
      <c r="L3" s="837"/>
      <c r="M3" s="837"/>
      <c r="N3" s="837"/>
    </row>
    <row r="4" spans="1:26" x14ac:dyDescent="0.25">
      <c r="B4" s="4"/>
      <c r="C4" s="3" t="s">
        <v>61</v>
      </c>
      <c r="O4" s="838" t="s">
        <v>1203</v>
      </c>
      <c r="P4" s="48"/>
      <c r="Q4" s="48"/>
      <c r="R4" s="48"/>
      <c r="S4" s="48"/>
      <c r="T4" s="48"/>
      <c r="U4" s="48"/>
      <c r="V4" s="48"/>
      <c r="W4" s="48"/>
      <c r="X4" s="48"/>
      <c r="Y4" s="48"/>
      <c r="Z4" s="48"/>
    </row>
    <row r="5" spans="1:26" x14ac:dyDescent="0.25">
      <c r="B5" s="4"/>
      <c r="O5" s="838"/>
    </row>
    <row r="6" spans="1:26" x14ac:dyDescent="0.25">
      <c r="O6" s="838"/>
    </row>
    <row r="7" spans="1:26" x14ac:dyDescent="0.25">
      <c r="O7" s="838"/>
    </row>
    <row r="8" spans="1:26" x14ac:dyDescent="0.25">
      <c r="O8" s="838"/>
    </row>
    <row r="9" spans="1:26" x14ac:dyDescent="0.25">
      <c r="O9" s="838"/>
    </row>
    <row r="10" spans="1:26" x14ac:dyDescent="0.25">
      <c r="O10" s="838"/>
    </row>
    <row r="11" spans="1:26" x14ac:dyDescent="0.25">
      <c r="O11" s="838"/>
    </row>
    <row r="12" spans="1:26" x14ac:dyDescent="0.25">
      <c r="O12" s="838"/>
    </row>
    <row r="13" spans="1:26" x14ac:dyDescent="0.25">
      <c r="O13" s="838"/>
    </row>
    <row r="14" spans="1:26" x14ac:dyDescent="0.25">
      <c r="O14" s="838"/>
    </row>
    <row r="15" spans="1:26" x14ac:dyDescent="0.25">
      <c r="O15" s="838"/>
    </row>
    <row r="16" spans="1:26" x14ac:dyDescent="0.25">
      <c r="O16" s="838"/>
    </row>
    <row r="17" spans="15:15" x14ac:dyDescent="0.25">
      <c r="O17" s="838"/>
    </row>
    <row r="18" spans="15:15" x14ac:dyDescent="0.25">
      <c r="O18" s="838"/>
    </row>
    <row r="19" spans="15:15" x14ac:dyDescent="0.25">
      <c r="O19" s="838"/>
    </row>
    <row r="20" spans="15:15" x14ac:dyDescent="0.25">
      <c r="O20" s="838"/>
    </row>
    <row r="21" spans="15:15" x14ac:dyDescent="0.25">
      <c r="O21" s="838"/>
    </row>
    <row r="22" spans="15:15" x14ac:dyDescent="0.25">
      <c r="O22" s="838"/>
    </row>
    <row r="23" spans="15:15" x14ac:dyDescent="0.25">
      <c r="O23" s="838"/>
    </row>
    <row r="24" spans="15:15" x14ac:dyDescent="0.25">
      <c r="O24" s="838"/>
    </row>
    <row r="25" spans="15:15" x14ac:dyDescent="0.25">
      <c r="O25" s="838"/>
    </row>
    <row r="26" spans="15:15" x14ac:dyDescent="0.25">
      <c r="O26" s="838"/>
    </row>
    <row r="27" spans="15:15" x14ac:dyDescent="0.25">
      <c r="O27" s="838"/>
    </row>
    <row r="28" spans="15:15" x14ac:dyDescent="0.25">
      <c r="O28" s="838"/>
    </row>
    <row r="29" spans="15:15" x14ac:dyDescent="0.25">
      <c r="O29" s="838"/>
    </row>
    <row r="30" spans="15:15" x14ac:dyDescent="0.25">
      <c r="O30" s="838"/>
    </row>
    <row r="31" spans="15:15" x14ac:dyDescent="0.25">
      <c r="O31" s="838"/>
    </row>
    <row r="33" spans="3:3" x14ac:dyDescent="0.25">
      <c r="C33" s="37" t="s">
        <v>1222</v>
      </c>
    </row>
    <row r="34" spans="3:3" x14ac:dyDescent="0.25">
      <c r="C34" s="3" t="s">
        <v>1352</v>
      </c>
    </row>
  </sheetData>
  <customSheetViews>
    <customSheetView guid="{679A3195-3DEA-4AC2-A535-82AAF5B552BC}" fitToPage="1" state="hidden">
      <selection activeCell="A9" sqref="A9"/>
      <pageMargins left="0.7" right="0.7" top="0.75" bottom="0.75" header="0.3" footer="0.3"/>
      <pageSetup scale="67" orientation="landscape" horizontalDpi="4294967293" verticalDpi="4294967293" r:id="rId1"/>
    </customSheetView>
    <customSheetView guid="{7378B641-E8D1-4C14-8151-CF4CE159D121}" fitToPage="1" state="hidden">
      <selection activeCell="A9" sqref="A9"/>
      <pageMargins left="0.7" right="0.7" top="0.75" bottom="0.75" header="0.3" footer="0.3"/>
      <pageSetup scale="67" orientation="landscape" horizontalDpi="4294967293" verticalDpi="4294967293" r:id="rId2"/>
    </customSheetView>
    <customSheetView guid="{6D63B10B-E1E6-452A-80EB-4B2C7D61CF66}" fitToPage="1" state="hidden">
      <selection activeCell="A9" sqref="A9"/>
      <pageMargins left="0.7" right="0.7" top="0.75" bottom="0.75" header="0.3" footer="0.3"/>
      <pageSetup scale="67" orientation="landscape" horizontalDpi="4294967293" verticalDpi="4294967293" r:id="rId3"/>
    </customSheetView>
  </customSheetViews>
  <mergeCells count="2">
    <mergeCell ref="C3:N3"/>
    <mergeCell ref="O4:O31"/>
  </mergeCells>
  <dataValidations count="1">
    <dataValidation type="list" allowBlank="1" showInputMessage="1" showErrorMessage="1" sqref="B2">
      <formula1>"PG&amp;E,SCE,Combined"</formula1>
    </dataValidation>
  </dataValidations>
  <pageMargins left="0.7" right="0.7" top="0.75" bottom="0.75" header="0.3" footer="0.3"/>
  <pageSetup scale="67" orientation="landscape" horizontalDpi="4294967293" verticalDpi="4294967293" r:id="rId4"/>
  <drawing r:id="rId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Q7"/>
  <sheetViews>
    <sheetView workbookViewId="0">
      <selection activeCell="A9" sqref="A9"/>
    </sheetView>
  </sheetViews>
  <sheetFormatPr defaultRowHeight="15" x14ac:dyDescent="0.25"/>
  <cols>
    <col min="1" max="1" width="10.5703125" style="3" bestFit="1" customWidth="1"/>
    <col min="2" max="10" width="6.28515625" style="3" bestFit="1" customWidth="1"/>
    <col min="11" max="16" width="7.5703125" style="3" bestFit="1" customWidth="1"/>
    <col min="17" max="17" width="56.42578125" style="3" bestFit="1" customWidth="1"/>
    <col min="18" max="254" width="9.140625" style="3"/>
    <col min="255" max="255" width="17.85546875" style="3" customWidth="1"/>
    <col min="256" max="510" width="9.140625" style="3"/>
    <col min="511" max="511" width="17.85546875" style="3" customWidth="1"/>
    <col min="512" max="766" width="9.140625" style="3"/>
    <col min="767" max="767" width="17.85546875" style="3" customWidth="1"/>
    <col min="768" max="1022" width="9.140625" style="3"/>
    <col min="1023" max="1023" width="17.85546875" style="3" customWidth="1"/>
    <col min="1024" max="1278" width="9.140625" style="3"/>
    <col min="1279" max="1279" width="17.85546875" style="3" customWidth="1"/>
    <col min="1280" max="1534" width="9.140625" style="3"/>
    <col min="1535" max="1535" width="17.85546875" style="3" customWidth="1"/>
    <col min="1536" max="1790" width="9.140625" style="3"/>
    <col min="1791" max="1791" width="17.85546875" style="3" customWidth="1"/>
    <col min="1792" max="2046" width="9.140625" style="3"/>
    <col min="2047" max="2047" width="17.85546875" style="3" customWidth="1"/>
    <col min="2048" max="2302" width="9.140625" style="3"/>
    <col min="2303" max="2303" width="17.85546875" style="3" customWidth="1"/>
    <col min="2304" max="2558" width="9.140625" style="3"/>
    <col min="2559" max="2559" width="17.85546875" style="3" customWidth="1"/>
    <col min="2560" max="2814" width="9.140625" style="3"/>
    <col min="2815" max="2815" width="17.85546875" style="3" customWidth="1"/>
    <col min="2816" max="3070" width="9.140625" style="3"/>
    <col min="3071" max="3071" width="17.85546875" style="3" customWidth="1"/>
    <col min="3072" max="3326" width="9.140625" style="3"/>
    <col min="3327" max="3327" width="17.85546875" style="3" customWidth="1"/>
    <col min="3328" max="3582" width="9.140625" style="3"/>
    <col min="3583" max="3583" width="17.85546875" style="3" customWidth="1"/>
    <col min="3584" max="3838" width="9.140625" style="3"/>
    <col min="3839" max="3839" width="17.85546875" style="3" customWidth="1"/>
    <col min="3840" max="4094" width="9.140625" style="3"/>
    <col min="4095" max="4095" width="17.85546875" style="3" customWidth="1"/>
    <col min="4096" max="4350" width="9.140625" style="3"/>
    <col min="4351" max="4351" width="17.85546875" style="3" customWidth="1"/>
    <col min="4352" max="4606" width="9.140625" style="3"/>
    <col min="4607" max="4607" width="17.85546875" style="3" customWidth="1"/>
    <col min="4608" max="4862" width="9.140625" style="3"/>
    <col min="4863" max="4863" width="17.85546875" style="3" customWidth="1"/>
    <col min="4864" max="5118" width="9.140625" style="3"/>
    <col min="5119" max="5119" width="17.85546875" style="3" customWidth="1"/>
    <col min="5120" max="5374" width="9.140625" style="3"/>
    <col min="5375" max="5375" width="17.85546875" style="3" customWidth="1"/>
    <col min="5376" max="5630" width="9.140625" style="3"/>
    <col min="5631" max="5631" width="17.85546875" style="3" customWidth="1"/>
    <col min="5632" max="5886" width="9.140625" style="3"/>
    <col min="5887" max="5887" width="17.85546875" style="3" customWidth="1"/>
    <col min="5888" max="6142" width="9.140625" style="3"/>
    <col min="6143" max="6143" width="17.85546875" style="3" customWidth="1"/>
    <col min="6144" max="6398" width="9.140625" style="3"/>
    <col min="6399" max="6399" width="17.85546875" style="3" customWidth="1"/>
    <col min="6400" max="6654" width="9.140625" style="3"/>
    <col min="6655" max="6655" width="17.85546875" style="3" customWidth="1"/>
    <col min="6656" max="6910" width="9.140625" style="3"/>
    <col min="6911" max="6911" width="17.85546875" style="3" customWidth="1"/>
    <col min="6912" max="7166" width="9.140625" style="3"/>
    <col min="7167" max="7167" width="17.85546875" style="3" customWidth="1"/>
    <col min="7168" max="7422" width="9.140625" style="3"/>
    <col min="7423" max="7423" width="17.85546875" style="3" customWidth="1"/>
    <col min="7424" max="7678" width="9.140625" style="3"/>
    <col min="7679" max="7679" width="17.85546875" style="3" customWidth="1"/>
    <col min="7680" max="7934" width="9.140625" style="3"/>
    <col min="7935" max="7935" width="17.85546875" style="3" customWidth="1"/>
    <col min="7936" max="8190" width="9.140625" style="3"/>
    <col min="8191" max="8191" width="17.85546875" style="3" customWidth="1"/>
    <col min="8192" max="8446" width="9.140625" style="3"/>
    <col min="8447" max="8447" width="17.85546875" style="3" customWidth="1"/>
    <col min="8448" max="8702" width="9.140625" style="3"/>
    <col min="8703" max="8703" width="17.85546875" style="3" customWidth="1"/>
    <col min="8704" max="8958" width="9.140625" style="3"/>
    <col min="8959" max="8959" width="17.85546875" style="3" customWidth="1"/>
    <col min="8960" max="9214" width="9.140625" style="3"/>
    <col min="9215" max="9215" width="17.85546875" style="3" customWidth="1"/>
    <col min="9216" max="9470" width="9.140625" style="3"/>
    <col min="9471" max="9471" width="17.85546875" style="3" customWidth="1"/>
    <col min="9472" max="9726" width="9.140625" style="3"/>
    <col min="9727" max="9727" width="17.85546875" style="3" customWidth="1"/>
    <col min="9728" max="9982" width="9.140625" style="3"/>
    <col min="9983" max="9983" width="17.85546875" style="3" customWidth="1"/>
    <col min="9984" max="10238" width="9.140625" style="3"/>
    <col min="10239" max="10239" width="17.85546875" style="3" customWidth="1"/>
    <col min="10240" max="10494" width="9.140625" style="3"/>
    <col min="10495" max="10495" width="17.85546875" style="3" customWidth="1"/>
    <col min="10496" max="10750" width="9.140625" style="3"/>
    <col min="10751" max="10751" width="17.85546875" style="3" customWidth="1"/>
    <col min="10752" max="11006" width="9.140625" style="3"/>
    <col min="11007" max="11007" width="17.85546875" style="3" customWidth="1"/>
    <col min="11008" max="11262" width="9.140625" style="3"/>
    <col min="11263" max="11263" width="17.85546875" style="3" customWidth="1"/>
    <col min="11264" max="11518" width="9.140625" style="3"/>
    <col min="11519" max="11519" width="17.85546875" style="3" customWidth="1"/>
    <col min="11520" max="11774" width="9.140625" style="3"/>
    <col min="11775" max="11775" width="17.85546875" style="3" customWidth="1"/>
    <col min="11776" max="12030" width="9.140625" style="3"/>
    <col min="12031" max="12031" width="17.85546875" style="3" customWidth="1"/>
    <col min="12032" max="12286" width="9.140625" style="3"/>
    <col min="12287" max="12287" width="17.85546875" style="3" customWidth="1"/>
    <col min="12288" max="12542" width="9.140625" style="3"/>
    <col min="12543" max="12543" width="17.85546875" style="3" customWidth="1"/>
    <col min="12544" max="12798" width="9.140625" style="3"/>
    <col min="12799" max="12799" width="17.85546875" style="3" customWidth="1"/>
    <col min="12800" max="13054" width="9.140625" style="3"/>
    <col min="13055" max="13055" width="17.85546875" style="3" customWidth="1"/>
    <col min="13056" max="13310" width="9.140625" style="3"/>
    <col min="13311" max="13311" width="17.85546875" style="3" customWidth="1"/>
    <col min="13312" max="13566" width="9.140625" style="3"/>
    <col min="13567" max="13567" width="17.85546875" style="3" customWidth="1"/>
    <col min="13568" max="13822" width="9.140625" style="3"/>
    <col min="13823" max="13823" width="17.85546875" style="3" customWidth="1"/>
    <col min="13824" max="14078" width="9.140625" style="3"/>
    <col min="14079" max="14079" width="17.85546875" style="3" customWidth="1"/>
    <col min="14080" max="14334" width="9.140625" style="3"/>
    <col min="14335" max="14335" width="17.85546875" style="3" customWidth="1"/>
    <col min="14336" max="14590" width="9.140625" style="3"/>
    <col min="14591" max="14591" width="17.85546875" style="3" customWidth="1"/>
    <col min="14592" max="14846" width="9.140625" style="3"/>
    <col min="14847" max="14847" width="17.85546875" style="3" customWidth="1"/>
    <col min="14848" max="15102" width="9.140625" style="3"/>
    <col min="15103" max="15103" width="17.85546875" style="3" customWidth="1"/>
    <col min="15104" max="15358" width="9.140625" style="3"/>
    <col min="15359" max="15359" width="17.85546875" style="3" customWidth="1"/>
    <col min="15360" max="15614" width="9.140625" style="3"/>
    <col min="15615" max="15615" width="17.85546875" style="3" customWidth="1"/>
    <col min="15616" max="15870" width="9.140625" style="3"/>
    <col min="15871" max="15871" width="17.85546875" style="3" customWidth="1"/>
    <col min="15872" max="16126" width="9.140625" style="3"/>
    <col min="16127" max="16127" width="17.85546875" style="3" customWidth="1"/>
    <col min="16128" max="16384" width="9.140625" style="3"/>
  </cols>
  <sheetData>
    <row r="1" spans="1:17" s="43" customFormat="1" ht="14.25" x14ac:dyDescent="0.25">
      <c r="B1" s="43" t="s">
        <v>1337</v>
      </c>
      <c r="C1" s="43" t="s">
        <v>1338</v>
      </c>
      <c r="D1" s="43" t="s">
        <v>1339</v>
      </c>
      <c r="E1" s="43" t="s">
        <v>1340</v>
      </c>
      <c r="F1" s="43" t="s">
        <v>1341</v>
      </c>
      <c r="G1" s="43" t="s">
        <v>1342</v>
      </c>
      <c r="H1" s="43" t="s">
        <v>1343</v>
      </c>
      <c r="I1" s="43" t="s">
        <v>1344</v>
      </c>
      <c r="J1" s="43" t="s">
        <v>1345</v>
      </c>
      <c r="K1" s="43" t="s">
        <v>1346</v>
      </c>
      <c r="L1" s="43" t="s">
        <v>1347</v>
      </c>
      <c r="M1" s="43" t="s">
        <v>1348</v>
      </c>
      <c r="N1" s="43" t="s">
        <v>1349</v>
      </c>
      <c r="O1" s="43" t="s">
        <v>1350</v>
      </c>
      <c r="P1" s="43" t="s">
        <v>1351</v>
      </c>
    </row>
    <row r="2" spans="1:17" x14ac:dyDescent="0.25">
      <c r="A2" s="49" t="s">
        <v>1223</v>
      </c>
      <c r="B2" s="52">
        <v>50</v>
      </c>
      <c r="C2" s="52">
        <v>52.5</v>
      </c>
      <c r="D2" s="52">
        <v>55.125</v>
      </c>
      <c r="E2" s="52">
        <v>57.881250000000001</v>
      </c>
      <c r="F2" s="52">
        <v>60.775312500000005</v>
      </c>
      <c r="G2" s="52">
        <v>63.814078125000009</v>
      </c>
      <c r="H2" s="52">
        <v>67.004782031250016</v>
      </c>
      <c r="I2" s="52">
        <v>70.355021132812524</v>
      </c>
      <c r="J2" s="52">
        <v>73.872772189453158</v>
      </c>
      <c r="K2" s="52">
        <v>77.566410798925816</v>
      </c>
      <c r="L2" s="52">
        <v>81.444731338872103</v>
      </c>
      <c r="M2" s="52">
        <v>85.516967905815719</v>
      </c>
      <c r="N2" s="52">
        <v>89.792816301106512</v>
      </c>
      <c r="O2" s="52">
        <v>94.282457116161837</v>
      </c>
      <c r="P2" s="52">
        <v>98.996579971969936</v>
      </c>
    </row>
    <row r="3" spans="1:17" x14ac:dyDescent="0.25">
      <c r="A3" s="49" t="s">
        <v>1224</v>
      </c>
      <c r="B3" s="52">
        <v>60</v>
      </c>
      <c r="C3" s="52">
        <v>63</v>
      </c>
      <c r="D3" s="52">
        <v>66.150000000000006</v>
      </c>
      <c r="E3" s="52">
        <v>69.45750000000001</v>
      </c>
      <c r="F3" s="52">
        <v>72.930375000000012</v>
      </c>
      <c r="G3" s="52">
        <v>76.576893750000011</v>
      </c>
      <c r="H3" s="52">
        <v>80.40573843750002</v>
      </c>
      <c r="I3" s="52">
        <v>84.426025359375018</v>
      </c>
      <c r="J3" s="52">
        <v>88.647326627343773</v>
      </c>
      <c r="K3" s="52">
        <v>93.079692958710964</v>
      </c>
      <c r="L3" s="52">
        <v>97.733677606646523</v>
      </c>
      <c r="M3" s="52">
        <v>102.62036148697885</v>
      </c>
      <c r="N3" s="52">
        <v>107.75137956132779</v>
      </c>
      <c r="O3" s="52">
        <v>113.13894853939419</v>
      </c>
      <c r="P3" s="52">
        <v>118.7958959663639</v>
      </c>
    </row>
    <row r="4" spans="1:17" x14ac:dyDescent="0.25">
      <c r="A4" s="49" t="s">
        <v>1225</v>
      </c>
      <c r="B4" s="52">
        <v>72</v>
      </c>
      <c r="C4" s="52">
        <v>75.600000000000009</v>
      </c>
      <c r="D4" s="52">
        <v>79.38000000000001</v>
      </c>
      <c r="E4" s="52">
        <v>83.349000000000018</v>
      </c>
      <c r="F4" s="52">
        <v>87.51645000000002</v>
      </c>
      <c r="G4" s="52">
        <v>91.892272500000018</v>
      </c>
      <c r="H4" s="52">
        <v>96.486886125000026</v>
      </c>
      <c r="I4" s="52">
        <v>101.31123043125004</v>
      </c>
      <c r="J4" s="52">
        <v>106.37679195281254</v>
      </c>
      <c r="K4" s="52">
        <v>111.69563155045317</v>
      </c>
      <c r="L4" s="52">
        <v>117.28041312797583</v>
      </c>
      <c r="M4" s="52">
        <v>123.14443378437463</v>
      </c>
      <c r="N4" s="52">
        <v>129.30165547359337</v>
      </c>
      <c r="O4" s="52">
        <v>135.76673824727305</v>
      </c>
      <c r="P4" s="52">
        <v>142.55507515963671</v>
      </c>
    </row>
    <row r="5" spans="1:17" x14ac:dyDescent="0.25">
      <c r="A5" s="49" t="s">
        <v>1226</v>
      </c>
      <c r="B5" s="52">
        <v>86.399999999999991</v>
      </c>
      <c r="C5" s="52">
        <v>90.72</v>
      </c>
      <c r="D5" s="52">
        <v>95.256</v>
      </c>
      <c r="E5" s="52">
        <v>100.0188</v>
      </c>
      <c r="F5" s="52">
        <v>105.01974</v>
      </c>
      <c r="G5" s="52">
        <v>110.27072700000001</v>
      </c>
      <c r="H5" s="52">
        <v>115.78426335000002</v>
      </c>
      <c r="I5" s="52">
        <v>121.57347651750003</v>
      </c>
      <c r="J5" s="52">
        <v>127.65215034337503</v>
      </c>
      <c r="K5" s="52">
        <v>134.03475786054378</v>
      </c>
      <c r="L5" s="52">
        <v>140.73649575357098</v>
      </c>
      <c r="M5" s="52">
        <v>147.77332054124955</v>
      </c>
      <c r="N5" s="52">
        <v>155.16198656831202</v>
      </c>
      <c r="O5" s="52">
        <v>162.92008589672761</v>
      </c>
      <c r="P5" s="52">
        <v>171.066090191564</v>
      </c>
    </row>
    <row r="6" spans="1:17" x14ac:dyDescent="0.25">
      <c r="A6" s="49" t="s">
        <v>1227</v>
      </c>
      <c r="B6" s="52">
        <v>103.67999999999999</v>
      </c>
      <c r="C6" s="52">
        <v>108.86399999999999</v>
      </c>
      <c r="D6" s="52">
        <v>114.30719999999999</v>
      </c>
      <c r="E6" s="52">
        <v>120.02256</v>
      </c>
      <c r="F6" s="52">
        <v>126.02368800000001</v>
      </c>
      <c r="G6" s="52">
        <v>132.3248724</v>
      </c>
      <c r="H6" s="52">
        <v>138.94111602000001</v>
      </c>
      <c r="I6" s="52">
        <v>145.88817182100001</v>
      </c>
      <c r="J6" s="52">
        <v>153.18258041205002</v>
      </c>
      <c r="K6" s="52">
        <v>160.84170943265252</v>
      </c>
      <c r="L6" s="52">
        <v>168.88379490428517</v>
      </c>
      <c r="M6" s="52">
        <v>177.32798464949943</v>
      </c>
      <c r="N6" s="52">
        <v>186.1943838819744</v>
      </c>
      <c r="O6" s="52">
        <v>195.50410307607314</v>
      </c>
      <c r="P6" s="52">
        <v>205.27930822987679</v>
      </c>
    </row>
    <row r="7" spans="1:17" ht="60" x14ac:dyDescent="0.25">
      <c r="Q7" s="46" t="s">
        <v>1228</v>
      </c>
    </row>
  </sheetData>
  <customSheetViews>
    <customSheetView guid="{679A3195-3DEA-4AC2-A535-82AAF5B552BC}" state="hidden">
      <selection activeCell="A9" sqref="A9"/>
      <pageMargins left="0.75" right="0.75" top="1" bottom="1" header="0.5" footer="0.5"/>
      <pageSetup orientation="portrait" horizontalDpi="1200" verticalDpi="1200" r:id="rId1"/>
      <headerFooter alignWithMargins="0"/>
    </customSheetView>
    <customSheetView guid="{7378B641-E8D1-4C14-8151-CF4CE159D121}" state="hidden">
      <selection activeCell="A9" sqref="A9"/>
      <pageMargins left="0.75" right="0.75" top="1" bottom="1" header="0.5" footer="0.5"/>
      <pageSetup orientation="portrait" horizontalDpi="1200" verticalDpi="1200" r:id="rId2"/>
      <headerFooter alignWithMargins="0"/>
    </customSheetView>
    <customSheetView guid="{6D63B10B-E1E6-452A-80EB-4B2C7D61CF66}" state="hidden">
      <selection activeCell="A9" sqref="A9"/>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Z34"/>
  <sheetViews>
    <sheetView workbookViewId="0">
      <selection activeCell="A9" sqref="A9"/>
    </sheetView>
  </sheetViews>
  <sheetFormatPr defaultRowHeight="15" x14ac:dyDescent="0.25"/>
  <cols>
    <col min="1" max="1" width="11.5703125" style="3" customWidth="1"/>
    <col min="2" max="2" width="57.28515625" style="3" customWidth="1"/>
    <col min="3" max="14" width="9.140625" style="3"/>
    <col min="15" max="15" width="3.28515625" style="47" customWidth="1"/>
    <col min="16" max="16384" width="9.140625" style="3"/>
  </cols>
  <sheetData>
    <row r="1" spans="1:26" ht="33.75" customHeight="1" x14ac:dyDescent="0.25">
      <c r="A1" s="3" t="s">
        <v>26</v>
      </c>
      <c r="B1" s="4" t="s">
        <v>1177</v>
      </c>
    </row>
    <row r="2" spans="1:26" x14ac:dyDescent="0.25">
      <c r="A2" s="3" t="s">
        <v>20</v>
      </c>
      <c r="B2" s="4" t="s">
        <v>58</v>
      </c>
    </row>
    <row r="3" spans="1:26" x14ac:dyDescent="0.25">
      <c r="A3" s="3" t="s">
        <v>1184</v>
      </c>
      <c r="B3" s="4" t="s">
        <v>1190</v>
      </c>
      <c r="C3" s="837" t="s">
        <v>1202</v>
      </c>
      <c r="D3" s="837"/>
      <c r="E3" s="837"/>
      <c r="F3" s="837"/>
      <c r="G3" s="837"/>
      <c r="H3" s="837"/>
      <c r="I3" s="837"/>
      <c r="J3" s="837"/>
      <c r="K3" s="837"/>
      <c r="L3" s="837"/>
      <c r="M3" s="837"/>
      <c r="N3" s="837"/>
    </row>
    <row r="4" spans="1:26" x14ac:dyDescent="0.25">
      <c r="B4" s="4"/>
      <c r="C4" s="3" t="s">
        <v>61</v>
      </c>
      <c r="O4" s="838" t="s">
        <v>1203</v>
      </c>
      <c r="P4" s="48"/>
      <c r="Q4" s="48"/>
      <c r="R4" s="48"/>
      <c r="S4" s="48"/>
      <c r="T4" s="48"/>
      <c r="U4" s="48"/>
      <c r="V4" s="48"/>
      <c r="W4" s="48"/>
      <c r="X4" s="48"/>
      <c r="Y4" s="48"/>
      <c r="Z4" s="48"/>
    </row>
    <row r="5" spans="1:26" x14ac:dyDescent="0.25">
      <c r="B5" s="4"/>
      <c r="O5" s="838"/>
    </row>
    <row r="6" spans="1:26" x14ac:dyDescent="0.25">
      <c r="O6" s="838"/>
    </row>
    <row r="7" spans="1:26" x14ac:dyDescent="0.25">
      <c r="O7" s="838"/>
    </row>
    <row r="8" spans="1:26" x14ac:dyDescent="0.25">
      <c r="O8" s="838"/>
    </row>
    <row r="9" spans="1:26" x14ac:dyDescent="0.25">
      <c r="O9" s="838"/>
    </row>
    <row r="10" spans="1:26" x14ac:dyDescent="0.25">
      <c r="O10" s="838"/>
    </row>
    <row r="11" spans="1:26" x14ac:dyDescent="0.25">
      <c r="O11" s="838"/>
    </row>
    <row r="12" spans="1:26" x14ac:dyDescent="0.25">
      <c r="O12" s="838"/>
    </row>
    <row r="13" spans="1:26" x14ac:dyDescent="0.25">
      <c r="O13" s="838"/>
    </row>
    <row r="14" spans="1:26" x14ac:dyDescent="0.25">
      <c r="O14" s="838"/>
    </row>
    <row r="15" spans="1:26" x14ac:dyDescent="0.25">
      <c r="O15" s="838"/>
    </row>
    <row r="16" spans="1:26" x14ac:dyDescent="0.25">
      <c r="O16" s="838"/>
    </row>
    <row r="17" spans="15:15" x14ac:dyDescent="0.25">
      <c r="O17" s="838"/>
    </row>
    <row r="18" spans="15:15" x14ac:dyDescent="0.25">
      <c r="O18" s="838"/>
    </row>
    <row r="19" spans="15:15" x14ac:dyDescent="0.25">
      <c r="O19" s="838"/>
    </row>
    <row r="20" spans="15:15" x14ac:dyDescent="0.25">
      <c r="O20" s="838"/>
    </row>
    <row r="21" spans="15:15" x14ac:dyDescent="0.25">
      <c r="O21" s="838"/>
    </row>
    <row r="22" spans="15:15" x14ac:dyDescent="0.25">
      <c r="O22" s="838"/>
    </row>
    <row r="23" spans="15:15" x14ac:dyDescent="0.25">
      <c r="O23" s="838"/>
    </row>
    <row r="24" spans="15:15" x14ac:dyDescent="0.25">
      <c r="O24" s="838"/>
    </row>
    <row r="25" spans="15:15" x14ac:dyDescent="0.25">
      <c r="O25" s="838"/>
    </row>
    <row r="26" spans="15:15" x14ac:dyDescent="0.25">
      <c r="O26" s="838"/>
    </row>
    <row r="27" spans="15:15" x14ac:dyDescent="0.25">
      <c r="O27" s="838"/>
    </row>
    <row r="28" spans="15:15" x14ac:dyDescent="0.25">
      <c r="O28" s="838"/>
    </row>
    <row r="29" spans="15:15" x14ac:dyDescent="0.25">
      <c r="O29" s="838"/>
    </row>
    <row r="30" spans="15:15" x14ac:dyDescent="0.25">
      <c r="O30" s="838"/>
    </row>
    <row r="31" spans="15:15" x14ac:dyDescent="0.25">
      <c r="O31" s="838"/>
    </row>
    <row r="33" spans="3:3" x14ac:dyDescent="0.25">
      <c r="C33" s="37" t="s">
        <v>1229</v>
      </c>
    </row>
    <row r="34" spans="3:3" x14ac:dyDescent="0.25">
      <c r="C34" s="3" t="s">
        <v>1230</v>
      </c>
    </row>
  </sheetData>
  <customSheetViews>
    <customSheetView guid="{679A3195-3DEA-4AC2-A535-82AAF5B552BC}" fitToPage="1" state="hidden">
      <selection activeCell="A9" sqref="A9"/>
      <pageMargins left="0.7" right="0.7" top="0.75" bottom="0.75" header="0.3" footer="0.3"/>
      <pageSetup scale="67" orientation="landscape" horizontalDpi="4294967293" verticalDpi="4294967293" r:id="rId1"/>
    </customSheetView>
    <customSheetView guid="{7378B641-E8D1-4C14-8151-CF4CE159D121}" fitToPage="1" state="hidden">
      <selection activeCell="A9" sqref="A9"/>
      <pageMargins left="0.7" right="0.7" top="0.75" bottom="0.75" header="0.3" footer="0.3"/>
      <pageSetup scale="67" orientation="landscape" horizontalDpi="4294967293" verticalDpi="4294967293" r:id="rId2"/>
    </customSheetView>
    <customSheetView guid="{6D63B10B-E1E6-452A-80EB-4B2C7D61CF66}" fitToPage="1" state="hidden">
      <selection activeCell="A9" sqref="A9"/>
      <pageMargins left="0.7" right="0.7" top="0.75" bottom="0.75" header="0.3" footer="0.3"/>
      <pageSetup scale="67" orientation="landscape" horizontalDpi="4294967293" verticalDpi="4294967293" r:id="rId3"/>
    </customSheetView>
  </customSheetViews>
  <mergeCells count="2">
    <mergeCell ref="C3:N3"/>
    <mergeCell ref="O4:O31"/>
  </mergeCells>
  <dataValidations count="1">
    <dataValidation type="list" allowBlank="1" showInputMessage="1" showErrorMessage="1" sqref="B2">
      <formula1>"PG&amp;E,SCE,Combined"</formula1>
    </dataValidation>
  </dataValidations>
  <pageMargins left="0.7" right="0.7" top="0.75" bottom="0.75" header="0.3" footer="0.3"/>
  <pageSetup scale="67" orientation="landscape" horizontalDpi="4294967293" verticalDpi="4294967293" r:id="rId4"/>
  <drawing r:id="rId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C15"/>
  <sheetViews>
    <sheetView workbookViewId="0">
      <selection activeCell="A9" sqref="A9"/>
    </sheetView>
  </sheetViews>
  <sheetFormatPr defaultRowHeight="15" x14ac:dyDescent="0.25"/>
  <cols>
    <col min="1" max="1" width="18.7109375" style="49" bestFit="1" customWidth="1"/>
    <col min="2" max="2" width="9.140625" style="3"/>
    <col min="3" max="3" width="59.85546875" style="3" bestFit="1" customWidth="1"/>
    <col min="4" max="242" width="9.140625" style="3"/>
    <col min="243" max="243" width="17.85546875" style="3" customWidth="1"/>
    <col min="244" max="498" width="9.140625" style="3"/>
    <col min="499" max="499" width="17.85546875" style="3" customWidth="1"/>
    <col min="500" max="754" width="9.140625" style="3"/>
    <col min="755" max="755" width="17.85546875" style="3" customWidth="1"/>
    <col min="756" max="1010" width="9.140625" style="3"/>
    <col min="1011" max="1011" width="17.85546875" style="3" customWidth="1"/>
    <col min="1012" max="1266" width="9.140625" style="3"/>
    <col min="1267" max="1267" width="17.85546875" style="3" customWidth="1"/>
    <col min="1268" max="1522" width="9.140625" style="3"/>
    <col min="1523" max="1523" width="17.85546875" style="3" customWidth="1"/>
    <col min="1524" max="1778" width="9.140625" style="3"/>
    <col min="1779" max="1779" width="17.85546875" style="3" customWidth="1"/>
    <col min="1780" max="2034" width="9.140625" style="3"/>
    <col min="2035" max="2035" width="17.85546875" style="3" customWidth="1"/>
    <col min="2036" max="2290" width="9.140625" style="3"/>
    <col min="2291" max="2291" width="17.85546875" style="3" customWidth="1"/>
    <col min="2292" max="2546" width="9.140625" style="3"/>
    <col min="2547" max="2547" width="17.85546875" style="3" customWidth="1"/>
    <col min="2548" max="2802" width="9.140625" style="3"/>
    <col min="2803" max="2803" width="17.85546875" style="3" customWidth="1"/>
    <col min="2804" max="3058" width="9.140625" style="3"/>
    <col min="3059" max="3059" width="17.85546875" style="3" customWidth="1"/>
    <col min="3060" max="3314" width="9.140625" style="3"/>
    <col min="3315" max="3315" width="17.85546875" style="3" customWidth="1"/>
    <col min="3316" max="3570" width="9.140625" style="3"/>
    <col min="3571" max="3571" width="17.85546875" style="3" customWidth="1"/>
    <col min="3572" max="3826" width="9.140625" style="3"/>
    <col min="3827" max="3827" width="17.85546875" style="3" customWidth="1"/>
    <col min="3828" max="4082" width="9.140625" style="3"/>
    <col min="4083" max="4083" width="17.85546875" style="3" customWidth="1"/>
    <col min="4084" max="4338" width="9.140625" style="3"/>
    <col min="4339" max="4339" width="17.85546875" style="3" customWidth="1"/>
    <col min="4340" max="4594" width="9.140625" style="3"/>
    <col min="4595" max="4595" width="17.85546875" style="3" customWidth="1"/>
    <col min="4596" max="4850" width="9.140625" style="3"/>
    <col min="4851" max="4851" width="17.85546875" style="3" customWidth="1"/>
    <col min="4852" max="5106" width="9.140625" style="3"/>
    <col min="5107" max="5107" width="17.85546875" style="3" customWidth="1"/>
    <col min="5108" max="5362" width="9.140625" style="3"/>
    <col min="5363" max="5363" width="17.85546875" style="3" customWidth="1"/>
    <col min="5364" max="5618" width="9.140625" style="3"/>
    <col min="5619" max="5619" width="17.85546875" style="3" customWidth="1"/>
    <col min="5620" max="5874" width="9.140625" style="3"/>
    <col min="5875" max="5875" width="17.85546875" style="3" customWidth="1"/>
    <col min="5876" max="6130" width="9.140625" style="3"/>
    <col min="6131" max="6131" width="17.85546875" style="3" customWidth="1"/>
    <col min="6132" max="6386" width="9.140625" style="3"/>
    <col min="6387" max="6387" width="17.85546875" style="3" customWidth="1"/>
    <col min="6388" max="6642" width="9.140625" style="3"/>
    <col min="6643" max="6643" width="17.85546875" style="3" customWidth="1"/>
    <col min="6644" max="6898" width="9.140625" style="3"/>
    <col min="6899" max="6899" width="17.85546875" style="3" customWidth="1"/>
    <col min="6900" max="7154" width="9.140625" style="3"/>
    <col min="7155" max="7155" width="17.85546875" style="3" customWidth="1"/>
    <col min="7156" max="7410" width="9.140625" style="3"/>
    <col min="7411" max="7411" width="17.85546875" style="3" customWidth="1"/>
    <col min="7412" max="7666" width="9.140625" style="3"/>
    <col min="7667" max="7667" width="17.85546875" style="3" customWidth="1"/>
    <col min="7668" max="7922" width="9.140625" style="3"/>
    <col min="7923" max="7923" width="17.85546875" style="3" customWidth="1"/>
    <col min="7924" max="8178" width="9.140625" style="3"/>
    <col min="8179" max="8179" width="17.85546875" style="3" customWidth="1"/>
    <col min="8180" max="8434" width="9.140625" style="3"/>
    <col min="8435" max="8435" width="17.85546875" style="3" customWidth="1"/>
    <col min="8436" max="8690" width="9.140625" style="3"/>
    <col min="8691" max="8691" width="17.85546875" style="3" customWidth="1"/>
    <col min="8692" max="8946" width="9.140625" style="3"/>
    <col min="8947" max="8947" width="17.85546875" style="3" customWidth="1"/>
    <col min="8948" max="9202" width="9.140625" style="3"/>
    <col min="9203" max="9203" width="17.85546875" style="3" customWidth="1"/>
    <col min="9204" max="9458" width="9.140625" style="3"/>
    <col min="9459" max="9459" width="17.85546875" style="3" customWidth="1"/>
    <col min="9460" max="9714" width="9.140625" style="3"/>
    <col min="9715" max="9715" width="17.85546875" style="3" customWidth="1"/>
    <col min="9716" max="9970" width="9.140625" style="3"/>
    <col min="9971" max="9971" width="17.85546875" style="3" customWidth="1"/>
    <col min="9972" max="10226" width="9.140625" style="3"/>
    <col min="10227" max="10227" width="17.85546875" style="3" customWidth="1"/>
    <col min="10228" max="10482" width="9.140625" style="3"/>
    <col min="10483" max="10483" width="17.85546875" style="3" customWidth="1"/>
    <col min="10484" max="10738" width="9.140625" style="3"/>
    <col min="10739" max="10739" width="17.85546875" style="3" customWidth="1"/>
    <col min="10740" max="10994" width="9.140625" style="3"/>
    <col min="10995" max="10995" width="17.85546875" style="3" customWidth="1"/>
    <col min="10996" max="11250" width="9.140625" style="3"/>
    <col min="11251" max="11251" width="17.85546875" style="3" customWidth="1"/>
    <col min="11252" max="11506" width="9.140625" style="3"/>
    <col min="11507" max="11507" width="17.85546875" style="3" customWidth="1"/>
    <col min="11508" max="11762" width="9.140625" style="3"/>
    <col min="11763" max="11763" width="17.85546875" style="3" customWidth="1"/>
    <col min="11764" max="12018" width="9.140625" style="3"/>
    <col min="12019" max="12019" width="17.85546875" style="3" customWidth="1"/>
    <col min="12020" max="12274" width="9.140625" style="3"/>
    <col min="12275" max="12275" width="17.85546875" style="3" customWidth="1"/>
    <col min="12276" max="12530" width="9.140625" style="3"/>
    <col min="12531" max="12531" width="17.85546875" style="3" customWidth="1"/>
    <col min="12532" max="12786" width="9.140625" style="3"/>
    <col min="12787" max="12787" width="17.85546875" style="3" customWidth="1"/>
    <col min="12788" max="13042" width="9.140625" style="3"/>
    <col min="13043" max="13043" width="17.85546875" style="3" customWidth="1"/>
    <col min="13044" max="13298" width="9.140625" style="3"/>
    <col min="13299" max="13299" width="17.85546875" style="3" customWidth="1"/>
    <col min="13300" max="13554" width="9.140625" style="3"/>
    <col min="13555" max="13555" width="17.85546875" style="3" customWidth="1"/>
    <col min="13556" max="13810" width="9.140625" style="3"/>
    <col min="13811" max="13811" width="17.85546875" style="3" customWidth="1"/>
    <col min="13812" max="14066" width="9.140625" style="3"/>
    <col min="14067" max="14067" width="17.85546875" style="3" customWidth="1"/>
    <col min="14068" max="14322" width="9.140625" style="3"/>
    <col min="14323" max="14323" width="17.85546875" style="3" customWidth="1"/>
    <col min="14324" max="14578" width="9.140625" style="3"/>
    <col min="14579" max="14579" width="17.85546875" style="3" customWidth="1"/>
    <col min="14580" max="14834" width="9.140625" style="3"/>
    <col min="14835" max="14835" width="17.85546875" style="3" customWidth="1"/>
    <col min="14836" max="15090" width="9.140625" style="3"/>
    <col min="15091" max="15091" width="17.85546875" style="3" customWidth="1"/>
    <col min="15092" max="15346" width="9.140625" style="3"/>
    <col min="15347" max="15347" width="17.85546875" style="3" customWidth="1"/>
    <col min="15348" max="15602" width="9.140625" style="3"/>
    <col min="15603" max="15603" width="17.85546875" style="3" customWidth="1"/>
    <col min="15604" max="15858" width="9.140625" style="3"/>
    <col min="15859" max="15859" width="17.85546875" style="3" customWidth="1"/>
    <col min="15860" max="16114" width="9.140625" style="3"/>
    <col min="16115" max="16115" width="17.85546875" style="3" customWidth="1"/>
    <col min="16116" max="16384" width="9.140625" style="3"/>
  </cols>
  <sheetData>
    <row r="1" spans="1:3" x14ac:dyDescent="0.25">
      <c r="A1" s="49" t="s">
        <v>1231</v>
      </c>
      <c r="B1" s="53">
        <v>50</v>
      </c>
    </row>
    <row r="2" spans="1:3" x14ac:dyDescent="0.25">
      <c r="A2" s="49" t="s">
        <v>1232</v>
      </c>
      <c r="B2" s="53">
        <v>40</v>
      </c>
    </row>
    <row r="3" spans="1:3" x14ac:dyDescent="0.25">
      <c r="A3" s="49" t="s">
        <v>1233</v>
      </c>
      <c r="B3" s="53">
        <v>32</v>
      </c>
    </row>
    <row r="4" spans="1:3" x14ac:dyDescent="0.25">
      <c r="A4" s="49" t="s">
        <v>1234</v>
      </c>
      <c r="B4" s="53">
        <v>25.6</v>
      </c>
    </row>
    <row r="5" spans="1:3" x14ac:dyDescent="0.25">
      <c r="A5" s="49" t="s">
        <v>1235</v>
      </c>
      <c r="B5" s="53">
        <v>20.480000000000004</v>
      </c>
    </row>
    <row r="6" spans="1:3" x14ac:dyDescent="0.25">
      <c r="A6" s="49" t="s">
        <v>1236</v>
      </c>
      <c r="B6" s="53">
        <v>16.384000000000004</v>
      </c>
    </row>
    <row r="7" spans="1:3" x14ac:dyDescent="0.25">
      <c r="A7" s="49" t="s">
        <v>1237</v>
      </c>
      <c r="B7" s="53">
        <v>13.107200000000004</v>
      </c>
    </row>
    <row r="8" spans="1:3" x14ac:dyDescent="0.25">
      <c r="A8" s="49" t="s">
        <v>1238</v>
      </c>
      <c r="B8" s="53">
        <v>10.485760000000004</v>
      </c>
    </row>
    <row r="9" spans="1:3" x14ac:dyDescent="0.25">
      <c r="A9" s="49" t="s">
        <v>1239</v>
      </c>
      <c r="B9" s="53">
        <v>8.3886080000000032</v>
      </c>
    </row>
    <row r="10" spans="1:3" x14ac:dyDescent="0.25">
      <c r="A10" s="49" t="s">
        <v>1240</v>
      </c>
      <c r="B10" s="53">
        <v>6.7108864000000032</v>
      </c>
    </row>
    <row r="11" spans="1:3" x14ac:dyDescent="0.25">
      <c r="A11" s="49" t="s">
        <v>1241</v>
      </c>
      <c r="B11" s="53">
        <v>5.3687091200000028</v>
      </c>
    </row>
    <row r="12" spans="1:3" x14ac:dyDescent="0.25">
      <c r="A12" s="49" t="s">
        <v>1242</v>
      </c>
      <c r="B12" s="53">
        <v>4.294967296000002</v>
      </c>
    </row>
    <row r="13" spans="1:3" x14ac:dyDescent="0.25">
      <c r="A13" s="49" t="s">
        <v>1243</v>
      </c>
      <c r="B13" s="53">
        <v>3.4359738368000019</v>
      </c>
    </row>
    <row r="14" spans="1:3" x14ac:dyDescent="0.25">
      <c r="A14" s="49" t="s">
        <v>62</v>
      </c>
      <c r="B14" s="53">
        <v>12</v>
      </c>
    </row>
    <row r="15" spans="1:3" x14ac:dyDescent="0.25">
      <c r="C15" s="54" t="s">
        <v>1244</v>
      </c>
    </row>
  </sheetData>
  <customSheetViews>
    <customSheetView guid="{679A3195-3DEA-4AC2-A535-82AAF5B552BC}" state="hidden">
      <selection activeCell="A9" sqref="A9"/>
      <pageMargins left="0.75" right="0.75" top="1" bottom="1" header="0.5" footer="0.5"/>
      <pageSetup orientation="portrait" horizontalDpi="1200" verticalDpi="1200" r:id="rId1"/>
      <headerFooter alignWithMargins="0"/>
    </customSheetView>
    <customSheetView guid="{7378B641-E8D1-4C14-8151-CF4CE159D121}" state="hidden">
      <selection activeCell="A9" sqref="A9"/>
      <pageMargins left="0.75" right="0.75" top="1" bottom="1" header="0.5" footer="0.5"/>
      <pageSetup orientation="portrait" horizontalDpi="1200" verticalDpi="1200" r:id="rId2"/>
      <headerFooter alignWithMargins="0"/>
    </customSheetView>
    <customSheetView guid="{6D63B10B-E1E6-452A-80EB-4B2C7D61CF66}" state="hidden">
      <selection activeCell="A9" sqref="A9"/>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Z33"/>
  <sheetViews>
    <sheetView workbookViewId="0">
      <selection activeCell="A9" sqref="A9"/>
    </sheetView>
  </sheetViews>
  <sheetFormatPr defaultRowHeight="15" x14ac:dyDescent="0.25"/>
  <cols>
    <col min="1" max="1" width="11.5703125" style="3" customWidth="1"/>
    <col min="2" max="2" width="57.28515625" style="3" customWidth="1"/>
    <col min="3" max="14" width="9.140625" style="3"/>
    <col min="15" max="15" width="3.28515625" style="47" customWidth="1"/>
    <col min="16" max="16384" width="9.140625" style="3"/>
  </cols>
  <sheetData>
    <row r="1" spans="1:26" ht="33.75" customHeight="1" x14ac:dyDescent="0.25">
      <c r="A1" s="3" t="s">
        <v>26</v>
      </c>
      <c r="B1" s="4" t="s">
        <v>1177</v>
      </c>
    </row>
    <row r="2" spans="1:26" x14ac:dyDescent="0.25">
      <c r="A2" s="3" t="s">
        <v>20</v>
      </c>
      <c r="B2" s="4" t="s">
        <v>58</v>
      </c>
    </row>
    <row r="3" spans="1:26" x14ac:dyDescent="0.25">
      <c r="A3" s="3" t="s">
        <v>1184</v>
      </c>
      <c r="B3" s="4" t="s">
        <v>1190</v>
      </c>
      <c r="C3" s="837" t="s">
        <v>1202</v>
      </c>
      <c r="D3" s="837"/>
      <c r="E3" s="837"/>
      <c r="F3" s="837"/>
      <c r="G3" s="837"/>
      <c r="H3" s="837"/>
      <c r="I3" s="837"/>
      <c r="J3" s="837"/>
      <c r="K3" s="837"/>
      <c r="L3" s="837"/>
      <c r="M3" s="837"/>
      <c r="N3" s="837"/>
    </row>
    <row r="4" spans="1:26" x14ac:dyDescent="0.25">
      <c r="B4" s="4"/>
      <c r="C4" s="3" t="s">
        <v>61</v>
      </c>
      <c r="O4" s="838" t="s">
        <v>1203</v>
      </c>
      <c r="P4" s="48"/>
      <c r="Q4" s="48"/>
      <c r="R4" s="48"/>
      <c r="S4" s="48"/>
      <c r="T4" s="48"/>
      <c r="U4" s="48"/>
      <c r="V4" s="48"/>
      <c r="W4" s="48"/>
      <c r="X4" s="48"/>
      <c r="Y4" s="48"/>
      <c r="Z4" s="48"/>
    </row>
    <row r="5" spans="1:26" x14ac:dyDescent="0.25">
      <c r="B5" s="4"/>
      <c r="O5" s="838"/>
    </row>
    <row r="6" spans="1:26" x14ac:dyDescent="0.25">
      <c r="B6" s="73"/>
      <c r="O6" s="838"/>
    </row>
    <row r="7" spans="1:26" x14ac:dyDescent="0.25">
      <c r="O7" s="838"/>
    </row>
    <row r="8" spans="1:26" x14ac:dyDescent="0.25">
      <c r="O8" s="838"/>
    </row>
    <row r="9" spans="1:26" x14ac:dyDescent="0.25">
      <c r="O9" s="838"/>
    </row>
    <row r="10" spans="1:26" x14ac:dyDescent="0.25">
      <c r="O10" s="838"/>
    </row>
    <row r="11" spans="1:26" x14ac:dyDescent="0.25">
      <c r="O11" s="838"/>
    </row>
    <row r="12" spans="1:26" x14ac:dyDescent="0.25">
      <c r="O12" s="838"/>
    </row>
    <row r="13" spans="1:26" x14ac:dyDescent="0.25">
      <c r="O13" s="838"/>
    </row>
    <row r="14" spans="1:26" x14ac:dyDescent="0.25">
      <c r="O14" s="838"/>
    </row>
    <row r="15" spans="1:26" x14ac:dyDescent="0.25">
      <c r="O15" s="838"/>
    </row>
    <row r="16" spans="1:26" x14ac:dyDescent="0.25">
      <c r="O16" s="838"/>
    </row>
    <row r="17" spans="15:15" x14ac:dyDescent="0.25">
      <c r="O17" s="838"/>
    </row>
    <row r="18" spans="15:15" x14ac:dyDescent="0.25">
      <c r="O18" s="838"/>
    </row>
    <row r="19" spans="15:15" x14ac:dyDescent="0.25">
      <c r="O19" s="838"/>
    </row>
    <row r="20" spans="15:15" x14ac:dyDescent="0.25">
      <c r="O20" s="838"/>
    </row>
    <row r="21" spans="15:15" x14ac:dyDescent="0.25">
      <c r="O21" s="838"/>
    </row>
    <row r="22" spans="15:15" x14ac:dyDescent="0.25">
      <c r="O22" s="838"/>
    </row>
    <row r="23" spans="15:15" x14ac:dyDescent="0.25">
      <c r="O23" s="838"/>
    </row>
    <row r="24" spans="15:15" x14ac:dyDescent="0.25">
      <c r="O24" s="838"/>
    </row>
    <row r="25" spans="15:15" x14ac:dyDescent="0.25">
      <c r="O25" s="838"/>
    </row>
    <row r="26" spans="15:15" x14ac:dyDescent="0.25">
      <c r="O26" s="838"/>
    </row>
    <row r="27" spans="15:15" x14ac:dyDescent="0.25">
      <c r="O27" s="838"/>
    </row>
    <row r="28" spans="15:15" x14ac:dyDescent="0.25">
      <c r="O28" s="838"/>
    </row>
    <row r="29" spans="15:15" x14ac:dyDescent="0.25">
      <c r="O29" s="838"/>
    </row>
    <row r="30" spans="15:15" x14ac:dyDescent="0.25">
      <c r="O30" s="838"/>
    </row>
    <row r="31" spans="15:15" x14ac:dyDescent="0.25">
      <c r="O31" s="838"/>
    </row>
    <row r="33" spans="3:3" x14ac:dyDescent="0.25">
      <c r="C33" s="37" t="s">
        <v>1357</v>
      </c>
    </row>
  </sheetData>
  <customSheetViews>
    <customSheetView guid="{679A3195-3DEA-4AC2-A535-82AAF5B552BC}" fitToPage="1" state="hidden">
      <selection activeCell="A9" sqref="A9"/>
      <pageMargins left="0.7" right="0.7" top="0.75" bottom="0.75" header="0.3" footer="0.3"/>
      <pageSetup scale="67" orientation="landscape" horizontalDpi="4294967293" verticalDpi="4294967293" r:id="rId1"/>
    </customSheetView>
    <customSheetView guid="{7378B641-E8D1-4C14-8151-CF4CE159D121}" fitToPage="1" state="hidden">
      <selection activeCell="A9" sqref="A9"/>
      <pageMargins left="0.7" right="0.7" top="0.75" bottom="0.75" header="0.3" footer="0.3"/>
      <pageSetup scale="67" orientation="landscape" horizontalDpi="4294967293" verticalDpi="4294967293" r:id="rId2"/>
    </customSheetView>
    <customSheetView guid="{6D63B10B-E1E6-452A-80EB-4B2C7D61CF66}" fitToPage="1" state="hidden">
      <selection activeCell="A9" sqref="A9"/>
      <pageMargins left="0.7" right="0.7" top="0.75" bottom="0.75" header="0.3" footer="0.3"/>
      <pageSetup scale="67" orientation="landscape" horizontalDpi="4294967293" verticalDpi="4294967293" r:id="rId3"/>
    </customSheetView>
  </customSheetViews>
  <mergeCells count="2">
    <mergeCell ref="C3:N3"/>
    <mergeCell ref="O4:O31"/>
  </mergeCells>
  <dataValidations count="1">
    <dataValidation type="list" allowBlank="1" showInputMessage="1" showErrorMessage="1" sqref="B2">
      <formula1>"PG&amp;E,SCE,Combined"</formula1>
    </dataValidation>
  </dataValidations>
  <pageMargins left="0.7" right="0.7" top="0.75" bottom="0.75" header="0.3" footer="0.3"/>
  <pageSetup scale="67" orientation="landscape" horizontalDpi="4294967293" verticalDpi="4294967293" r:id="rId4"/>
  <drawing r:id="rId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D28"/>
  <sheetViews>
    <sheetView workbookViewId="0">
      <selection activeCell="A9" sqref="A9"/>
    </sheetView>
  </sheetViews>
  <sheetFormatPr defaultRowHeight="15" x14ac:dyDescent="0.25"/>
  <cols>
    <col min="1" max="1" width="10.7109375" style="3" bestFit="1" customWidth="1"/>
    <col min="2" max="2" width="10.5703125" style="3" bestFit="1" customWidth="1"/>
    <col min="3" max="3" width="10.140625" style="3" bestFit="1" customWidth="1"/>
    <col min="4" max="4" width="48.42578125" style="3" customWidth="1"/>
    <col min="5" max="240" width="9.140625" style="3"/>
    <col min="241" max="241" width="17.85546875" style="3" customWidth="1"/>
    <col min="242" max="496" width="9.140625" style="3"/>
    <col min="497" max="497" width="17.85546875" style="3" customWidth="1"/>
    <col min="498" max="752" width="9.140625" style="3"/>
    <col min="753" max="753" width="17.85546875" style="3" customWidth="1"/>
    <col min="754" max="1008" width="9.140625" style="3"/>
    <col min="1009" max="1009" width="17.85546875" style="3" customWidth="1"/>
    <col min="1010" max="1264" width="9.140625" style="3"/>
    <col min="1265" max="1265" width="17.85546875" style="3" customWidth="1"/>
    <col min="1266" max="1520" width="9.140625" style="3"/>
    <col min="1521" max="1521" width="17.85546875" style="3" customWidth="1"/>
    <col min="1522" max="1776" width="9.140625" style="3"/>
    <col min="1777" max="1777" width="17.85546875" style="3" customWidth="1"/>
    <col min="1778" max="2032" width="9.140625" style="3"/>
    <col min="2033" max="2033" width="17.85546875" style="3" customWidth="1"/>
    <col min="2034" max="2288" width="9.140625" style="3"/>
    <col min="2289" max="2289" width="17.85546875" style="3" customWidth="1"/>
    <col min="2290" max="2544" width="9.140625" style="3"/>
    <col min="2545" max="2545" width="17.85546875" style="3" customWidth="1"/>
    <col min="2546" max="2800" width="9.140625" style="3"/>
    <col min="2801" max="2801" width="17.85546875" style="3" customWidth="1"/>
    <col min="2802" max="3056" width="9.140625" style="3"/>
    <col min="3057" max="3057" width="17.85546875" style="3" customWidth="1"/>
    <col min="3058" max="3312" width="9.140625" style="3"/>
    <col min="3313" max="3313" width="17.85546875" style="3" customWidth="1"/>
    <col min="3314" max="3568" width="9.140625" style="3"/>
    <col min="3569" max="3569" width="17.85546875" style="3" customWidth="1"/>
    <col min="3570" max="3824" width="9.140625" style="3"/>
    <col min="3825" max="3825" width="17.85546875" style="3" customWidth="1"/>
    <col min="3826" max="4080" width="9.140625" style="3"/>
    <col min="4081" max="4081" width="17.85546875" style="3" customWidth="1"/>
    <col min="4082" max="4336" width="9.140625" style="3"/>
    <col min="4337" max="4337" width="17.85546875" style="3" customWidth="1"/>
    <col min="4338" max="4592" width="9.140625" style="3"/>
    <col min="4593" max="4593" width="17.85546875" style="3" customWidth="1"/>
    <col min="4594" max="4848" width="9.140625" style="3"/>
    <col min="4849" max="4849" width="17.85546875" style="3" customWidth="1"/>
    <col min="4850" max="5104" width="9.140625" style="3"/>
    <col min="5105" max="5105" width="17.85546875" style="3" customWidth="1"/>
    <col min="5106" max="5360" width="9.140625" style="3"/>
    <col min="5361" max="5361" width="17.85546875" style="3" customWidth="1"/>
    <col min="5362" max="5616" width="9.140625" style="3"/>
    <col min="5617" max="5617" width="17.85546875" style="3" customWidth="1"/>
    <col min="5618" max="5872" width="9.140625" style="3"/>
    <col min="5873" max="5873" width="17.85546875" style="3" customWidth="1"/>
    <col min="5874" max="6128" width="9.140625" style="3"/>
    <col min="6129" max="6129" width="17.85546875" style="3" customWidth="1"/>
    <col min="6130" max="6384" width="9.140625" style="3"/>
    <col min="6385" max="6385" width="17.85546875" style="3" customWidth="1"/>
    <col min="6386" max="6640" width="9.140625" style="3"/>
    <col min="6641" max="6641" width="17.85546875" style="3" customWidth="1"/>
    <col min="6642" max="6896" width="9.140625" style="3"/>
    <col min="6897" max="6897" width="17.85546875" style="3" customWidth="1"/>
    <col min="6898" max="7152" width="9.140625" style="3"/>
    <col min="7153" max="7153" width="17.85546875" style="3" customWidth="1"/>
    <col min="7154" max="7408" width="9.140625" style="3"/>
    <col min="7409" max="7409" width="17.85546875" style="3" customWidth="1"/>
    <col min="7410" max="7664" width="9.140625" style="3"/>
    <col min="7665" max="7665" width="17.85546875" style="3" customWidth="1"/>
    <col min="7666" max="7920" width="9.140625" style="3"/>
    <col min="7921" max="7921" width="17.85546875" style="3" customWidth="1"/>
    <col min="7922" max="8176" width="9.140625" style="3"/>
    <col min="8177" max="8177" width="17.85546875" style="3" customWidth="1"/>
    <col min="8178" max="8432" width="9.140625" style="3"/>
    <col min="8433" max="8433" width="17.85546875" style="3" customWidth="1"/>
    <col min="8434" max="8688" width="9.140625" style="3"/>
    <col min="8689" max="8689" width="17.85546875" style="3" customWidth="1"/>
    <col min="8690" max="8944" width="9.140625" style="3"/>
    <col min="8945" max="8945" width="17.85546875" style="3" customWidth="1"/>
    <col min="8946" max="9200" width="9.140625" style="3"/>
    <col min="9201" max="9201" width="17.85546875" style="3" customWidth="1"/>
    <col min="9202" max="9456" width="9.140625" style="3"/>
    <col min="9457" max="9457" width="17.85546875" style="3" customWidth="1"/>
    <col min="9458" max="9712" width="9.140625" style="3"/>
    <col min="9713" max="9713" width="17.85546875" style="3" customWidth="1"/>
    <col min="9714" max="9968" width="9.140625" style="3"/>
    <col min="9969" max="9969" width="17.85546875" style="3" customWidth="1"/>
    <col min="9970" max="10224" width="9.140625" style="3"/>
    <col min="10225" max="10225" width="17.85546875" style="3" customWidth="1"/>
    <col min="10226" max="10480" width="9.140625" style="3"/>
    <col min="10481" max="10481" width="17.85546875" style="3" customWidth="1"/>
    <col min="10482" max="10736" width="9.140625" style="3"/>
    <col min="10737" max="10737" width="17.85546875" style="3" customWidth="1"/>
    <col min="10738" max="10992" width="9.140625" style="3"/>
    <col min="10993" max="10993" width="17.85546875" style="3" customWidth="1"/>
    <col min="10994" max="11248" width="9.140625" style="3"/>
    <col min="11249" max="11249" width="17.85546875" style="3" customWidth="1"/>
    <col min="11250" max="11504" width="9.140625" style="3"/>
    <col min="11505" max="11505" width="17.85546875" style="3" customWidth="1"/>
    <col min="11506" max="11760" width="9.140625" style="3"/>
    <col min="11761" max="11761" width="17.85546875" style="3" customWidth="1"/>
    <col min="11762" max="12016" width="9.140625" style="3"/>
    <col min="12017" max="12017" width="17.85546875" style="3" customWidth="1"/>
    <col min="12018" max="12272" width="9.140625" style="3"/>
    <col min="12273" max="12273" width="17.85546875" style="3" customWidth="1"/>
    <col min="12274" max="12528" width="9.140625" style="3"/>
    <col min="12529" max="12529" width="17.85546875" style="3" customWidth="1"/>
    <col min="12530" max="12784" width="9.140625" style="3"/>
    <col min="12785" max="12785" width="17.85546875" style="3" customWidth="1"/>
    <col min="12786" max="13040" width="9.140625" style="3"/>
    <col min="13041" max="13041" width="17.85546875" style="3" customWidth="1"/>
    <col min="13042" max="13296" width="9.140625" style="3"/>
    <col min="13297" max="13297" width="17.85546875" style="3" customWidth="1"/>
    <col min="13298" max="13552" width="9.140625" style="3"/>
    <col min="13553" max="13553" width="17.85546875" style="3" customWidth="1"/>
    <col min="13554" max="13808" width="9.140625" style="3"/>
    <col min="13809" max="13809" width="17.85546875" style="3" customWidth="1"/>
    <col min="13810" max="14064" width="9.140625" style="3"/>
    <col min="14065" max="14065" width="17.85546875" style="3" customWidth="1"/>
    <col min="14066" max="14320" width="9.140625" style="3"/>
    <col min="14321" max="14321" width="17.85546875" style="3" customWidth="1"/>
    <col min="14322" max="14576" width="9.140625" style="3"/>
    <col min="14577" max="14577" width="17.85546875" style="3" customWidth="1"/>
    <col min="14578" max="14832" width="9.140625" style="3"/>
    <col min="14833" max="14833" width="17.85546875" style="3" customWidth="1"/>
    <col min="14834" max="15088" width="9.140625" style="3"/>
    <col min="15089" max="15089" width="17.85546875" style="3" customWidth="1"/>
    <col min="15090" max="15344" width="9.140625" style="3"/>
    <col min="15345" max="15345" width="17.85546875" style="3" customWidth="1"/>
    <col min="15346" max="15600" width="9.140625" style="3"/>
    <col min="15601" max="15601" width="17.85546875" style="3" customWidth="1"/>
    <col min="15602" max="15856" width="9.140625" style="3"/>
    <col min="15857" max="15857" width="17.85546875" style="3" customWidth="1"/>
    <col min="15858" max="16112" width="9.140625" style="3"/>
    <col min="16113" max="16113" width="17.85546875" style="3" customWidth="1"/>
    <col min="16114" max="16384" width="9.140625" style="3"/>
  </cols>
  <sheetData>
    <row r="1" spans="1:3" s="43" customFormat="1" ht="14.25" x14ac:dyDescent="0.25">
      <c r="B1" s="43" t="s">
        <v>1353</v>
      </c>
      <c r="C1" s="43" t="s">
        <v>1354</v>
      </c>
    </row>
    <row r="2" spans="1:3" x14ac:dyDescent="0.25">
      <c r="A2" s="70" t="s">
        <v>1355</v>
      </c>
      <c r="B2" s="52">
        <v>1897</v>
      </c>
      <c r="C2" s="52">
        <v>8199</v>
      </c>
    </row>
    <row r="3" spans="1:3" x14ac:dyDescent="0.25">
      <c r="A3" s="70" t="s">
        <v>1355</v>
      </c>
      <c r="B3" s="52">
        <v>4186</v>
      </c>
      <c r="C3" s="52">
        <v>5523</v>
      </c>
    </row>
    <row r="4" spans="1:3" x14ac:dyDescent="0.25">
      <c r="A4" s="70" t="s">
        <v>1355</v>
      </c>
      <c r="B4" s="52">
        <v>4534</v>
      </c>
      <c r="C4" s="52">
        <v>8141</v>
      </c>
    </row>
    <row r="5" spans="1:3" x14ac:dyDescent="0.25">
      <c r="A5" s="70" t="s">
        <v>1355</v>
      </c>
      <c r="B5" s="52">
        <v>5736</v>
      </c>
      <c r="C5" s="52">
        <v>9759</v>
      </c>
    </row>
    <row r="6" spans="1:3" x14ac:dyDescent="0.25">
      <c r="A6" s="70" t="s">
        <v>1355</v>
      </c>
      <c r="B6" s="52">
        <v>5993</v>
      </c>
      <c r="C6" s="52">
        <v>6316</v>
      </c>
    </row>
    <row r="7" spans="1:3" x14ac:dyDescent="0.25">
      <c r="A7" s="70" t="s">
        <v>1355</v>
      </c>
      <c r="B7" s="52">
        <v>6253</v>
      </c>
      <c r="C7" s="52">
        <v>11831</v>
      </c>
    </row>
    <row r="8" spans="1:3" x14ac:dyDescent="0.25">
      <c r="A8" s="70" t="s">
        <v>1355</v>
      </c>
      <c r="B8" s="52">
        <v>7070</v>
      </c>
      <c r="C8" s="52">
        <v>3789</v>
      </c>
    </row>
    <row r="9" spans="1:3" x14ac:dyDescent="0.25">
      <c r="A9" s="70" t="s">
        <v>1355</v>
      </c>
      <c r="B9" s="52">
        <v>7444</v>
      </c>
      <c r="C9" s="52">
        <v>13614</v>
      </c>
    </row>
    <row r="10" spans="1:3" x14ac:dyDescent="0.25">
      <c r="A10" s="70" t="s">
        <v>1355</v>
      </c>
      <c r="B10" s="52">
        <v>7548</v>
      </c>
      <c r="C10" s="52">
        <v>15158</v>
      </c>
    </row>
    <row r="11" spans="1:3" x14ac:dyDescent="0.25">
      <c r="A11" s="70" t="s">
        <v>1355</v>
      </c>
      <c r="B11" s="52">
        <v>8109</v>
      </c>
      <c r="C11" s="52">
        <v>10270</v>
      </c>
    </row>
    <row r="12" spans="1:3" x14ac:dyDescent="0.25">
      <c r="A12" s="70" t="s">
        <v>1355</v>
      </c>
      <c r="B12" s="52">
        <v>9055</v>
      </c>
      <c r="C12" s="52">
        <v>14445</v>
      </c>
    </row>
    <row r="13" spans="1:3" x14ac:dyDescent="0.25">
      <c r="A13" s="70" t="s">
        <v>1355</v>
      </c>
      <c r="B13" s="52">
        <v>9140</v>
      </c>
      <c r="C13" s="52">
        <v>13920</v>
      </c>
    </row>
    <row r="14" spans="1:3" x14ac:dyDescent="0.25">
      <c r="A14" s="70" t="s">
        <v>1355</v>
      </c>
      <c r="B14" s="52">
        <v>14105</v>
      </c>
      <c r="C14" s="52">
        <v>11026</v>
      </c>
    </row>
    <row r="15" spans="1:3" x14ac:dyDescent="0.25">
      <c r="A15" s="71" t="s">
        <v>1356</v>
      </c>
      <c r="B15" s="52">
        <v>1840.09</v>
      </c>
      <c r="C15" s="52">
        <v>6559.2000000000007</v>
      </c>
    </row>
    <row r="16" spans="1:3" x14ac:dyDescent="0.25">
      <c r="A16" s="71" t="s">
        <v>1356</v>
      </c>
      <c r="B16" s="52">
        <v>4227.8599999999997</v>
      </c>
      <c r="C16" s="52">
        <v>5357.3099999999995</v>
      </c>
    </row>
    <row r="17" spans="1:4" x14ac:dyDescent="0.25">
      <c r="A17" s="71" t="s">
        <v>1356</v>
      </c>
      <c r="B17" s="52">
        <v>4670.0200000000004</v>
      </c>
      <c r="C17" s="52">
        <v>6512.8</v>
      </c>
    </row>
    <row r="18" spans="1:4" x14ac:dyDescent="0.25">
      <c r="A18" s="71" t="s">
        <v>1356</v>
      </c>
      <c r="B18" s="52">
        <v>5277.12</v>
      </c>
      <c r="C18" s="52">
        <v>10051.77</v>
      </c>
    </row>
    <row r="19" spans="1:4" x14ac:dyDescent="0.25">
      <c r="A19" s="71" t="s">
        <v>1356</v>
      </c>
      <c r="B19" s="52">
        <v>5393.7</v>
      </c>
      <c r="C19" s="52">
        <v>6505.4800000000005</v>
      </c>
    </row>
    <row r="20" spans="1:4" x14ac:dyDescent="0.25">
      <c r="A20" s="71" t="s">
        <v>1356</v>
      </c>
      <c r="B20" s="52">
        <v>5627.7</v>
      </c>
      <c r="C20" s="52">
        <v>13723.96</v>
      </c>
    </row>
    <row r="21" spans="1:4" x14ac:dyDescent="0.25">
      <c r="A21" s="71" t="s">
        <v>1356</v>
      </c>
      <c r="B21" s="52">
        <v>5868.0999999999995</v>
      </c>
      <c r="C21" s="52">
        <v>4016.34</v>
      </c>
    </row>
    <row r="22" spans="1:4" x14ac:dyDescent="0.25">
      <c r="A22" s="71" t="s">
        <v>1356</v>
      </c>
      <c r="B22" s="52">
        <v>6922.9199999999992</v>
      </c>
      <c r="C22" s="52">
        <v>12388.74</v>
      </c>
    </row>
    <row r="23" spans="1:4" x14ac:dyDescent="0.25">
      <c r="A23" s="71" t="s">
        <v>1356</v>
      </c>
      <c r="B23" s="52">
        <v>6642.24</v>
      </c>
      <c r="C23" s="52">
        <v>13642.2</v>
      </c>
    </row>
    <row r="24" spans="1:4" x14ac:dyDescent="0.25">
      <c r="A24" s="71" t="s">
        <v>1356</v>
      </c>
      <c r="B24" s="52">
        <v>7460.2800000000007</v>
      </c>
      <c r="C24" s="52">
        <v>11810.499999999998</v>
      </c>
    </row>
    <row r="25" spans="1:4" x14ac:dyDescent="0.25">
      <c r="A25" s="71" t="s">
        <v>1356</v>
      </c>
      <c r="B25" s="52">
        <v>10684.9</v>
      </c>
      <c r="C25" s="52">
        <v>16178.400000000001</v>
      </c>
    </row>
    <row r="26" spans="1:4" x14ac:dyDescent="0.25">
      <c r="A26" s="71" t="s">
        <v>1356</v>
      </c>
      <c r="B26" s="52">
        <v>8500.1999999999989</v>
      </c>
      <c r="C26" s="52">
        <v>16286.4</v>
      </c>
    </row>
    <row r="27" spans="1:4" x14ac:dyDescent="0.25">
      <c r="A27" s="71" t="s">
        <v>1356</v>
      </c>
      <c r="B27" s="52">
        <v>12271.35</v>
      </c>
      <c r="C27" s="52">
        <v>9261.84</v>
      </c>
    </row>
    <row r="28" spans="1:4" ht="30" x14ac:dyDescent="0.25">
      <c r="D28" s="46" t="s">
        <v>1358</v>
      </c>
    </row>
  </sheetData>
  <customSheetViews>
    <customSheetView guid="{679A3195-3DEA-4AC2-A535-82AAF5B552BC}" state="hidden">
      <selection activeCell="A9" sqref="A9"/>
      <pageMargins left="0.75" right="0.75" top="1" bottom="1" header="0.5" footer="0.5"/>
      <pageSetup orientation="portrait" horizontalDpi="1200" verticalDpi="1200" r:id="rId1"/>
      <headerFooter alignWithMargins="0"/>
    </customSheetView>
    <customSheetView guid="{7378B641-E8D1-4C14-8151-CF4CE159D121}" state="hidden">
      <selection activeCell="A9" sqref="A9"/>
      <pageMargins left="0.75" right="0.75" top="1" bottom="1" header="0.5" footer="0.5"/>
      <pageSetup orientation="portrait" horizontalDpi="1200" verticalDpi="1200" r:id="rId2"/>
      <headerFooter alignWithMargins="0"/>
    </customSheetView>
    <customSheetView guid="{6D63B10B-E1E6-452A-80EB-4B2C7D61CF66}" state="hidden">
      <selection activeCell="A9" sqref="A9"/>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P33"/>
  <sheetViews>
    <sheetView zoomScaleNormal="100" workbookViewId="0">
      <selection activeCell="A9" sqref="A9"/>
    </sheetView>
  </sheetViews>
  <sheetFormatPr defaultRowHeight="15" x14ac:dyDescent="0.25"/>
  <cols>
    <col min="1" max="1" width="11.5703125" style="3" customWidth="1"/>
    <col min="2" max="2" width="57.28515625" style="3" customWidth="1"/>
    <col min="3" max="14" width="9.140625" style="3"/>
    <col min="15" max="15" width="3.28515625" style="47" customWidth="1"/>
    <col min="16" max="16" width="9.140625" style="3"/>
  </cols>
  <sheetData>
    <row r="1" spans="1:16" ht="30" x14ac:dyDescent="0.25">
      <c r="A1" s="3" t="s">
        <v>26</v>
      </c>
      <c r="B1" s="4" t="s">
        <v>1177</v>
      </c>
    </row>
    <row r="2" spans="1:16" x14ac:dyDescent="0.25">
      <c r="A2" s="3" t="s">
        <v>20</v>
      </c>
      <c r="B2" s="4" t="s">
        <v>58</v>
      </c>
    </row>
    <row r="3" spans="1:16" x14ac:dyDescent="0.25">
      <c r="A3" s="3" t="s">
        <v>1184</v>
      </c>
      <c r="B3" s="4" t="s">
        <v>1190</v>
      </c>
      <c r="C3" s="837" t="s">
        <v>1202</v>
      </c>
      <c r="D3" s="837"/>
      <c r="E3" s="837"/>
      <c r="F3" s="837"/>
      <c r="G3" s="837"/>
      <c r="H3" s="837"/>
      <c r="I3" s="837"/>
      <c r="J3" s="837"/>
      <c r="K3" s="837"/>
      <c r="L3" s="837"/>
      <c r="M3" s="837"/>
      <c r="N3" s="837"/>
    </row>
    <row r="4" spans="1:16" x14ac:dyDescent="0.25">
      <c r="B4" s="4"/>
      <c r="C4" s="3" t="s">
        <v>61</v>
      </c>
      <c r="O4" s="838" t="s">
        <v>1203</v>
      </c>
      <c r="P4" s="48"/>
    </row>
    <row r="5" spans="1:16" x14ac:dyDescent="0.25">
      <c r="B5" s="4"/>
      <c r="O5" s="838"/>
    </row>
    <row r="6" spans="1:16" x14ac:dyDescent="0.25">
      <c r="B6" s="73"/>
      <c r="O6" s="838"/>
    </row>
    <row r="7" spans="1:16" x14ac:dyDescent="0.25">
      <c r="O7" s="838"/>
    </row>
    <row r="8" spans="1:16" x14ac:dyDescent="0.25">
      <c r="O8" s="838"/>
    </row>
    <row r="9" spans="1:16" x14ac:dyDescent="0.25">
      <c r="O9" s="838"/>
    </row>
    <row r="10" spans="1:16" x14ac:dyDescent="0.25">
      <c r="O10" s="838"/>
    </row>
    <row r="11" spans="1:16" x14ac:dyDescent="0.25">
      <c r="O11" s="838"/>
    </row>
    <row r="12" spans="1:16" x14ac:dyDescent="0.25">
      <c r="O12" s="838"/>
    </row>
    <row r="13" spans="1:16" x14ac:dyDescent="0.25">
      <c r="O13" s="838"/>
    </row>
    <row r="14" spans="1:16" x14ac:dyDescent="0.25">
      <c r="O14" s="838"/>
    </row>
    <row r="15" spans="1:16" x14ac:dyDescent="0.25">
      <c r="O15" s="838"/>
    </row>
    <row r="16" spans="1:16" x14ac:dyDescent="0.25">
      <c r="O16" s="838"/>
    </row>
    <row r="17" spans="15:15" x14ac:dyDescent="0.25">
      <c r="O17" s="838"/>
    </row>
    <row r="18" spans="15:15" x14ac:dyDescent="0.25">
      <c r="O18" s="838"/>
    </row>
    <row r="19" spans="15:15" x14ac:dyDescent="0.25">
      <c r="O19" s="838"/>
    </row>
    <row r="20" spans="15:15" x14ac:dyDescent="0.25">
      <c r="O20" s="838"/>
    </row>
    <row r="21" spans="15:15" x14ac:dyDescent="0.25">
      <c r="O21" s="838"/>
    </row>
    <row r="22" spans="15:15" x14ac:dyDescent="0.25">
      <c r="O22" s="838"/>
    </row>
    <row r="23" spans="15:15" x14ac:dyDescent="0.25">
      <c r="O23" s="838"/>
    </row>
    <row r="24" spans="15:15" x14ac:dyDescent="0.25">
      <c r="O24" s="838"/>
    </row>
    <row r="25" spans="15:15" x14ac:dyDescent="0.25">
      <c r="O25" s="838"/>
    </row>
    <row r="26" spans="15:15" x14ac:dyDescent="0.25">
      <c r="O26" s="838"/>
    </row>
    <row r="27" spans="15:15" x14ac:dyDescent="0.25">
      <c r="O27" s="838"/>
    </row>
    <row r="28" spans="15:15" x14ac:dyDescent="0.25">
      <c r="O28" s="838"/>
    </row>
    <row r="29" spans="15:15" x14ac:dyDescent="0.25">
      <c r="O29" s="838"/>
    </row>
    <row r="30" spans="15:15" x14ac:dyDescent="0.25">
      <c r="O30" s="838"/>
    </row>
    <row r="31" spans="15:15" x14ac:dyDescent="0.25">
      <c r="O31" s="838"/>
    </row>
    <row r="33" spans="3:3" x14ac:dyDescent="0.25">
      <c r="C33" s="37" t="s">
        <v>1379</v>
      </c>
    </row>
  </sheetData>
  <customSheetViews>
    <customSheetView guid="{679A3195-3DEA-4AC2-A535-82AAF5B552BC}" state="hidden">
      <selection activeCell="A9" sqref="A9"/>
      <pageMargins left="0.7" right="0.7" top="0.75" bottom="0.75" header="0.3" footer="0.3"/>
    </customSheetView>
    <customSheetView guid="{7378B641-E8D1-4C14-8151-CF4CE159D121}" state="hidden">
      <selection activeCell="A9" sqref="A9"/>
      <pageMargins left="0.7" right="0.7" top="0.75" bottom="0.75" header="0.3" footer="0.3"/>
    </customSheetView>
    <customSheetView guid="{6D63B10B-E1E6-452A-80EB-4B2C7D61CF66}" state="hidden">
      <selection activeCell="A9" sqref="A9"/>
      <pageMargins left="0.7" right="0.7" top="0.75" bottom="0.75" header="0.3" footer="0.3"/>
    </customSheetView>
  </customSheetViews>
  <mergeCells count="2">
    <mergeCell ref="C3:N3"/>
    <mergeCell ref="O4:O31"/>
  </mergeCells>
  <dataValidations count="1">
    <dataValidation type="list" allowBlank="1" showInputMessage="1" showErrorMessage="1" sqref="B2">
      <formula1>"PG&amp;E,SCE,Combined"</formula1>
    </dataValidation>
  </dataValidation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N13"/>
  <sheetViews>
    <sheetView workbookViewId="0">
      <selection activeCell="A9" sqref="A9"/>
    </sheetView>
  </sheetViews>
  <sheetFormatPr defaultRowHeight="15" x14ac:dyDescent="0.25"/>
  <cols>
    <col min="1" max="1" width="15.85546875" style="3" customWidth="1"/>
    <col min="2" max="7" width="10.7109375" style="3" customWidth="1"/>
    <col min="8" max="16384" width="9.140625" style="3"/>
  </cols>
  <sheetData>
    <row r="1" spans="1:14" s="74" customFormat="1" x14ac:dyDescent="0.25">
      <c r="A1" s="74" t="s">
        <v>1378</v>
      </c>
      <c r="B1" s="74" t="s">
        <v>1360</v>
      </c>
      <c r="C1" s="74" t="s">
        <v>1375</v>
      </c>
      <c r="D1" s="74" t="s">
        <v>1361</v>
      </c>
      <c r="E1" s="74" t="s">
        <v>1362</v>
      </c>
      <c r="F1" s="74" t="s">
        <v>1376</v>
      </c>
      <c r="G1" s="74" t="s">
        <v>1371</v>
      </c>
      <c r="I1" s="77" t="s">
        <v>1374</v>
      </c>
      <c r="J1" s="78"/>
      <c r="K1" s="78"/>
      <c r="L1" s="78"/>
      <c r="M1" s="78"/>
      <c r="N1" s="78"/>
    </row>
    <row r="2" spans="1:14" s="37" customFormat="1" x14ac:dyDescent="0.25">
      <c r="A2" s="75"/>
      <c r="B2" s="74" t="str">
        <f>B1</f>
        <v>Median</v>
      </c>
      <c r="C2" s="74"/>
      <c r="D2" s="74"/>
      <c r="E2" s="74"/>
      <c r="F2" s="74"/>
      <c r="G2" s="74" t="str">
        <f>G1</f>
        <v>Mean</v>
      </c>
      <c r="I2" s="77" t="s">
        <v>1373</v>
      </c>
      <c r="J2" s="79"/>
      <c r="K2" s="79"/>
      <c r="L2" s="79"/>
      <c r="M2" s="79"/>
      <c r="N2" s="79"/>
    </row>
    <row r="3" spans="1:14" x14ac:dyDescent="0.25">
      <c r="A3" s="74" t="s">
        <v>1363</v>
      </c>
      <c r="B3" s="51">
        <v>0.59525124240750971</v>
      </c>
      <c r="C3" s="76">
        <v>0.26649401899124431</v>
      </c>
      <c r="D3" s="76">
        <v>-0.46407355021216407</v>
      </c>
      <c r="E3" s="76">
        <v>3.3220875065893516</v>
      </c>
      <c r="F3" s="76">
        <v>0.8288554540569586</v>
      </c>
      <c r="G3" s="76">
        <v>0.6633664567983073</v>
      </c>
    </row>
    <row r="4" spans="1:14" x14ac:dyDescent="0.25">
      <c r="A4" s="74" t="s">
        <v>1364</v>
      </c>
      <c r="B4" s="51">
        <v>0.47018644790981956</v>
      </c>
      <c r="C4" s="76">
        <v>-6.5758101955985821E-3</v>
      </c>
      <c r="D4" s="76">
        <v>-0.78386428386428386</v>
      </c>
      <c r="E4" s="76">
        <v>1.9015352038115405</v>
      </c>
      <c r="F4" s="76">
        <v>1.1931444241316271</v>
      </c>
      <c r="G4" s="76">
        <v>0.55807936951467862</v>
      </c>
    </row>
    <row r="5" spans="1:14" x14ac:dyDescent="0.25">
      <c r="A5" s="74" t="s">
        <v>1365</v>
      </c>
      <c r="B5" s="51">
        <v>0.20627917833800188</v>
      </c>
      <c r="C5" s="76">
        <v>-5.7414980628497633E-2</v>
      </c>
      <c r="D5" s="76">
        <v>-0.45165238678090575</v>
      </c>
      <c r="E5" s="76">
        <v>1.9753086419753085</v>
      </c>
      <c r="F5" s="76">
        <v>0.7763185215946844</v>
      </c>
      <c r="G5" s="76">
        <v>0.42366460588740978</v>
      </c>
    </row>
    <row r="6" spans="1:14" x14ac:dyDescent="0.25">
      <c r="A6" s="74" t="s">
        <v>1366</v>
      </c>
      <c r="B6" s="51">
        <v>0.31337579617834393</v>
      </c>
      <c r="C6" s="76">
        <v>0.18255250403877221</v>
      </c>
      <c r="D6" s="76">
        <v>-0.36208178438661709</v>
      </c>
      <c r="E6" s="76">
        <v>1.6083916083916083</v>
      </c>
      <c r="F6" s="76">
        <v>0.59885386819484243</v>
      </c>
      <c r="G6" s="76">
        <v>0.43391258473731664</v>
      </c>
    </row>
    <row r="7" spans="1:14" x14ac:dyDescent="0.25">
      <c r="A7" s="74" t="s">
        <v>1367</v>
      </c>
      <c r="B7" s="51">
        <v>0.59525124240750971</v>
      </c>
      <c r="C7" s="76">
        <v>0.26649401899124431</v>
      </c>
      <c r="D7" s="76">
        <v>-0.46407355021216407</v>
      </c>
      <c r="E7" s="76">
        <v>3.3220875065893516</v>
      </c>
      <c r="F7" s="76">
        <v>0.8288554540569586</v>
      </c>
      <c r="G7" s="76">
        <v>0.6633664567983073</v>
      </c>
    </row>
    <row r="8" spans="1:14" x14ac:dyDescent="0.25">
      <c r="A8" s="74" t="s">
        <v>1368</v>
      </c>
      <c r="B8" s="51">
        <v>0.47018644790981956</v>
      </c>
      <c r="C8" s="76">
        <v>-6.5758101955985821E-3</v>
      </c>
      <c r="D8" s="76">
        <v>-0.78386428386428386</v>
      </c>
      <c r="E8" s="76">
        <v>1.9015352038115405</v>
      </c>
      <c r="F8" s="76">
        <v>1.1931444241316271</v>
      </c>
      <c r="G8" s="76">
        <v>0.55807936951467862</v>
      </c>
    </row>
    <row r="9" spans="1:14" x14ac:dyDescent="0.25">
      <c r="A9" s="74" t="s">
        <v>1369</v>
      </c>
      <c r="B9" s="51">
        <v>0.20627917833800188</v>
      </c>
      <c r="C9" s="76">
        <v>-5.7414980628497633E-2</v>
      </c>
      <c r="D9" s="76">
        <v>-0.45165238678090575</v>
      </c>
      <c r="E9" s="76">
        <v>1.9753086419753085</v>
      </c>
      <c r="F9" s="76">
        <v>0.7763185215946844</v>
      </c>
      <c r="G9" s="76">
        <v>0.42366460588740978</v>
      </c>
    </row>
    <row r="10" spans="1:14" x14ac:dyDescent="0.25">
      <c r="A10" s="74" t="s">
        <v>1370</v>
      </c>
      <c r="B10" s="51">
        <v>0.31337579617834393</v>
      </c>
      <c r="C10" s="76">
        <v>0.18255250403877221</v>
      </c>
      <c r="D10" s="76">
        <v>-0.36208178438661709</v>
      </c>
      <c r="E10" s="76">
        <v>1.6083916083916083</v>
      </c>
      <c r="F10" s="76">
        <v>0.59885386819484243</v>
      </c>
      <c r="G10" s="76">
        <v>0.43391258473731664</v>
      </c>
    </row>
    <row r="12" spans="1:14" ht="35.1" customHeight="1" x14ac:dyDescent="0.25">
      <c r="B12" s="732" t="s">
        <v>1372</v>
      </c>
      <c r="C12" s="732"/>
      <c r="D12" s="732"/>
      <c r="E12" s="732"/>
      <c r="F12" s="732"/>
      <c r="G12" s="732"/>
    </row>
    <row r="13" spans="1:14" ht="35.1" customHeight="1" x14ac:dyDescent="0.25">
      <c r="B13" s="732" t="s">
        <v>1377</v>
      </c>
      <c r="C13" s="732"/>
      <c r="D13" s="732"/>
      <c r="E13" s="732"/>
      <c r="F13" s="732"/>
      <c r="G13" s="732"/>
    </row>
  </sheetData>
  <customSheetViews>
    <customSheetView guid="{679A3195-3DEA-4AC2-A535-82AAF5B552BC}" state="hidden">
      <selection activeCell="A9" sqref="A9"/>
      <pageMargins left="0.7" right="0.7" top="0.75" bottom="0.75" header="0.3" footer="0.3"/>
      <pageSetup orientation="landscape" horizontalDpi="4294967293" verticalDpi="4294967293" r:id="rId1"/>
    </customSheetView>
    <customSheetView guid="{7378B641-E8D1-4C14-8151-CF4CE159D121}" state="hidden">
      <selection activeCell="A9" sqref="A9"/>
      <pageMargins left="0.7" right="0.7" top="0.75" bottom="0.75" header="0.3" footer="0.3"/>
      <pageSetup orientation="landscape" horizontalDpi="4294967293" verticalDpi="4294967293" r:id="rId2"/>
    </customSheetView>
    <customSheetView guid="{6D63B10B-E1E6-452A-80EB-4B2C7D61CF66}" state="hidden">
      <selection activeCell="A9" sqref="A9"/>
      <pageMargins left="0.7" right="0.7" top="0.75" bottom="0.75" header="0.3" footer="0.3"/>
      <pageSetup orientation="landscape" horizontalDpi="4294967293" verticalDpi="4294967293" r:id="rId3"/>
    </customSheetView>
  </customSheetViews>
  <mergeCells count="2">
    <mergeCell ref="B12:G12"/>
    <mergeCell ref="B13:G13"/>
  </mergeCells>
  <pageMargins left="0.7" right="0.7" top="0.75" bottom="0.75" header="0.3" footer="0.3"/>
  <pageSetup orientation="landscape" horizontalDpi="4294967293" verticalDpi="4294967293" r:id="rId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I17"/>
  <sheetViews>
    <sheetView workbookViewId="0">
      <selection activeCell="A9" sqref="A9"/>
    </sheetView>
  </sheetViews>
  <sheetFormatPr defaultRowHeight="15" x14ac:dyDescent="0.25"/>
  <cols>
    <col min="1" max="3" width="12.7109375" customWidth="1"/>
    <col min="4" max="5" width="10.7109375" customWidth="1"/>
    <col min="6" max="9" width="8.7109375" customWidth="1"/>
  </cols>
  <sheetData>
    <row r="1" spans="1:9" x14ac:dyDescent="0.25">
      <c r="A1" s="18" t="s">
        <v>1245</v>
      </c>
    </row>
    <row r="2" spans="1:9" s="68" customFormat="1" x14ac:dyDescent="0.25"/>
    <row r="3" spans="1:9" s="68" customFormat="1" x14ac:dyDescent="0.25">
      <c r="A3" s="68" t="str">
        <f ca="1">"See worksheet ["&amp;MID(CELL("filename",TblStylesInst!A1), FIND("]", CELL("filename", TblStylesInst!A1))+ 1, 255)&amp;"] for instructions."</f>
        <v>See worksheet [TblStylesInst] for instructions.</v>
      </c>
    </row>
    <row r="4" spans="1:9" s="68" customFormat="1" x14ac:dyDescent="0.25"/>
    <row r="5" spans="1:9" x14ac:dyDescent="0.25">
      <c r="A5" s="18" t="s">
        <v>1246</v>
      </c>
    </row>
    <row r="6" spans="1:9" x14ac:dyDescent="0.25">
      <c r="A6" s="19" t="s">
        <v>1247</v>
      </c>
      <c r="B6" s="20" t="s">
        <v>1248</v>
      </c>
      <c r="C6" s="21" t="s">
        <v>1249</v>
      </c>
    </row>
    <row r="7" spans="1:9" x14ac:dyDescent="0.25">
      <c r="A7" s="22" t="s">
        <v>1250</v>
      </c>
      <c r="B7" s="23" t="s">
        <v>1251</v>
      </c>
      <c r="C7" s="24" t="s">
        <v>1252</v>
      </c>
    </row>
    <row r="8" spans="1:9" x14ac:dyDescent="0.25">
      <c r="A8" s="25" t="s">
        <v>1253</v>
      </c>
      <c r="B8" s="26" t="s">
        <v>1254</v>
      </c>
      <c r="C8" s="27" t="s">
        <v>1255</v>
      </c>
    </row>
    <row r="9" spans="1:9" x14ac:dyDescent="0.25">
      <c r="A9" s="28"/>
      <c r="B9" s="29"/>
      <c r="C9" s="30"/>
    </row>
    <row r="10" spans="1:9" x14ac:dyDescent="0.25">
      <c r="A10" s="28"/>
      <c r="B10" s="29"/>
      <c r="C10" s="30"/>
    </row>
    <row r="11" spans="1:9" ht="15.75" x14ac:dyDescent="0.25">
      <c r="D11" s="31" t="s">
        <v>1256</v>
      </c>
    </row>
    <row r="12" spans="1:9" x14ac:dyDescent="0.25">
      <c r="D12" s="839" t="s">
        <v>1257</v>
      </c>
      <c r="E12" s="762" t="s">
        <v>1258</v>
      </c>
      <c r="F12" s="762" t="s">
        <v>1259</v>
      </c>
      <c r="G12" s="762"/>
      <c r="H12" s="762"/>
      <c r="I12" s="842" t="s">
        <v>1260</v>
      </c>
    </row>
    <row r="13" spans="1:9" x14ac:dyDescent="0.25">
      <c r="D13" s="840"/>
      <c r="E13" s="841"/>
      <c r="F13" s="63" t="s">
        <v>1261</v>
      </c>
      <c r="G13" s="63" t="s">
        <v>1262</v>
      </c>
      <c r="H13" s="63" t="s">
        <v>1263</v>
      </c>
      <c r="I13" s="843"/>
    </row>
    <row r="14" spans="1:9" x14ac:dyDescent="0.25">
      <c r="D14" s="22" t="s">
        <v>1264</v>
      </c>
      <c r="E14" s="23" t="s">
        <v>1265</v>
      </c>
      <c r="F14" s="64">
        <v>12.3</v>
      </c>
      <c r="G14" s="64">
        <v>23.4</v>
      </c>
      <c r="H14" s="64">
        <v>34.5</v>
      </c>
      <c r="I14" s="65">
        <f>SUM(F14:H14)</f>
        <v>70.2</v>
      </c>
    </row>
    <row r="15" spans="1:9" x14ac:dyDescent="0.25">
      <c r="D15" s="22" t="s">
        <v>1266</v>
      </c>
      <c r="E15" s="23" t="s">
        <v>1267</v>
      </c>
      <c r="F15" s="64">
        <v>23.4</v>
      </c>
      <c r="G15" s="64">
        <v>34.5</v>
      </c>
      <c r="H15" s="64">
        <v>45.6</v>
      </c>
      <c r="I15" s="65">
        <f t="shared" ref="I15:I16" si="0">SUM(F15:H15)</f>
        <v>103.5</v>
      </c>
    </row>
    <row r="16" spans="1:9" x14ac:dyDescent="0.25">
      <c r="D16" s="22" t="s">
        <v>1268</v>
      </c>
      <c r="E16" s="23" t="s">
        <v>1269</v>
      </c>
      <c r="F16" s="64">
        <v>34.5</v>
      </c>
      <c r="G16" s="64">
        <v>45.6</v>
      </c>
      <c r="H16" s="64">
        <v>56.7</v>
      </c>
      <c r="I16" s="65">
        <f t="shared" si="0"/>
        <v>136.80000000000001</v>
      </c>
    </row>
    <row r="17" spans="4:9" x14ac:dyDescent="0.25">
      <c r="D17" s="25" t="s">
        <v>1260</v>
      </c>
      <c r="E17" s="66"/>
      <c r="F17" s="67">
        <f>SUM(F14:F16)</f>
        <v>70.2</v>
      </c>
      <c r="G17" s="67">
        <f t="shared" ref="G17:I17" si="1">SUM(G14:G16)</f>
        <v>103.5</v>
      </c>
      <c r="H17" s="67">
        <f t="shared" si="1"/>
        <v>136.80000000000001</v>
      </c>
      <c r="I17" s="27">
        <f t="shared" si="1"/>
        <v>310.5</v>
      </c>
    </row>
  </sheetData>
  <customSheetViews>
    <customSheetView guid="{679A3195-3DEA-4AC2-A535-82AAF5B552BC}" state="hidden">
      <selection activeCell="A9" sqref="A9"/>
      <pageMargins left="0.7" right="0.7" top="0.75" bottom="0.75" header="0.3" footer="0.3"/>
      <pageSetup orientation="portrait" horizontalDpi="4294967293" verticalDpi="4294967293" r:id="rId1"/>
    </customSheetView>
    <customSheetView guid="{7378B641-E8D1-4C14-8151-CF4CE159D121}" state="hidden">
      <selection activeCell="A9" sqref="A9"/>
      <pageMargins left="0.7" right="0.7" top="0.75" bottom="0.75" header="0.3" footer="0.3"/>
      <pageSetup orientation="portrait" horizontalDpi="4294967293" verticalDpi="4294967293" r:id="rId2"/>
    </customSheetView>
    <customSheetView guid="{6D63B10B-E1E6-452A-80EB-4B2C7D61CF66}" state="hidden">
      <selection activeCell="A9" sqref="A9"/>
      <pageMargins left="0.7" right="0.7" top="0.75" bottom="0.75" header="0.3" footer="0.3"/>
      <pageSetup orientation="portrait" horizontalDpi="4294967293" verticalDpi="4294967293" r:id="rId3"/>
    </customSheetView>
  </customSheetViews>
  <mergeCells count="4">
    <mergeCell ref="D12:D13"/>
    <mergeCell ref="E12:E13"/>
    <mergeCell ref="F12:H12"/>
    <mergeCell ref="I12:I13"/>
  </mergeCells>
  <pageMargins left="0.7" right="0.7" top="0.75" bottom="0.75" header="0.3" footer="0.3"/>
  <pageSetup orientation="portrait" horizontalDpi="4294967293" verticalDpi="4294967293" r:id="rId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A42"/>
  <sheetViews>
    <sheetView showGridLines="0" workbookViewId="0">
      <selection activeCell="A9" sqref="A9"/>
    </sheetView>
  </sheetViews>
  <sheetFormatPr defaultRowHeight="15" x14ac:dyDescent="0.25"/>
  <cols>
    <col min="1" max="1" width="96.7109375" style="55" customWidth="1"/>
    <col min="2" max="16384" width="9.140625" style="55"/>
  </cols>
  <sheetData>
    <row r="1" spans="1:1" ht="15.75" x14ac:dyDescent="0.25">
      <c r="A1" s="38" t="s">
        <v>1270</v>
      </c>
    </row>
    <row r="3" spans="1:1" ht="50.1" customHeight="1" x14ac:dyDescent="0.25">
      <c r="A3" s="56" t="s">
        <v>1310</v>
      </c>
    </row>
    <row r="4" spans="1:1" ht="35.1" customHeight="1" x14ac:dyDescent="0.25">
      <c r="A4" s="56" t="str">
        <f ca="1">"The ["&amp;MID(CELL("filename",TblStyles!A1), FIND("]", CELL("filename", TblStyles!A1))+ 1, 255)&amp;"] worksheet contains examples of these styles and a sample table that demonstrates their suggested use."</f>
        <v>The [TblStyles] worksheet contains examples of these styles and a sample table that demonstrates their suggested use.</v>
      </c>
    </row>
    <row r="5" spans="1:1" x14ac:dyDescent="0.25">
      <c r="A5" s="37" t="s">
        <v>1293</v>
      </c>
    </row>
    <row r="6" spans="1:1" x14ac:dyDescent="0.25">
      <c r="A6" s="58" t="s">
        <v>1294</v>
      </c>
    </row>
    <row r="7" spans="1:1" x14ac:dyDescent="0.25">
      <c r="A7" s="58" t="s">
        <v>1295</v>
      </c>
    </row>
    <row r="8" spans="1:1" x14ac:dyDescent="0.25">
      <c r="A8" s="58" t="s">
        <v>1296</v>
      </c>
    </row>
    <row r="9" spans="1:1" x14ac:dyDescent="0.25">
      <c r="A9" s="61" t="s">
        <v>1297</v>
      </c>
    </row>
    <row r="10" spans="1:1" x14ac:dyDescent="0.25">
      <c r="A10" s="62" t="s">
        <v>1298</v>
      </c>
    </row>
    <row r="11" spans="1:1" x14ac:dyDescent="0.25">
      <c r="A11" s="62" t="s">
        <v>1299</v>
      </c>
    </row>
    <row r="12" spans="1:1" x14ac:dyDescent="0.25">
      <c r="A12" s="57"/>
    </row>
    <row r="13" spans="1:1" ht="20.100000000000001" customHeight="1" x14ac:dyDescent="0.25">
      <c r="A13" s="32" t="s">
        <v>1271</v>
      </c>
    </row>
    <row r="14" spans="1:1" x14ac:dyDescent="0.25">
      <c r="A14" s="55" t="s">
        <v>1272</v>
      </c>
    </row>
    <row r="15" spans="1:1" x14ac:dyDescent="0.25">
      <c r="A15" s="59" t="s">
        <v>1273</v>
      </c>
    </row>
    <row r="16" spans="1:1" x14ac:dyDescent="0.25">
      <c r="A16" s="59" t="s">
        <v>1274</v>
      </c>
    </row>
    <row r="17" spans="1:1" x14ac:dyDescent="0.25">
      <c r="A17" s="59" t="s">
        <v>1275</v>
      </c>
    </row>
    <row r="18" spans="1:1" x14ac:dyDescent="0.25">
      <c r="A18" s="55" t="s">
        <v>1276</v>
      </c>
    </row>
    <row r="19" spans="1:1" x14ac:dyDescent="0.25">
      <c r="A19" s="59" t="s">
        <v>1277</v>
      </c>
    </row>
    <row r="20" spans="1:1" x14ac:dyDescent="0.25">
      <c r="A20" s="59" t="s">
        <v>1278</v>
      </c>
    </row>
    <row r="21" spans="1:1" x14ac:dyDescent="0.25">
      <c r="A21" s="59" t="s">
        <v>1279</v>
      </c>
    </row>
    <row r="22" spans="1:1" ht="20.100000000000001" customHeight="1" x14ac:dyDescent="0.25">
      <c r="A22" s="32" t="s">
        <v>1308</v>
      </c>
    </row>
    <row r="23" spans="1:1" x14ac:dyDescent="0.25">
      <c r="A23" s="55" t="s">
        <v>1280</v>
      </c>
    </row>
    <row r="24" spans="1:1" x14ac:dyDescent="0.25">
      <c r="A24" s="59" t="s">
        <v>1281</v>
      </c>
    </row>
    <row r="25" spans="1:1" x14ac:dyDescent="0.25">
      <c r="A25" s="59" t="s">
        <v>1282</v>
      </c>
    </row>
    <row r="26" spans="1:1" x14ac:dyDescent="0.25">
      <c r="A26" s="59" t="s">
        <v>1283</v>
      </c>
    </row>
    <row r="27" spans="1:1" x14ac:dyDescent="0.25">
      <c r="A27" s="55" t="s">
        <v>1284</v>
      </c>
    </row>
    <row r="28" spans="1:1" x14ac:dyDescent="0.25">
      <c r="A28" s="59" t="s">
        <v>1285</v>
      </c>
    </row>
    <row r="29" spans="1:1" x14ac:dyDescent="0.25">
      <c r="A29" s="59" t="s">
        <v>1278</v>
      </c>
    </row>
    <row r="30" spans="1:1" x14ac:dyDescent="0.25">
      <c r="A30" s="59" t="s">
        <v>1286</v>
      </c>
    </row>
    <row r="31" spans="1:1" ht="20.100000000000001" customHeight="1" x14ac:dyDescent="0.25">
      <c r="A31" s="32" t="s">
        <v>1309</v>
      </c>
    </row>
    <row r="32" spans="1:1" x14ac:dyDescent="0.25">
      <c r="A32" s="56" t="s">
        <v>1287</v>
      </c>
    </row>
    <row r="33" spans="1:1" x14ac:dyDescent="0.25">
      <c r="A33" s="59" t="s">
        <v>1288</v>
      </c>
    </row>
    <row r="34" spans="1:1" x14ac:dyDescent="0.25">
      <c r="A34" s="59" t="s">
        <v>1289</v>
      </c>
    </row>
    <row r="35" spans="1:1" x14ac:dyDescent="0.25">
      <c r="A35" s="59" t="s">
        <v>1290</v>
      </c>
    </row>
    <row r="36" spans="1:1" x14ac:dyDescent="0.25">
      <c r="A36" s="55" t="s">
        <v>1276</v>
      </c>
    </row>
    <row r="37" spans="1:1" x14ac:dyDescent="0.25">
      <c r="A37" s="59" t="s">
        <v>1291</v>
      </c>
    </row>
    <row r="38" spans="1:1" x14ac:dyDescent="0.25">
      <c r="A38" s="59" t="s">
        <v>1278</v>
      </c>
    </row>
    <row r="39" spans="1:1" x14ac:dyDescent="0.25">
      <c r="A39" s="59" t="s">
        <v>1286</v>
      </c>
    </row>
    <row r="40" spans="1:1" ht="20.100000000000001" customHeight="1" x14ac:dyDescent="0.25">
      <c r="A40" s="32" t="s">
        <v>1292</v>
      </c>
    </row>
    <row r="41" spans="1:1" ht="30" x14ac:dyDescent="0.25">
      <c r="A41" s="60" t="s">
        <v>1306</v>
      </c>
    </row>
    <row r="42" spans="1:1" ht="30" customHeight="1" x14ac:dyDescent="0.25">
      <c r="A42" s="60" t="s">
        <v>1307</v>
      </c>
    </row>
  </sheetData>
  <customSheetViews>
    <customSheetView guid="{679A3195-3DEA-4AC2-A535-82AAF5B552BC}" showGridLines="0" state="hidden">
      <selection activeCell="A9" sqref="A9"/>
      <pageMargins left="0.7" right="0.7" top="0.75" bottom="0.75" header="0.3" footer="0.3"/>
      <pageSetup orientation="portrait" horizontalDpi="4294967293" verticalDpi="4294967293" r:id="rId1"/>
    </customSheetView>
    <customSheetView guid="{7378B641-E8D1-4C14-8151-CF4CE159D121}" showGridLines="0" state="hidden">
      <selection activeCell="A9" sqref="A9"/>
      <pageMargins left="0.7" right="0.7" top="0.75" bottom="0.75" header="0.3" footer="0.3"/>
      <pageSetup orientation="portrait" horizontalDpi="4294967293" verticalDpi="4294967293" r:id="rId2"/>
    </customSheetView>
    <customSheetView guid="{6D63B10B-E1E6-452A-80EB-4B2C7D61CF66}" showGridLines="0" state="hidden">
      <selection activeCell="A9" sqref="A9"/>
      <pageMargins left="0.7" right="0.7" top="0.75" bottom="0.75" header="0.3" footer="0.3"/>
      <pageSetup orientation="portrait" horizontalDpi="4294967293" verticalDpi="4294967293" r:id="rId3"/>
    </customSheetView>
  </customSheetViews>
  <pageMargins left="0.7" right="0.7" top="0.75" bottom="0.75" header="0.3" footer="0.3"/>
  <pageSetup orientation="portrait" horizontalDpi="4294967293" verticalDpi="4294967293"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14"/>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1.28515625" customWidth="1"/>
    <col min="5" max="5" width="12.5703125" customWidth="1"/>
    <col min="6" max="6" width="11.85546875" customWidth="1"/>
    <col min="7" max="7" width="10.5703125" customWidth="1"/>
  </cols>
  <sheetData>
    <row r="1" spans="1:8" ht="19.5" customHeight="1" x14ac:dyDescent="0.25">
      <c r="A1" s="3" t="s">
        <v>26</v>
      </c>
      <c r="B1" s="4" t="s">
        <v>3338</v>
      </c>
      <c r="C1" s="535" t="s">
        <v>3058</v>
      </c>
      <c r="D1" s="558" t="str">
        <f>B1</f>
        <v>Total Savings Percentage Claimed in Completed SCE/SCG and PG&amp;E Advanced Jobs</v>
      </c>
    </row>
    <row r="2" spans="1:8" x14ac:dyDescent="0.25">
      <c r="A2" t="s">
        <v>20</v>
      </c>
      <c r="B2" s="2" t="s">
        <v>60</v>
      </c>
      <c r="C2" s="536" t="s">
        <v>3059</v>
      </c>
    </row>
    <row r="3" spans="1:8" x14ac:dyDescent="0.25">
      <c r="A3" t="s">
        <v>1184</v>
      </c>
      <c r="B3" s="2" t="s">
        <v>2426</v>
      </c>
      <c r="C3" s="536" t="s">
        <v>1193</v>
      </c>
    </row>
    <row r="4" spans="1:8" ht="30" x14ac:dyDescent="0.25">
      <c r="A4" t="s">
        <v>3136</v>
      </c>
      <c r="B4" s="2" t="s">
        <v>3343</v>
      </c>
      <c r="D4" s="725" t="str">
        <f>'4D'!F1</f>
        <v>IOU</v>
      </c>
      <c r="E4" s="694" t="str">
        <f>'4D'!G1</f>
        <v>Upgrade Type</v>
      </c>
      <c r="F4" s="694" t="str">
        <f>'4D'!H1</f>
        <v>Completed Jobs</v>
      </c>
      <c r="G4" s="726" t="str">
        <f>'4D'!I1</f>
        <v>Percent Savings</v>
      </c>
      <c r="H4" s="324"/>
    </row>
    <row r="5" spans="1:8" x14ac:dyDescent="0.25">
      <c r="B5" s="2"/>
      <c r="C5" s="2"/>
      <c r="D5" s="719" t="str">
        <f>'4D'!F2</f>
        <v>PG&amp;E</v>
      </c>
      <c r="E5" s="720" t="str">
        <f>'4D'!G2</f>
        <v>Advanced</v>
      </c>
      <c r="F5" s="721">
        <f>'4D'!H2</f>
        <v>936</v>
      </c>
      <c r="G5" s="722">
        <f>'4D'!I2</f>
        <v>0.31154198717948717</v>
      </c>
      <c r="H5" s="324"/>
    </row>
    <row r="6" spans="1:8" x14ac:dyDescent="0.25">
      <c r="D6" s="692" t="str">
        <f>'4D'!F3</f>
        <v>SCE</v>
      </c>
      <c r="E6" s="23" t="str">
        <f>'4D'!G3</f>
        <v>Advanced</v>
      </c>
      <c r="F6" s="723">
        <f>'4D'!H3</f>
        <v>106</v>
      </c>
      <c r="G6" s="704">
        <f>'4D'!I3</f>
        <v>0.26509433962264151</v>
      </c>
      <c r="H6" s="324"/>
    </row>
    <row r="7" spans="1:8" x14ac:dyDescent="0.25">
      <c r="D7" s="693" t="str">
        <f>'4D'!F4</f>
        <v>SCE</v>
      </c>
      <c r="E7" s="66" t="str">
        <f>'4D'!G4</f>
        <v>Basic</v>
      </c>
      <c r="F7" s="705">
        <f>'4D'!H4</f>
        <v>15</v>
      </c>
      <c r="G7" s="706">
        <f>'4D'!I4</f>
        <v>0.10000000000000002</v>
      </c>
      <c r="H7" s="324"/>
    </row>
    <row r="8" spans="1:8" x14ac:dyDescent="0.25">
      <c r="D8" s="707" t="s">
        <v>3345</v>
      </c>
      <c r="E8" s="23"/>
      <c r="F8" s="724"/>
      <c r="G8" s="708"/>
      <c r="H8" s="324"/>
    </row>
    <row r="9" spans="1:8" x14ac:dyDescent="0.25">
      <c r="D9" s="709" t="s">
        <v>3346</v>
      </c>
      <c r="E9" s="66"/>
      <c r="F9" s="710"/>
      <c r="G9" s="711"/>
      <c r="H9" s="324"/>
    </row>
    <row r="10" spans="1:8" x14ac:dyDescent="0.25">
      <c r="D10" s="82"/>
      <c r="E10" s="83"/>
      <c r="F10" s="84"/>
    </row>
    <row r="11" spans="1:8" x14ac:dyDescent="0.25">
      <c r="D11" s="82"/>
      <c r="E11" s="83"/>
      <c r="F11" s="84"/>
    </row>
    <row r="12" spans="1:8" x14ac:dyDescent="0.25">
      <c r="D12" s="82"/>
      <c r="E12" s="83"/>
      <c r="F12" s="84"/>
    </row>
    <row r="13" spans="1:8" x14ac:dyDescent="0.25">
      <c r="D13" s="82"/>
      <c r="E13" s="83"/>
      <c r="F13" s="84"/>
    </row>
    <row r="14" spans="1:8" x14ac:dyDescent="0.25">
      <c r="D14" s="82"/>
      <c r="E14" s="83"/>
      <c r="F14" s="84"/>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C1" sqref="C1"/>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AQ682"/>
  <sheetViews>
    <sheetView workbookViewId="0">
      <selection activeCell="A5" sqref="A5"/>
    </sheetView>
  </sheetViews>
  <sheetFormatPr defaultRowHeight="15" x14ac:dyDescent="0.25"/>
  <cols>
    <col min="1" max="43" width="28.7109375" customWidth="1"/>
  </cols>
  <sheetData>
    <row r="1" spans="1:43"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row>
    <row r="2" spans="1:43" x14ac:dyDescent="0.25">
      <c r="A2" s="9"/>
      <c r="B2" s="10"/>
      <c r="C2" s="9"/>
      <c r="D2" s="9"/>
      <c r="E2" s="9"/>
      <c r="F2" s="9"/>
      <c r="G2" s="9"/>
      <c r="H2" s="9"/>
      <c r="I2" s="11"/>
      <c r="J2" s="11"/>
      <c r="K2" s="11"/>
      <c r="L2" s="9"/>
      <c r="M2" s="9"/>
      <c r="N2" s="9"/>
      <c r="O2" s="9"/>
      <c r="P2" s="9"/>
      <c r="Q2" s="9"/>
      <c r="R2" s="9"/>
      <c r="S2" s="9"/>
      <c r="T2" s="9"/>
      <c r="U2" s="9"/>
      <c r="V2" s="9"/>
      <c r="W2" s="9"/>
      <c r="X2" s="11"/>
      <c r="Y2" s="9"/>
      <c r="Z2" s="10"/>
      <c r="AA2" s="9"/>
      <c r="AB2" s="9"/>
      <c r="AC2" s="10"/>
      <c r="AD2" s="9"/>
      <c r="AE2" s="9"/>
      <c r="AF2" s="9"/>
      <c r="AG2" s="9"/>
      <c r="AH2" s="9"/>
      <c r="AI2" s="9"/>
      <c r="AJ2" s="9"/>
      <c r="AK2" s="9"/>
      <c r="AL2" s="9"/>
      <c r="AM2" s="11"/>
      <c r="AN2" s="11"/>
      <c r="AO2" s="9"/>
      <c r="AP2" s="9"/>
      <c r="AQ2" s="9"/>
    </row>
    <row r="3" spans="1:43" x14ac:dyDescent="0.25">
      <c r="A3" s="9"/>
      <c r="B3" s="10"/>
      <c r="C3" s="9"/>
      <c r="D3" s="9"/>
      <c r="E3" s="9"/>
      <c r="F3" s="9"/>
      <c r="G3" s="9"/>
      <c r="H3" s="9"/>
      <c r="I3" s="11"/>
      <c r="J3" s="11"/>
      <c r="K3" s="10"/>
      <c r="L3" s="9"/>
      <c r="M3" s="9"/>
      <c r="N3" s="9"/>
      <c r="O3" s="9"/>
      <c r="P3" s="9"/>
      <c r="Q3" s="9"/>
      <c r="R3" s="9"/>
      <c r="S3" s="9"/>
      <c r="T3" s="9"/>
      <c r="U3" s="9"/>
      <c r="V3" s="9"/>
      <c r="W3" s="9"/>
      <c r="X3" s="11"/>
      <c r="Y3" s="9"/>
      <c r="Z3" s="10"/>
      <c r="AA3" s="9"/>
      <c r="AB3" s="9"/>
      <c r="AC3" s="10"/>
      <c r="AD3" s="9"/>
      <c r="AE3" s="9"/>
      <c r="AF3" s="9"/>
      <c r="AG3" s="9"/>
      <c r="AH3" s="9"/>
      <c r="AI3" s="9"/>
      <c r="AJ3" s="9"/>
      <c r="AK3" s="9"/>
      <c r="AL3" s="9"/>
      <c r="AM3" s="10"/>
      <c r="AN3" s="11"/>
      <c r="AO3" s="9"/>
      <c r="AP3" s="9"/>
      <c r="AQ3" s="9"/>
    </row>
    <row r="4" spans="1:43" x14ac:dyDescent="0.25">
      <c r="A4" s="9"/>
      <c r="B4" s="10"/>
      <c r="C4" s="9"/>
      <c r="D4" s="9"/>
      <c r="E4" s="9"/>
      <c r="F4" s="9"/>
      <c r="G4" s="9"/>
      <c r="H4" s="9"/>
      <c r="I4" s="11"/>
      <c r="J4" s="11"/>
      <c r="K4" s="11"/>
      <c r="L4" s="9"/>
      <c r="M4" s="9"/>
      <c r="N4" s="9"/>
      <c r="O4" s="9"/>
      <c r="P4" s="9"/>
      <c r="Q4" s="9"/>
      <c r="R4" s="9"/>
      <c r="S4" s="9"/>
      <c r="T4" s="9"/>
      <c r="U4" s="9"/>
      <c r="V4" s="9"/>
      <c r="W4" s="9"/>
      <c r="X4" s="11"/>
      <c r="Y4" s="9"/>
      <c r="Z4" s="10"/>
      <c r="AA4" s="9"/>
      <c r="AB4" s="9"/>
      <c r="AC4" s="10"/>
      <c r="AD4" s="9"/>
      <c r="AE4" s="9"/>
      <c r="AF4" s="9"/>
      <c r="AG4" s="9"/>
      <c r="AH4" s="9"/>
      <c r="AI4" s="9"/>
      <c r="AJ4" s="9"/>
      <c r="AK4" s="9"/>
      <c r="AL4" s="9"/>
      <c r="AM4" s="11"/>
      <c r="AN4" s="11"/>
      <c r="AO4" s="9"/>
      <c r="AP4" s="9"/>
      <c r="AQ4" s="9"/>
    </row>
    <row r="5" spans="1:43" x14ac:dyDescent="0.25">
      <c r="A5" s="9"/>
      <c r="B5" s="10"/>
      <c r="C5" s="9"/>
      <c r="D5" s="9"/>
      <c r="E5" s="9"/>
      <c r="F5" s="9"/>
      <c r="G5" s="9"/>
      <c r="H5" s="9"/>
      <c r="I5" s="11"/>
      <c r="J5" s="11"/>
      <c r="K5" s="10"/>
      <c r="L5" s="9"/>
      <c r="M5" s="9"/>
      <c r="N5" s="9"/>
      <c r="O5" s="9"/>
      <c r="P5" s="9"/>
      <c r="Q5" s="9"/>
      <c r="R5" s="9"/>
      <c r="S5" s="9"/>
      <c r="T5" s="9"/>
      <c r="U5" s="9"/>
      <c r="V5" s="9"/>
      <c r="W5" s="9"/>
      <c r="X5" s="11"/>
      <c r="Y5" s="9"/>
      <c r="Z5" s="10"/>
      <c r="AA5" s="9"/>
      <c r="AB5" s="9"/>
      <c r="AC5" s="10"/>
      <c r="AD5" s="9"/>
      <c r="AE5" s="9"/>
      <c r="AF5" s="9"/>
      <c r="AG5" s="9"/>
      <c r="AH5" s="9"/>
      <c r="AI5" s="9"/>
      <c r="AJ5" s="9"/>
      <c r="AK5" s="9"/>
      <c r="AL5" s="9"/>
      <c r="AM5" s="11"/>
      <c r="AN5" s="11"/>
      <c r="AO5" s="9"/>
      <c r="AP5" s="9"/>
      <c r="AQ5" s="9"/>
    </row>
    <row r="6" spans="1:43" x14ac:dyDescent="0.25">
      <c r="A6" s="9"/>
      <c r="B6" s="10"/>
      <c r="C6" s="9"/>
      <c r="D6" s="9"/>
      <c r="E6" s="9"/>
      <c r="F6" s="9"/>
      <c r="G6" s="9"/>
      <c r="H6" s="9"/>
      <c r="I6" s="11"/>
      <c r="J6" s="11"/>
      <c r="K6" s="10"/>
      <c r="L6" s="9"/>
      <c r="M6" s="9"/>
      <c r="N6" s="9"/>
      <c r="O6" s="9"/>
      <c r="P6" s="9"/>
      <c r="Q6" s="9"/>
      <c r="R6" s="9"/>
      <c r="S6" s="9"/>
      <c r="T6" s="9"/>
      <c r="U6" s="9"/>
      <c r="V6" s="9"/>
      <c r="W6" s="9"/>
      <c r="X6" s="11"/>
      <c r="Y6" s="9"/>
      <c r="Z6" s="10"/>
      <c r="AA6" s="9"/>
      <c r="AB6" s="9"/>
      <c r="AC6" s="10"/>
      <c r="AD6" s="9"/>
      <c r="AE6" s="9"/>
      <c r="AF6" s="9"/>
      <c r="AG6" s="9"/>
      <c r="AH6" s="9"/>
      <c r="AI6" s="9"/>
      <c r="AJ6" s="9"/>
      <c r="AK6" s="9"/>
      <c r="AL6" s="9"/>
      <c r="AM6" s="11"/>
      <c r="AN6" s="11"/>
      <c r="AO6" s="9"/>
      <c r="AP6" s="9"/>
      <c r="AQ6" s="9"/>
    </row>
    <row r="7" spans="1:43" x14ac:dyDescent="0.25">
      <c r="A7" s="9"/>
      <c r="B7" s="10"/>
      <c r="C7" s="9"/>
      <c r="D7" s="9"/>
      <c r="E7" s="9"/>
      <c r="F7" s="9"/>
      <c r="G7" s="9"/>
      <c r="H7" s="9"/>
      <c r="I7" s="11"/>
      <c r="J7" s="11"/>
      <c r="K7" s="11"/>
      <c r="L7" s="9"/>
      <c r="M7" s="9"/>
      <c r="N7" s="9"/>
      <c r="O7" s="9"/>
      <c r="P7" s="9"/>
      <c r="Q7" s="9"/>
      <c r="R7" s="9"/>
      <c r="S7" s="9"/>
      <c r="T7" s="9"/>
      <c r="U7" s="9"/>
      <c r="V7" s="9"/>
      <c r="W7" s="9"/>
      <c r="X7" s="11"/>
      <c r="Y7" s="9"/>
      <c r="Z7" s="10"/>
      <c r="AA7" s="9"/>
      <c r="AB7" s="9"/>
      <c r="AC7" s="10"/>
      <c r="AD7" s="9"/>
      <c r="AE7" s="9"/>
      <c r="AF7" s="9"/>
      <c r="AG7" s="9"/>
      <c r="AH7" s="9"/>
      <c r="AI7" s="9"/>
      <c r="AJ7" s="9"/>
      <c r="AK7" s="9"/>
      <c r="AL7" s="9"/>
      <c r="AM7" s="11"/>
      <c r="AN7" s="11"/>
      <c r="AO7" s="9"/>
      <c r="AP7" s="9"/>
      <c r="AQ7" s="9"/>
    </row>
    <row r="8" spans="1:43" x14ac:dyDescent="0.25">
      <c r="A8" s="9"/>
      <c r="B8" s="10"/>
      <c r="C8" s="9"/>
      <c r="D8" s="9"/>
      <c r="E8" s="9"/>
      <c r="F8" s="9"/>
      <c r="G8" s="9"/>
      <c r="H8" s="9"/>
      <c r="I8" s="11"/>
      <c r="J8" s="11"/>
      <c r="K8" s="10"/>
      <c r="L8" s="9"/>
      <c r="M8" s="9"/>
      <c r="N8" s="9"/>
      <c r="O8" s="9"/>
      <c r="P8" s="9"/>
      <c r="Q8" s="9"/>
      <c r="R8" s="9"/>
      <c r="S8" s="9"/>
      <c r="T8" s="9"/>
      <c r="U8" s="9"/>
      <c r="V8" s="9"/>
      <c r="W8" s="9"/>
      <c r="X8" s="11"/>
      <c r="Y8" s="9"/>
      <c r="Z8" s="10"/>
      <c r="AA8" s="9"/>
      <c r="AB8" s="9"/>
      <c r="AC8" s="10"/>
      <c r="AD8" s="9"/>
      <c r="AE8" s="9"/>
      <c r="AF8" s="9"/>
      <c r="AG8" s="9"/>
      <c r="AH8" s="9"/>
      <c r="AI8" s="9"/>
      <c r="AJ8" s="9"/>
      <c r="AK8" s="9"/>
      <c r="AL8" s="9"/>
      <c r="AM8" s="10"/>
      <c r="AN8" s="11"/>
      <c r="AO8" s="9"/>
      <c r="AP8" s="9"/>
      <c r="AQ8" s="9"/>
    </row>
    <row r="9" spans="1:43" x14ac:dyDescent="0.25">
      <c r="A9" s="9"/>
      <c r="B9" s="10"/>
      <c r="C9" s="9"/>
      <c r="D9" s="9"/>
      <c r="E9" s="9"/>
      <c r="F9" s="9"/>
      <c r="G9" s="9"/>
      <c r="H9" s="9"/>
      <c r="I9" s="11"/>
      <c r="J9" s="11"/>
      <c r="K9" s="11"/>
      <c r="L9" s="9"/>
      <c r="M9" s="9"/>
      <c r="N9" s="9"/>
      <c r="O9" s="9"/>
      <c r="P9" s="9"/>
      <c r="Q9" s="9"/>
      <c r="R9" s="9"/>
      <c r="S9" s="9"/>
      <c r="T9" s="9"/>
      <c r="U9" s="9"/>
      <c r="V9" s="9"/>
      <c r="W9" s="9"/>
      <c r="X9" s="11"/>
      <c r="Y9" s="9"/>
      <c r="Z9" s="10"/>
      <c r="AA9" s="9"/>
      <c r="AB9" s="9"/>
      <c r="AC9" s="11"/>
      <c r="AD9" s="9"/>
      <c r="AE9" s="9"/>
      <c r="AF9" s="9"/>
      <c r="AG9" s="9"/>
      <c r="AH9" s="9"/>
      <c r="AI9" s="9"/>
      <c r="AJ9" s="9"/>
      <c r="AK9" s="9"/>
      <c r="AL9" s="9"/>
      <c r="AM9" s="11"/>
      <c r="AN9" s="11"/>
      <c r="AO9" s="9"/>
      <c r="AP9" s="9"/>
      <c r="AQ9" s="9"/>
    </row>
    <row r="10" spans="1:43" x14ac:dyDescent="0.25">
      <c r="A10" s="9"/>
      <c r="B10" s="10"/>
      <c r="C10" s="9"/>
      <c r="D10" s="9"/>
      <c r="E10" s="9"/>
      <c r="F10" s="9"/>
      <c r="G10" s="9"/>
      <c r="H10" s="9"/>
      <c r="I10" s="11"/>
      <c r="J10" s="11"/>
      <c r="K10" s="10"/>
      <c r="L10" s="9"/>
      <c r="M10" s="9"/>
      <c r="N10" s="9"/>
      <c r="O10" s="9"/>
      <c r="P10" s="9"/>
      <c r="Q10" s="9"/>
      <c r="R10" s="9"/>
      <c r="S10" s="9"/>
      <c r="T10" s="9"/>
      <c r="U10" s="9"/>
      <c r="V10" s="9"/>
      <c r="W10" s="9"/>
      <c r="X10" s="11"/>
      <c r="Y10" s="9"/>
      <c r="Z10" s="10"/>
      <c r="AA10" s="9"/>
      <c r="AB10" s="9"/>
      <c r="AC10" s="10"/>
      <c r="AD10" s="9"/>
      <c r="AE10" s="9"/>
      <c r="AF10" s="9"/>
      <c r="AG10" s="9"/>
      <c r="AH10" s="9"/>
      <c r="AI10" s="9"/>
      <c r="AJ10" s="9"/>
      <c r="AK10" s="9"/>
      <c r="AL10" s="9"/>
      <c r="AM10" s="11"/>
      <c r="AN10" s="11"/>
      <c r="AO10" s="9"/>
      <c r="AP10" s="9"/>
      <c r="AQ10" s="9"/>
    </row>
    <row r="11" spans="1:43" x14ac:dyDescent="0.25">
      <c r="A11" s="9"/>
      <c r="B11" s="10"/>
      <c r="C11" s="9"/>
      <c r="D11" s="9"/>
      <c r="E11" s="9"/>
      <c r="F11" s="9"/>
      <c r="G11" s="9"/>
      <c r="H11" s="9"/>
      <c r="I11" s="11"/>
      <c r="J11" s="11"/>
      <c r="K11" s="11"/>
      <c r="L11" s="9"/>
      <c r="M11" s="9"/>
      <c r="N11" s="9"/>
      <c r="O11" s="9"/>
      <c r="P11" s="9"/>
      <c r="Q11" s="9"/>
      <c r="R11" s="9"/>
      <c r="S11" s="9"/>
      <c r="T11" s="9"/>
      <c r="U11" s="9"/>
      <c r="V11" s="9"/>
      <c r="W11" s="9"/>
      <c r="X11" s="11"/>
      <c r="Y11" s="9"/>
      <c r="Z11" s="10"/>
      <c r="AA11" s="9"/>
      <c r="AB11" s="9"/>
      <c r="AC11" s="10"/>
      <c r="AD11" s="9"/>
      <c r="AE11" s="9"/>
      <c r="AF11" s="9"/>
      <c r="AG11" s="9"/>
      <c r="AH11" s="9"/>
      <c r="AI11" s="9"/>
      <c r="AJ11" s="9"/>
      <c r="AK11" s="9"/>
      <c r="AL11" s="9"/>
      <c r="AM11" s="11"/>
      <c r="AN11" s="11"/>
      <c r="AO11" s="9"/>
      <c r="AP11" s="9"/>
      <c r="AQ11" s="9"/>
    </row>
    <row r="12" spans="1:43" x14ac:dyDescent="0.25">
      <c r="A12" s="9"/>
      <c r="B12" s="10"/>
      <c r="C12" s="9"/>
      <c r="D12" s="9"/>
      <c r="E12" s="9"/>
      <c r="F12" s="9"/>
      <c r="G12" s="9"/>
      <c r="H12" s="9"/>
      <c r="I12" s="11"/>
      <c r="J12" s="11"/>
      <c r="K12" s="10"/>
      <c r="L12" s="9"/>
      <c r="M12" s="9"/>
      <c r="N12" s="9"/>
      <c r="O12" s="9"/>
      <c r="P12" s="9"/>
      <c r="Q12" s="9"/>
      <c r="R12" s="9"/>
      <c r="S12" s="9"/>
      <c r="T12" s="9"/>
      <c r="U12" s="9"/>
      <c r="V12" s="9"/>
      <c r="W12" s="9"/>
      <c r="X12" s="11"/>
      <c r="Y12" s="9"/>
      <c r="Z12" s="10"/>
      <c r="AA12" s="9"/>
      <c r="AB12" s="9"/>
      <c r="AC12" s="10"/>
      <c r="AD12" s="9"/>
      <c r="AE12" s="9"/>
      <c r="AF12" s="9"/>
      <c r="AG12" s="9"/>
      <c r="AH12" s="9"/>
      <c r="AI12" s="9"/>
      <c r="AJ12" s="9"/>
      <c r="AK12" s="9"/>
      <c r="AL12" s="9"/>
      <c r="AM12" s="11"/>
      <c r="AN12" s="11"/>
      <c r="AO12" s="9"/>
      <c r="AP12" s="9"/>
      <c r="AQ12" s="9"/>
    </row>
    <row r="13" spans="1:43" x14ac:dyDescent="0.25">
      <c r="A13" s="9"/>
      <c r="B13" s="10"/>
      <c r="C13" s="9"/>
      <c r="D13" s="9"/>
      <c r="E13" s="9"/>
      <c r="F13" s="9"/>
      <c r="G13" s="9"/>
      <c r="H13" s="9"/>
      <c r="I13" s="11"/>
      <c r="J13" s="11"/>
      <c r="K13" s="10"/>
      <c r="L13" s="9"/>
      <c r="M13" s="9"/>
      <c r="N13" s="9"/>
      <c r="O13" s="9"/>
      <c r="P13" s="9"/>
      <c r="Q13" s="9"/>
      <c r="R13" s="9"/>
      <c r="S13" s="9"/>
      <c r="T13" s="9"/>
      <c r="U13" s="9"/>
      <c r="V13" s="9"/>
      <c r="W13" s="9"/>
      <c r="X13" s="11"/>
      <c r="Y13" s="9"/>
      <c r="Z13" s="10"/>
      <c r="AA13" s="9"/>
      <c r="AB13" s="9"/>
      <c r="AC13" s="10"/>
      <c r="AD13" s="9"/>
      <c r="AE13" s="9"/>
      <c r="AF13" s="9"/>
      <c r="AG13" s="9"/>
      <c r="AH13" s="9"/>
      <c r="AI13" s="9"/>
      <c r="AJ13" s="9"/>
      <c r="AK13" s="9"/>
      <c r="AL13" s="9"/>
      <c r="AM13" s="11"/>
      <c r="AN13" s="11"/>
      <c r="AO13" s="9"/>
      <c r="AP13" s="9"/>
      <c r="AQ13" s="9"/>
    </row>
    <row r="14" spans="1:43" x14ac:dyDescent="0.25">
      <c r="A14" s="9"/>
      <c r="B14" s="10"/>
      <c r="C14" s="9"/>
      <c r="D14" s="9"/>
      <c r="E14" s="9"/>
      <c r="F14" s="9"/>
      <c r="G14" s="9"/>
      <c r="H14" s="9"/>
      <c r="I14" s="11"/>
      <c r="J14" s="11"/>
      <c r="K14" s="11"/>
      <c r="L14" s="9"/>
      <c r="M14" s="9"/>
      <c r="N14" s="9"/>
      <c r="O14" s="9"/>
      <c r="P14" s="9"/>
      <c r="Q14" s="9"/>
      <c r="R14" s="9"/>
      <c r="S14" s="9"/>
      <c r="T14" s="9"/>
      <c r="U14" s="9"/>
      <c r="V14" s="9"/>
      <c r="W14" s="9"/>
      <c r="X14" s="11"/>
      <c r="Y14" s="9"/>
      <c r="Z14" s="10"/>
      <c r="AA14" s="9"/>
      <c r="AB14" s="9"/>
      <c r="AC14" s="11"/>
      <c r="AD14" s="9"/>
      <c r="AE14" s="9"/>
      <c r="AF14" s="9"/>
      <c r="AG14" s="9"/>
      <c r="AH14" s="9"/>
      <c r="AI14" s="9"/>
      <c r="AJ14" s="9"/>
      <c r="AK14" s="9"/>
      <c r="AL14" s="9"/>
      <c r="AM14" s="11"/>
      <c r="AN14" s="11"/>
      <c r="AO14" s="9"/>
      <c r="AP14" s="9"/>
      <c r="AQ14" s="9"/>
    </row>
    <row r="15" spans="1:43" x14ac:dyDescent="0.25">
      <c r="A15" s="9"/>
      <c r="B15" s="10"/>
      <c r="C15" s="9"/>
      <c r="D15" s="9"/>
      <c r="E15" s="9"/>
      <c r="F15" s="9"/>
      <c r="G15" s="9"/>
      <c r="H15" s="9"/>
      <c r="I15" s="11"/>
      <c r="J15" s="11"/>
      <c r="K15" s="11"/>
      <c r="L15" s="9"/>
      <c r="M15" s="9"/>
      <c r="N15" s="9"/>
      <c r="O15" s="9"/>
      <c r="P15" s="9"/>
      <c r="Q15" s="9"/>
      <c r="R15" s="9"/>
      <c r="S15" s="9"/>
      <c r="T15" s="9"/>
      <c r="U15" s="9"/>
      <c r="V15" s="9"/>
      <c r="W15" s="9"/>
      <c r="X15" s="11"/>
      <c r="Y15" s="9"/>
      <c r="Z15" s="10"/>
      <c r="AA15" s="9"/>
      <c r="AB15" s="9"/>
      <c r="AC15" s="10"/>
      <c r="AD15" s="9"/>
      <c r="AE15" s="9"/>
      <c r="AF15" s="9"/>
      <c r="AG15" s="9"/>
      <c r="AH15" s="9"/>
      <c r="AI15" s="9"/>
      <c r="AJ15" s="9"/>
      <c r="AK15" s="9"/>
      <c r="AL15" s="9"/>
      <c r="AM15" s="11"/>
      <c r="AN15" s="11"/>
      <c r="AO15" s="9"/>
      <c r="AP15" s="9"/>
      <c r="AQ15" s="9"/>
    </row>
    <row r="16" spans="1:43" x14ac:dyDescent="0.25">
      <c r="A16" s="9"/>
      <c r="B16" s="10"/>
      <c r="C16" s="9"/>
      <c r="D16" s="9"/>
      <c r="E16" s="9"/>
      <c r="F16" s="9"/>
      <c r="G16" s="9"/>
      <c r="H16" s="9"/>
      <c r="I16" s="11"/>
      <c r="J16" s="11"/>
      <c r="K16" s="10"/>
      <c r="L16" s="9"/>
      <c r="M16" s="9"/>
      <c r="N16" s="9"/>
      <c r="O16" s="9"/>
      <c r="P16" s="9"/>
      <c r="Q16" s="9"/>
      <c r="R16" s="9"/>
      <c r="S16" s="9"/>
      <c r="T16" s="9"/>
      <c r="U16" s="9"/>
      <c r="V16" s="9"/>
      <c r="W16" s="9"/>
      <c r="X16" s="11"/>
      <c r="Y16" s="9"/>
      <c r="Z16" s="10"/>
      <c r="AA16" s="9"/>
      <c r="AB16" s="9"/>
      <c r="AC16" s="10"/>
      <c r="AD16" s="9"/>
      <c r="AE16" s="9"/>
      <c r="AF16" s="9"/>
      <c r="AG16" s="9"/>
      <c r="AH16" s="9"/>
      <c r="AI16" s="9"/>
      <c r="AJ16" s="9"/>
      <c r="AK16" s="9"/>
      <c r="AL16" s="9"/>
      <c r="AM16" s="11"/>
      <c r="AN16" s="11"/>
      <c r="AO16" s="9"/>
      <c r="AP16" s="9"/>
      <c r="AQ16" s="9"/>
    </row>
    <row r="17" spans="1:43" x14ac:dyDescent="0.25">
      <c r="A17" s="9"/>
      <c r="B17" s="10"/>
      <c r="C17" s="9"/>
      <c r="D17" s="9"/>
      <c r="E17" s="9"/>
      <c r="F17" s="9"/>
      <c r="G17" s="9"/>
      <c r="H17" s="9"/>
      <c r="I17" s="11"/>
      <c r="J17" s="11"/>
      <c r="K17" s="11"/>
      <c r="L17" s="9"/>
      <c r="M17" s="9"/>
      <c r="N17" s="9"/>
      <c r="O17" s="9"/>
      <c r="P17" s="9"/>
      <c r="Q17" s="9"/>
      <c r="R17" s="9"/>
      <c r="S17" s="9"/>
      <c r="T17" s="9"/>
      <c r="U17" s="9"/>
      <c r="V17" s="9"/>
      <c r="W17" s="9"/>
      <c r="X17" s="11"/>
      <c r="Y17" s="9"/>
      <c r="Z17" s="10"/>
      <c r="AA17" s="9"/>
      <c r="AB17" s="9"/>
      <c r="AC17" s="10"/>
      <c r="AD17" s="9"/>
      <c r="AE17" s="9"/>
      <c r="AF17" s="9"/>
      <c r="AG17" s="9"/>
      <c r="AH17" s="9"/>
      <c r="AI17" s="9"/>
      <c r="AJ17" s="9"/>
      <c r="AK17" s="9"/>
      <c r="AL17" s="9"/>
      <c r="AM17" s="11"/>
      <c r="AN17" s="11"/>
      <c r="AO17" s="9"/>
      <c r="AP17" s="9"/>
      <c r="AQ17" s="9"/>
    </row>
    <row r="18" spans="1:43" x14ac:dyDescent="0.25">
      <c r="A18" s="9"/>
      <c r="B18" s="10"/>
      <c r="C18" s="9"/>
      <c r="D18" s="9"/>
      <c r="E18" s="9"/>
      <c r="F18" s="9"/>
      <c r="G18" s="9"/>
      <c r="H18" s="9"/>
      <c r="I18" s="11"/>
      <c r="J18" s="11"/>
      <c r="K18" s="11"/>
      <c r="L18" s="9"/>
      <c r="M18" s="9"/>
      <c r="N18" s="9"/>
      <c r="O18" s="9"/>
      <c r="P18" s="9"/>
      <c r="Q18" s="9"/>
      <c r="R18" s="9"/>
      <c r="S18" s="9"/>
      <c r="T18" s="9"/>
      <c r="U18" s="9"/>
      <c r="V18" s="9"/>
      <c r="W18" s="9"/>
      <c r="X18" s="11"/>
      <c r="Y18" s="9"/>
      <c r="Z18" s="10"/>
      <c r="AA18" s="9"/>
      <c r="AB18" s="9"/>
      <c r="AC18" s="10"/>
      <c r="AD18" s="9"/>
      <c r="AE18" s="9"/>
      <c r="AF18" s="9"/>
      <c r="AG18" s="9"/>
      <c r="AH18" s="9"/>
      <c r="AI18" s="9"/>
      <c r="AJ18" s="9"/>
      <c r="AK18" s="9"/>
      <c r="AL18" s="9"/>
      <c r="AM18" s="11"/>
      <c r="AN18" s="11"/>
      <c r="AO18" s="9"/>
      <c r="AP18" s="9"/>
      <c r="AQ18" s="9"/>
    </row>
    <row r="19" spans="1:43" x14ac:dyDescent="0.25">
      <c r="A19" s="9"/>
      <c r="B19" s="10"/>
      <c r="C19" s="9"/>
      <c r="D19" s="9"/>
      <c r="E19" s="9"/>
      <c r="F19" s="9"/>
      <c r="G19" s="9"/>
      <c r="H19" s="9"/>
      <c r="I19" s="11"/>
      <c r="J19" s="11"/>
      <c r="K19" s="11"/>
      <c r="L19" s="9"/>
      <c r="M19" s="9"/>
      <c r="N19" s="9"/>
      <c r="O19" s="9"/>
      <c r="P19" s="9"/>
      <c r="Q19" s="9"/>
      <c r="R19" s="9"/>
      <c r="S19" s="9"/>
      <c r="T19" s="9"/>
      <c r="U19" s="9"/>
      <c r="V19" s="9"/>
      <c r="W19" s="9"/>
      <c r="X19" s="11"/>
      <c r="Y19" s="9"/>
      <c r="Z19" s="10"/>
      <c r="AA19" s="9"/>
      <c r="AB19" s="9"/>
      <c r="AC19" s="10"/>
      <c r="AD19" s="9"/>
      <c r="AE19" s="9"/>
      <c r="AF19" s="9"/>
      <c r="AG19" s="9"/>
      <c r="AH19" s="9"/>
      <c r="AI19" s="9"/>
      <c r="AJ19" s="9"/>
      <c r="AK19" s="9"/>
      <c r="AL19" s="9"/>
      <c r="AM19" s="11"/>
      <c r="AN19" s="11"/>
      <c r="AO19" s="9"/>
      <c r="AP19" s="9"/>
      <c r="AQ19" s="9"/>
    </row>
    <row r="20" spans="1:43" x14ac:dyDescent="0.25">
      <c r="A20" s="9"/>
      <c r="B20" s="10"/>
      <c r="C20" s="9"/>
      <c r="D20" s="9"/>
      <c r="E20" s="9"/>
      <c r="F20" s="9"/>
      <c r="G20" s="9"/>
      <c r="H20" s="9"/>
      <c r="I20" s="11"/>
      <c r="J20" s="11"/>
      <c r="K20" s="10"/>
      <c r="L20" s="9"/>
      <c r="M20" s="9"/>
      <c r="N20" s="9"/>
      <c r="O20" s="9"/>
      <c r="P20" s="9"/>
      <c r="Q20" s="9"/>
      <c r="R20" s="9"/>
      <c r="S20" s="9"/>
      <c r="T20" s="9"/>
      <c r="U20" s="9"/>
      <c r="V20" s="9"/>
      <c r="W20" s="9"/>
      <c r="X20" s="11"/>
      <c r="Y20" s="9"/>
      <c r="Z20" s="10"/>
      <c r="AA20" s="9"/>
      <c r="AB20" s="9"/>
      <c r="AC20" s="10"/>
      <c r="AD20" s="9"/>
      <c r="AE20" s="9"/>
      <c r="AF20" s="9"/>
      <c r="AG20" s="9"/>
      <c r="AH20" s="9"/>
      <c r="AI20" s="9"/>
      <c r="AJ20" s="9"/>
      <c r="AK20" s="9"/>
      <c r="AL20" s="9"/>
      <c r="AM20" s="11"/>
      <c r="AN20" s="11"/>
      <c r="AO20" s="9"/>
      <c r="AP20" s="9"/>
      <c r="AQ20" s="9"/>
    </row>
    <row r="21" spans="1:43" x14ac:dyDescent="0.25">
      <c r="A21" s="9"/>
      <c r="B21" s="10"/>
      <c r="C21" s="9"/>
      <c r="D21" s="9"/>
      <c r="E21" s="9"/>
      <c r="F21" s="9"/>
      <c r="G21" s="9"/>
      <c r="H21" s="9"/>
      <c r="I21" s="11"/>
      <c r="J21" s="11"/>
      <c r="K21" s="10"/>
      <c r="L21" s="9"/>
      <c r="M21" s="9"/>
      <c r="N21" s="9"/>
      <c r="O21" s="9"/>
      <c r="P21" s="9"/>
      <c r="Q21" s="9"/>
      <c r="R21" s="9"/>
      <c r="S21" s="9"/>
      <c r="T21" s="9"/>
      <c r="U21" s="9"/>
      <c r="V21" s="9"/>
      <c r="W21" s="9"/>
      <c r="X21" s="11"/>
      <c r="Y21" s="9"/>
      <c r="Z21" s="10"/>
      <c r="AA21" s="9"/>
      <c r="AB21" s="9"/>
      <c r="AC21" s="10"/>
      <c r="AD21" s="9"/>
      <c r="AE21" s="9"/>
      <c r="AF21" s="9"/>
      <c r="AG21" s="9"/>
      <c r="AH21" s="9"/>
      <c r="AI21" s="9"/>
      <c r="AJ21" s="9"/>
      <c r="AK21" s="9"/>
      <c r="AL21" s="9"/>
      <c r="AM21" s="11"/>
      <c r="AN21" s="11"/>
      <c r="AO21" s="9"/>
      <c r="AP21" s="9"/>
      <c r="AQ21" s="9"/>
    </row>
    <row r="22" spans="1:43" x14ac:dyDescent="0.25">
      <c r="A22" s="9"/>
      <c r="B22" s="10"/>
      <c r="C22" s="9"/>
      <c r="D22" s="9"/>
      <c r="E22" s="9"/>
      <c r="F22" s="9"/>
      <c r="G22" s="9"/>
      <c r="H22" s="9"/>
      <c r="I22" s="11"/>
      <c r="J22" s="11"/>
      <c r="K22" s="11"/>
      <c r="L22" s="9"/>
      <c r="M22" s="9"/>
      <c r="N22" s="9"/>
      <c r="O22" s="9"/>
      <c r="P22" s="9"/>
      <c r="Q22" s="9"/>
      <c r="R22" s="9"/>
      <c r="S22" s="9"/>
      <c r="T22" s="9"/>
      <c r="U22" s="9"/>
      <c r="V22" s="9"/>
      <c r="W22" s="9"/>
      <c r="X22" s="11"/>
      <c r="Y22" s="9"/>
      <c r="Z22" s="10"/>
      <c r="AA22" s="9"/>
      <c r="AB22" s="9"/>
      <c r="AC22" s="11"/>
      <c r="AD22" s="9"/>
      <c r="AE22" s="9"/>
      <c r="AF22" s="9"/>
      <c r="AG22" s="9"/>
      <c r="AH22" s="9"/>
      <c r="AI22" s="9"/>
      <c r="AJ22" s="9"/>
      <c r="AK22" s="9"/>
      <c r="AL22" s="9"/>
      <c r="AM22" s="11"/>
      <c r="AN22" s="11"/>
      <c r="AO22" s="9"/>
      <c r="AP22" s="9"/>
      <c r="AQ22" s="9"/>
    </row>
    <row r="23" spans="1:43" x14ac:dyDescent="0.25">
      <c r="A23" s="9"/>
      <c r="B23" s="10"/>
      <c r="C23" s="9"/>
      <c r="D23" s="9"/>
      <c r="E23" s="9"/>
      <c r="F23" s="9"/>
      <c r="G23" s="9"/>
      <c r="H23" s="9"/>
      <c r="I23" s="11"/>
      <c r="J23" s="11"/>
      <c r="K23" s="10"/>
      <c r="L23" s="9"/>
      <c r="M23" s="9"/>
      <c r="N23" s="9"/>
      <c r="O23" s="9"/>
      <c r="P23" s="9"/>
      <c r="Q23" s="9"/>
      <c r="R23" s="9"/>
      <c r="S23" s="9"/>
      <c r="T23" s="9"/>
      <c r="U23" s="9"/>
      <c r="V23" s="9"/>
      <c r="W23" s="9"/>
      <c r="X23" s="11"/>
      <c r="Y23" s="9"/>
      <c r="Z23" s="10"/>
      <c r="AA23" s="9"/>
      <c r="AB23" s="9"/>
      <c r="AC23" s="10"/>
      <c r="AD23" s="9"/>
      <c r="AE23" s="9"/>
      <c r="AF23" s="9"/>
      <c r="AG23" s="9"/>
      <c r="AH23" s="9"/>
      <c r="AI23" s="9"/>
      <c r="AJ23" s="9"/>
      <c r="AK23" s="9"/>
      <c r="AL23" s="9"/>
      <c r="AM23" s="11"/>
      <c r="AN23" s="11"/>
      <c r="AO23" s="9"/>
      <c r="AP23" s="9"/>
      <c r="AQ23" s="9"/>
    </row>
    <row r="24" spans="1:43" x14ac:dyDescent="0.25">
      <c r="A24" s="9"/>
      <c r="B24" s="10"/>
      <c r="C24" s="9"/>
      <c r="D24" s="9"/>
      <c r="E24" s="9"/>
      <c r="F24" s="9"/>
      <c r="G24" s="9"/>
      <c r="H24" s="9"/>
      <c r="I24" s="11"/>
      <c r="J24" s="11"/>
      <c r="K24" s="10"/>
      <c r="L24" s="9"/>
      <c r="M24" s="9"/>
      <c r="N24" s="9"/>
      <c r="O24" s="9"/>
      <c r="P24" s="9"/>
      <c r="Q24" s="9"/>
      <c r="R24" s="9"/>
      <c r="S24" s="9"/>
      <c r="T24" s="9"/>
      <c r="U24" s="9"/>
      <c r="V24" s="9"/>
      <c r="W24" s="9"/>
      <c r="X24" s="11"/>
      <c r="Y24" s="9"/>
      <c r="Z24" s="10"/>
      <c r="AA24" s="9"/>
      <c r="AB24" s="9"/>
      <c r="AC24" s="10"/>
      <c r="AD24" s="9"/>
      <c r="AE24" s="9"/>
      <c r="AF24" s="9"/>
      <c r="AG24" s="9"/>
      <c r="AH24" s="9"/>
      <c r="AI24" s="9"/>
      <c r="AJ24" s="9"/>
      <c r="AK24" s="9"/>
      <c r="AL24" s="9"/>
      <c r="AM24" s="10"/>
      <c r="AN24" s="11"/>
      <c r="AO24" s="9"/>
      <c r="AP24" s="9"/>
      <c r="AQ24" s="9"/>
    </row>
    <row r="25" spans="1:43" x14ac:dyDescent="0.25">
      <c r="A25" s="9"/>
      <c r="B25" s="10"/>
      <c r="C25" s="9"/>
      <c r="D25" s="9"/>
      <c r="E25" s="9"/>
      <c r="F25" s="9"/>
      <c r="G25" s="9"/>
      <c r="H25" s="9"/>
      <c r="I25" s="11"/>
      <c r="J25" s="11"/>
      <c r="K25" s="11"/>
      <c r="L25" s="9"/>
      <c r="M25" s="9"/>
      <c r="N25" s="9"/>
      <c r="O25" s="9"/>
      <c r="P25" s="9"/>
      <c r="Q25" s="9"/>
      <c r="R25" s="9"/>
      <c r="S25" s="9"/>
      <c r="T25" s="9"/>
      <c r="U25" s="9"/>
      <c r="V25" s="9"/>
      <c r="W25" s="9"/>
      <c r="X25" s="11"/>
      <c r="Y25" s="9"/>
      <c r="Z25" s="10"/>
      <c r="AA25" s="9"/>
      <c r="AB25" s="9"/>
      <c r="AC25" s="11"/>
      <c r="AD25" s="9"/>
      <c r="AE25" s="9"/>
      <c r="AF25" s="9"/>
      <c r="AG25" s="9"/>
      <c r="AH25" s="9"/>
      <c r="AI25" s="9"/>
      <c r="AJ25" s="9"/>
      <c r="AK25" s="9"/>
      <c r="AL25" s="9"/>
      <c r="AM25" s="11"/>
      <c r="AN25" s="11"/>
      <c r="AO25" s="9"/>
      <c r="AP25" s="9"/>
      <c r="AQ25" s="9"/>
    </row>
    <row r="26" spans="1:43" x14ac:dyDescent="0.25">
      <c r="A26" s="9"/>
      <c r="B26" s="10"/>
      <c r="C26" s="9"/>
      <c r="D26" s="9"/>
      <c r="E26" s="9"/>
      <c r="F26" s="9"/>
      <c r="G26" s="9"/>
      <c r="H26" s="9"/>
      <c r="I26" s="11"/>
      <c r="J26" s="11"/>
      <c r="K26" s="11"/>
      <c r="L26" s="9"/>
      <c r="M26" s="9"/>
      <c r="N26" s="9"/>
      <c r="O26" s="9"/>
      <c r="P26" s="9"/>
      <c r="Q26" s="9"/>
      <c r="R26" s="9"/>
      <c r="S26" s="9"/>
      <c r="T26" s="9"/>
      <c r="U26" s="9"/>
      <c r="V26" s="9"/>
      <c r="W26" s="9"/>
      <c r="X26" s="11"/>
      <c r="Y26" s="9"/>
      <c r="Z26" s="10"/>
      <c r="AA26" s="9"/>
      <c r="AB26" s="9"/>
      <c r="AC26" s="10"/>
      <c r="AD26" s="9"/>
      <c r="AE26" s="9"/>
      <c r="AF26" s="9"/>
      <c r="AG26" s="9"/>
      <c r="AH26" s="9"/>
      <c r="AI26" s="9"/>
      <c r="AJ26" s="9"/>
      <c r="AK26" s="9"/>
      <c r="AL26" s="9"/>
      <c r="AM26" s="11"/>
      <c r="AN26" s="11"/>
      <c r="AO26" s="9"/>
      <c r="AP26" s="9"/>
      <c r="AQ26" s="9"/>
    </row>
    <row r="27" spans="1:43" x14ac:dyDescent="0.25">
      <c r="A27" s="9"/>
      <c r="B27" s="10"/>
      <c r="C27" s="9"/>
      <c r="D27" s="9"/>
      <c r="E27" s="9"/>
      <c r="F27" s="9"/>
      <c r="G27" s="9"/>
      <c r="H27" s="9"/>
      <c r="I27" s="11"/>
      <c r="J27" s="11"/>
      <c r="K27" s="11"/>
      <c r="L27" s="9"/>
      <c r="M27" s="9"/>
      <c r="N27" s="9"/>
      <c r="O27" s="9"/>
      <c r="P27" s="9"/>
      <c r="Q27" s="9"/>
      <c r="R27" s="9"/>
      <c r="S27" s="9"/>
      <c r="T27" s="9"/>
      <c r="U27" s="9"/>
      <c r="V27" s="9"/>
      <c r="W27" s="9"/>
      <c r="X27" s="11"/>
      <c r="Y27" s="9"/>
      <c r="Z27" s="10"/>
      <c r="AA27" s="9"/>
      <c r="AB27" s="9"/>
      <c r="AC27" s="10"/>
      <c r="AD27" s="9"/>
      <c r="AE27" s="9"/>
      <c r="AF27" s="9"/>
      <c r="AG27" s="9"/>
      <c r="AH27" s="9"/>
      <c r="AI27" s="9"/>
      <c r="AJ27" s="9"/>
      <c r="AK27" s="9"/>
      <c r="AL27" s="9"/>
      <c r="AM27" s="11"/>
      <c r="AN27" s="11"/>
      <c r="AO27" s="9"/>
      <c r="AP27" s="9"/>
      <c r="AQ27" s="9"/>
    </row>
    <row r="28" spans="1:43" x14ac:dyDescent="0.25">
      <c r="A28" s="9"/>
      <c r="B28" s="10"/>
      <c r="C28" s="9"/>
      <c r="D28" s="9"/>
      <c r="E28" s="9"/>
      <c r="F28" s="9"/>
      <c r="G28" s="9"/>
      <c r="H28" s="9"/>
      <c r="I28" s="11"/>
      <c r="J28" s="11"/>
      <c r="K28" s="10"/>
      <c r="L28" s="9"/>
      <c r="M28" s="9"/>
      <c r="N28" s="9"/>
      <c r="O28" s="9"/>
      <c r="P28" s="9"/>
      <c r="Q28" s="9"/>
      <c r="R28" s="9"/>
      <c r="S28" s="9"/>
      <c r="T28" s="9"/>
      <c r="U28" s="9"/>
      <c r="V28" s="9"/>
      <c r="W28" s="9"/>
      <c r="X28" s="11"/>
      <c r="Y28" s="9"/>
      <c r="Z28" s="10"/>
      <c r="AA28" s="9"/>
      <c r="AB28" s="9"/>
      <c r="AC28" s="10"/>
      <c r="AD28" s="9"/>
      <c r="AE28" s="9"/>
      <c r="AF28" s="9"/>
      <c r="AG28" s="9"/>
      <c r="AH28" s="9"/>
      <c r="AI28" s="9"/>
      <c r="AJ28" s="9"/>
      <c r="AK28" s="9"/>
      <c r="AL28" s="9"/>
      <c r="AM28" s="11"/>
      <c r="AN28" s="11"/>
      <c r="AO28" s="9"/>
      <c r="AP28" s="9"/>
      <c r="AQ28" s="9"/>
    </row>
    <row r="29" spans="1:43" x14ac:dyDescent="0.25">
      <c r="A29" s="9"/>
      <c r="B29" s="10"/>
      <c r="C29" s="9"/>
      <c r="D29" s="9"/>
      <c r="E29" s="9"/>
      <c r="F29" s="9"/>
      <c r="G29" s="9"/>
      <c r="H29" s="9"/>
      <c r="I29" s="11"/>
      <c r="J29" s="11"/>
      <c r="K29" s="11"/>
      <c r="L29" s="9"/>
      <c r="M29" s="9"/>
      <c r="N29" s="9"/>
      <c r="O29" s="9"/>
      <c r="P29" s="9"/>
      <c r="Q29" s="9"/>
      <c r="R29" s="9"/>
      <c r="S29" s="9"/>
      <c r="T29" s="9"/>
      <c r="U29" s="9"/>
      <c r="V29" s="9"/>
      <c r="W29" s="9"/>
      <c r="X29" s="11"/>
      <c r="Y29" s="9"/>
      <c r="Z29" s="10"/>
      <c r="AA29" s="9"/>
      <c r="AB29" s="9"/>
      <c r="AC29" s="10"/>
      <c r="AD29" s="9"/>
      <c r="AE29" s="9"/>
      <c r="AF29" s="9"/>
      <c r="AG29" s="9"/>
      <c r="AH29" s="9"/>
      <c r="AI29" s="9"/>
      <c r="AJ29" s="9"/>
      <c r="AK29" s="9"/>
      <c r="AL29" s="9"/>
      <c r="AM29" s="11"/>
      <c r="AN29" s="11"/>
      <c r="AO29" s="9"/>
      <c r="AP29" s="9"/>
      <c r="AQ29" s="9"/>
    </row>
    <row r="30" spans="1:43" x14ac:dyDescent="0.25">
      <c r="A30" s="9"/>
      <c r="B30" s="10"/>
      <c r="C30" s="9"/>
      <c r="D30" s="9"/>
      <c r="E30" s="9"/>
      <c r="F30" s="9"/>
      <c r="G30" s="9"/>
      <c r="H30" s="9"/>
      <c r="I30" s="11"/>
      <c r="J30" s="11"/>
      <c r="K30" s="11"/>
      <c r="L30" s="9"/>
      <c r="M30" s="9"/>
      <c r="N30" s="9"/>
      <c r="O30" s="9"/>
      <c r="P30" s="9"/>
      <c r="Q30" s="9"/>
      <c r="R30" s="9"/>
      <c r="S30" s="9"/>
      <c r="T30" s="9"/>
      <c r="U30" s="9"/>
      <c r="V30" s="9"/>
      <c r="W30" s="9"/>
      <c r="X30" s="11"/>
      <c r="Y30" s="9"/>
      <c r="Z30" s="10"/>
      <c r="AA30" s="9"/>
      <c r="AB30" s="9"/>
      <c r="AC30" s="11"/>
      <c r="AD30" s="9"/>
      <c r="AE30" s="9"/>
      <c r="AF30" s="9"/>
      <c r="AG30" s="9"/>
      <c r="AH30" s="9"/>
      <c r="AI30" s="9"/>
      <c r="AJ30" s="9"/>
      <c r="AK30" s="9"/>
      <c r="AL30" s="9"/>
      <c r="AM30" s="11"/>
      <c r="AN30" s="11"/>
      <c r="AO30" s="9"/>
      <c r="AP30" s="9"/>
      <c r="AQ30" s="9"/>
    </row>
    <row r="31" spans="1:43" x14ac:dyDescent="0.25">
      <c r="A31" s="9"/>
      <c r="B31" s="10"/>
      <c r="C31" s="9"/>
      <c r="D31" s="9"/>
      <c r="E31" s="9"/>
      <c r="F31" s="9"/>
      <c r="G31" s="9"/>
      <c r="H31" s="9"/>
      <c r="I31" s="11"/>
      <c r="J31" s="11"/>
      <c r="K31" s="11"/>
      <c r="L31" s="9"/>
      <c r="M31" s="9"/>
      <c r="N31" s="9"/>
      <c r="O31" s="9"/>
      <c r="P31" s="9"/>
      <c r="Q31" s="9"/>
      <c r="R31" s="9"/>
      <c r="S31" s="9"/>
      <c r="T31" s="9"/>
      <c r="U31" s="9"/>
      <c r="V31" s="9"/>
      <c r="W31" s="9"/>
      <c r="X31" s="11"/>
      <c r="Y31" s="9"/>
      <c r="Z31" s="10"/>
      <c r="AA31" s="9"/>
      <c r="AB31" s="9"/>
      <c r="AC31" s="11"/>
      <c r="AD31" s="9"/>
      <c r="AE31" s="9"/>
      <c r="AF31" s="9"/>
      <c r="AG31" s="9"/>
      <c r="AH31" s="9"/>
      <c r="AI31" s="9"/>
      <c r="AJ31" s="9"/>
      <c r="AK31" s="9"/>
      <c r="AL31" s="9"/>
      <c r="AM31" s="11"/>
      <c r="AN31" s="11"/>
      <c r="AO31" s="9"/>
      <c r="AP31" s="9"/>
      <c r="AQ31" s="9"/>
    </row>
    <row r="32" spans="1:43" x14ac:dyDescent="0.25">
      <c r="A32" s="9"/>
      <c r="B32" s="10"/>
      <c r="C32" s="9"/>
      <c r="D32" s="9"/>
      <c r="E32" s="9"/>
      <c r="F32" s="9"/>
      <c r="G32" s="9"/>
      <c r="H32" s="9"/>
      <c r="I32" s="11"/>
      <c r="J32" s="11"/>
      <c r="K32" s="10"/>
      <c r="L32" s="9"/>
      <c r="M32" s="9"/>
      <c r="N32" s="9"/>
      <c r="O32" s="9"/>
      <c r="P32" s="9"/>
      <c r="Q32" s="9"/>
      <c r="R32" s="9"/>
      <c r="S32" s="9"/>
      <c r="T32" s="9"/>
      <c r="U32" s="9"/>
      <c r="V32" s="9"/>
      <c r="W32" s="9"/>
      <c r="X32" s="11"/>
      <c r="Y32" s="9"/>
      <c r="Z32" s="10"/>
      <c r="AA32" s="9"/>
      <c r="AB32" s="9"/>
      <c r="AC32" s="10"/>
      <c r="AD32" s="9"/>
      <c r="AE32" s="9"/>
      <c r="AF32" s="9"/>
      <c r="AG32" s="9"/>
      <c r="AH32" s="9"/>
      <c r="AI32" s="9"/>
      <c r="AJ32" s="9"/>
      <c r="AK32" s="9"/>
      <c r="AL32" s="9"/>
      <c r="AM32" s="11"/>
      <c r="AN32" s="11"/>
      <c r="AO32" s="9"/>
      <c r="AP32" s="9"/>
      <c r="AQ32" s="9"/>
    </row>
    <row r="33" spans="1:43" x14ac:dyDescent="0.25">
      <c r="A33" s="9"/>
      <c r="B33" s="10"/>
      <c r="C33" s="9"/>
      <c r="D33" s="9"/>
      <c r="E33" s="9"/>
      <c r="F33" s="9"/>
      <c r="G33" s="9"/>
      <c r="H33" s="9"/>
      <c r="I33" s="11"/>
      <c r="J33" s="11"/>
      <c r="K33" s="10"/>
      <c r="L33" s="9"/>
      <c r="M33" s="9"/>
      <c r="N33" s="9"/>
      <c r="O33" s="9"/>
      <c r="P33" s="9"/>
      <c r="Q33" s="9"/>
      <c r="R33" s="9"/>
      <c r="S33" s="9"/>
      <c r="T33" s="9"/>
      <c r="U33" s="9"/>
      <c r="V33" s="9"/>
      <c r="W33" s="9"/>
      <c r="X33" s="11"/>
      <c r="Y33" s="9"/>
      <c r="Z33" s="10"/>
      <c r="AA33" s="9"/>
      <c r="AB33" s="9"/>
      <c r="AC33" s="10"/>
      <c r="AD33" s="9"/>
      <c r="AE33" s="9"/>
      <c r="AF33" s="9"/>
      <c r="AG33" s="9"/>
      <c r="AH33" s="9"/>
      <c r="AI33" s="9"/>
      <c r="AJ33" s="9"/>
      <c r="AK33" s="9"/>
      <c r="AL33" s="9"/>
      <c r="AM33" s="10"/>
      <c r="AN33" s="11"/>
      <c r="AO33" s="9"/>
      <c r="AP33" s="9"/>
      <c r="AQ33" s="9"/>
    </row>
    <row r="34" spans="1:43" x14ac:dyDescent="0.25">
      <c r="A34" s="9"/>
      <c r="B34" s="10"/>
      <c r="C34" s="9"/>
      <c r="D34" s="9"/>
      <c r="E34" s="9"/>
      <c r="F34" s="9"/>
      <c r="G34" s="9"/>
      <c r="H34" s="9"/>
      <c r="I34" s="11"/>
      <c r="J34" s="11"/>
      <c r="K34" s="11"/>
      <c r="L34" s="9"/>
      <c r="M34" s="9"/>
      <c r="N34" s="9"/>
      <c r="O34" s="9"/>
      <c r="P34" s="9"/>
      <c r="Q34" s="9"/>
      <c r="R34" s="9"/>
      <c r="S34" s="9"/>
      <c r="T34" s="9"/>
      <c r="U34" s="9"/>
      <c r="V34" s="9"/>
      <c r="W34" s="9"/>
      <c r="X34" s="11"/>
      <c r="Y34" s="9"/>
      <c r="Z34" s="10"/>
      <c r="AA34" s="9"/>
      <c r="AB34" s="9"/>
      <c r="AC34" s="11"/>
      <c r="AD34" s="9"/>
      <c r="AE34" s="9"/>
      <c r="AF34" s="9"/>
      <c r="AG34" s="9"/>
      <c r="AH34" s="9"/>
      <c r="AI34" s="9"/>
      <c r="AJ34" s="9"/>
      <c r="AK34" s="9"/>
      <c r="AL34" s="9"/>
      <c r="AM34" s="11"/>
      <c r="AN34" s="11"/>
      <c r="AO34" s="9"/>
      <c r="AP34" s="9"/>
      <c r="AQ34" s="9"/>
    </row>
    <row r="35" spans="1:43" x14ac:dyDescent="0.25">
      <c r="A35" s="9"/>
      <c r="B35" s="10"/>
      <c r="C35" s="9"/>
      <c r="D35" s="9"/>
      <c r="E35" s="9"/>
      <c r="F35" s="9"/>
      <c r="G35" s="9"/>
      <c r="H35" s="9"/>
      <c r="I35" s="11"/>
      <c r="J35" s="11"/>
      <c r="K35" s="11"/>
      <c r="L35" s="9"/>
      <c r="M35" s="9"/>
      <c r="N35" s="9"/>
      <c r="O35" s="9"/>
      <c r="P35" s="9"/>
      <c r="Q35" s="9"/>
      <c r="R35" s="9"/>
      <c r="S35" s="9"/>
      <c r="T35" s="9"/>
      <c r="U35" s="9"/>
      <c r="V35" s="9"/>
      <c r="W35" s="9"/>
      <c r="X35" s="11"/>
      <c r="Y35" s="9"/>
      <c r="Z35" s="10"/>
      <c r="AA35" s="9"/>
      <c r="AB35" s="9"/>
      <c r="AC35" s="10"/>
      <c r="AD35" s="9"/>
      <c r="AE35" s="9"/>
      <c r="AF35" s="9"/>
      <c r="AG35" s="9"/>
      <c r="AH35" s="9"/>
      <c r="AI35" s="9"/>
      <c r="AJ35" s="9"/>
      <c r="AK35" s="9"/>
      <c r="AL35" s="9"/>
      <c r="AM35" s="11"/>
      <c r="AN35" s="11"/>
      <c r="AO35" s="9"/>
      <c r="AP35" s="9"/>
      <c r="AQ35" s="9"/>
    </row>
    <row r="36" spans="1:43" x14ac:dyDescent="0.25">
      <c r="A36" s="9"/>
      <c r="B36" s="10"/>
      <c r="C36" s="9"/>
      <c r="D36" s="9"/>
      <c r="E36" s="9"/>
      <c r="F36" s="9"/>
      <c r="G36" s="9"/>
      <c r="H36" s="9"/>
      <c r="I36" s="11"/>
      <c r="J36" s="11"/>
      <c r="K36" s="11"/>
      <c r="L36" s="9"/>
      <c r="M36" s="9"/>
      <c r="N36" s="9"/>
      <c r="O36" s="9"/>
      <c r="P36" s="9"/>
      <c r="Q36" s="9"/>
      <c r="R36" s="9"/>
      <c r="S36" s="9"/>
      <c r="T36" s="9"/>
      <c r="U36" s="9"/>
      <c r="V36" s="9"/>
      <c r="W36" s="9"/>
      <c r="X36" s="11"/>
      <c r="Y36" s="9"/>
      <c r="Z36" s="10"/>
      <c r="AA36" s="9"/>
      <c r="AB36" s="9"/>
      <c r="AC36" s="10"/>
      <c r="AD36" s="9"/>
      <c r="AE36" s="9"/>
      <c r="AF36" s="9"/>
      <c r="AG36" s="9"/>
      <c r="AH36" s="9"/>
      <c r="AI36" s="9"/>
      <c r="AJ36" s="9"/>
      <c r="AK36" s="9"/>
      <c r="AL36" s="9"/>
      <c r="AM36" s="11"/>
      <c r="AN36" s="11"/>
      <c r="AO36" s="9"/>
      <c r="AP36" s="9"/>
      <c r="AQ36" s="9"/>
    </row>
    <row r="37" spans="1:43" x14ac:dyDescent="0.25">
      <c r="A37" s="9"/>
      <c r="B37" s="10"/>
      <c r="C37" s="9"/>
      <c r="D37" s="9"/>
      <c r="E37" s="9"/>
      <c r="F37" s="9"/>
      <c r="G37" s="9"/>
      <c r="H37" s="9"/>
      <c r="I37" s="11"/>
      <c r="J37" s="11"/>
      <c r="K37" s="11"/>
      <c r="L37" s="9"/>
      <c r="M37" s="9"/>
      <c r="N37" s="9"/>
      <c r="O37" s="9"/>
      <c r="P37" s="9"/>
      <c r="Q37" s="9"/>
      <c r="R37" s="9"/>
      <c r="S37" s="9"/>
      <c r="T37" s="9"/>
      <c r="U37" s="9"/>
      <c r="V37" s="9"/>
      <c r="W37" s="9"/>
      <c r="X37" s="11"/>
      <c r="Y37" s="9"/>
      <c r="Z37" s="10"/>
      <c r="AA37" s="9"/>
      <c r="AB37" s="9"/>
      <c r="AC37" s="11"/>
      <c r="AD37" s="9"/>
      <c r="AE37" s="9"/>
      <c r="AF37" s="9"/>
      <c r="AG37" s="9"/>
      <c r="AH37" s="9"/>
      <c r="AI37" s="9"/>
      <c r="AJ37" s="9"/>
      <c r="AK37" s="9"/>
      <c r="AL37" s="9"/>
      <c r="AM37" s="11"/>
      <c r="AN37" s="11"/>
      <c r="AO37" s="9"/>
      <c r="AP37" s="9"/>
      <c r="AQ37" s="9"/>
    </row>
    <row r="38" spans="1:43" x14ac:dyDescent="0.25">
      <c r="A38" s="9"/>
      <c r="B38" s="10"/>
      <c r="C38" s="9"/>
      <c r="D38" s="9"/>
      <c r="E38" s="9"/>
      <c r="F38" s="9"/>
      <c r="G38" s="9"/>
      <c r="H38" s="9"/>
      <c r="I38" s="11"/>
      <c r="J38" s="11"/>
      <c r="K38" s="11"/>
      <c r="L38" s="9"/>
      <c r="M38" s="9"/>
      <c r="N38" s="9"/>
      <c r="O38" s="9"/>
      <c r="P38" s="9"/>
      <c r="Q38" s="9"/>
      <c r="R38" s="9"/>
      <c r="S38" s="9"/>
      <c r="T38" s="9"/>
      <c r="U38" s="9"/>
      <c r="V38" s="9"/>
      <c r="W38" s="9"/>
      <c r="X38" s="11"/>
      <c r="Y38" s="9"/>
      <c r="Z38" s="10"/>
      <c r="AA38" s="9"/>
      <c r="AB38" s="9"/>
      <c r="AC38" s="11"/>
      <c r="AD38" s="9"/>
      <c r="AE38" s="9"/>
      <c r="AF38" s="9"/>
      <c r="AG38" s="9"/>
      <c r="AH38" s="9"/>
      <c r="AI38" s="9"/>
      <c r="AJ38" s="9"/>
      <c r="AK38" s="9"/>
      <c r="AL38" s="9"/>
      <c r="AM38" s="11"/>
      <c r="AN38" s="11"/>
      <c r="AO38" s="9"/>
      <c r="AP38" s="9"/>
      <c r="AQ38" s="9"/>
    </row>
    <row r="39" spans="1:43" x14ac:dyDescent="0.25">
      <c r="A39" s="9"/>
      <c r="B39" s="10"/>
      <c r="C39" s="9"/>
      <c r="D39" s="9"/>
      <c r="E39" s="9"/>
      <c r="F39" s="9"/>
      <c r="G39" s="9"/>
      <c r="H39" s="9"/>
      <c r="I39" s="11"/>
      <c r="J39" s="11"/>
      <c r="K39" s="11"/>
      <c r="L39" s="9"/>
      <c r="M39" s="9"/>
      <c r="N39" s="9"/>
      <c r="O39" s="9"/>
      <c r="P39" s="9"/>
      <c r="Q39" s="9"/>
      <c r="R39" s="9"/>
      <c r="S39" s="9"/>
      <c r="T39" s="9"/>
      <c r="U39" s="9"/>
      <c r="V39" s="9"/>
      <c r="W39" s="9"/>
      <c r="X39" s="11"/>
      <c r="Y39" s="9"/>
      <c r="Z39" s="10"/>
      <c r="AA39" s="9"/>
      <c r="AB39" s="9"/>
      <c r="AC39" s="11"/>
      <c r="AD39" s="9"/>
      <c r="AE39" s="9"/>
      <c r="AF39" s="9"/>
      <c r="AG39" s="9"/>
      <c r="AH39" s="9"/>
      <c r="AI39" s="9"/>
      <c r="AJ39" s="9"/>
      <c r="AK39" s="9"/>
      <c r="AL39" s="9"/>
      <c r="AM39" s="11"/>
      <c r="AN39" s="11"/>
      <c r="AO39" s="9"/>
      <c r="AP39" s="9"/>
      <c r="AQ39" s="9"/>
    </row>
    <row r="40" spans="1:43" x14ac:dyDescent="0.25">
      <c r="A40" s="9"/>
      <c r="B40" s="10"/>
      <c r="C40" s="9"/>
      <c r="D40" s="9"/>
      <c r="E40" s="9"/>
      <c r="F40" s="9"/>
      <c r="G40" s="9"/>
      <c r="H40" s="9"/>
      <c r="I40" s="11"/>
      <c r="J40" s="11"/>
      <c r="K40" s="11"/>
      <c r="L40" s="9"/>
      <c r="M40" s="9"/>
      <c r="N40" s="9"/>
      <c r="O40" s="9"/>
      <c r="P40" s="9"/>
      <c r="Q40" s="9"/>
      <c r="R40" s="9"/>
      <c r="S40" s="9"/>
      <c r="T40" s="9"/>
      <c r="U40" s="9"/>
      <c r="V40" s="9"/>
      <c r="W40" s="9"/>
      <c r="X40" s="11"/>
      <c r="Y40" s="9"/>
      <c r="Z40" s="10"/>
      <c r="AA40" s="9"/>
      <c r="AB40" s="9"/>
      <c r="AC40" s="10"/>
      <c r="AD40" s="9"/>
      <c r="AE40" s="9"/>
      <c r="AF40" s="9"/>
      <c r="AG40" s="9"/>
      <c r="AH40" s="9"/>
      <c r="AI40" s="9"/>
      <c r="AJ40" s="9"/>
      <c r="AK40" s="9"/>
      <c r="AL40" s="9"/>
      <c r="AM40" s="11"/>
      <c r="AN40" s="11"/>
      <c r="AO40" s="9"/>
      <c r="AP40" s="9"/>
      <c r="AQ40" s="9"/>
    </row>
    <row r="41" spans="1:43" x14ac:dyDescent="0.25">
      <c r="A41" s="9"/>
      <c r="B41" s="10"/>
      <c r="C41" s="9"/>
      <c r="D41" s="9"/>
      <c r="E41" s="9"/>
      <c r="F41" s="9"/>
      <c r="G41" s="9"/>
      <c r="H41" s="9"/>
      <c r="I41" s="11"/>
      <c r="J41" s="11"/>
      <c r="K41" s="11"/>
      <c r="L41" s="9"/>
      <c r="M41" s="9"/>
      <c r="N41" s="9"/>
      <c r="O41" s="9"/>
      <c r="P41" s="9"/>
      <c r="Q41" s="9"/>
      <c r="R41" s="9"/>
      <c r="S41" s="9"/>
      <c r="T41" s="9"/>
      <c r="U41" s="9"/>
      <c r="V41" s="9"/>
      <c r="W41" s="9"/>
      <c r="X41" s="11"/>
      <c r="Y41" s="9"/>
      <c r="Z41" s="10"/>
      <c r="AA41" s="9"/>
      <c r="AB41" s="9"/>
      <c r="AC41" s="11"/>
      <c r="AD41" s="9"/>
      <c r="AE41" s="9"/>
      <c r="AF41" s="9"/>
      <c r="AG41" s="9"/>
      <c r="AH41" s="9"/>
      <c r="AI41" s="9"/>
      <c r="AJ41" s="9"/>
      <c r="AK41" s="9"/>
      <c r="AL41" s="9"/>
      <c r="AM41" s="11"/>
      <c r="AN41" s="11"/>
      <c r="AO41" s="9"/>
      <c r="AP41" s="9"/>
      <c r="AQ41" s="9"/>
    </row>
    <row r="42" spans="1:43" x14ac:dyDescent="0.25">
      <c r="A42" s="9"/>
      <c r="B42" s="10"/>
      <c r="C42" s="9"/>
      <c r="D42" s="9"/>
      <c r="E42" s="9"/>
      <c r="F42" s="9"/>
      <c r="G42" s="9"/>
      <c r="H42" s="9"/>
      <c r="I42" s="11"/>
      <c r="J42" s="11"/>
      <c r="K42" s="10"/>
      <c r="L42" s="9"/>
      <c r="M42" s="9"/>
      <c r="N42" s="9"/>
      <c r="O42" s="9"/>
      <c r="P42" s="9"/>
      <c r="Q42" s="9"/>
      <c r="R42" s="9"/>
      <c r="S42" s="9"/>
      <c r="T42" s="9"/>
      <c r="U42" s="9"/>
      <c r="V42" s="9"/>
      <c r="W42" s="9"/>
      <c r="X42" s="11"/>
      <c r="Y42" s="9"/>
      <c r="Z42" s="10"/>
      <c r="AA42" s="9"/>
      <c r="AB42" s="9"/>
      <c r="AC42" s="10"/>
      <c r="AD42" s="9"/>
      <c r="AE42" s="9"/>
      <c r="AF42" s="9"/>
      <c r="AG42" s="9"/>
      <c r="AH42" s="9"/>
      <c r="AI42" s="9"/>
      <c r="AJ42" s="9"/>
      <c r="AK42" s="9"/>
      <c r="AL42" s="9"/>
      <c r="AM42" s="10"/>
      <c r="AN42" s="11"/>
      <c r="AO42" s="9"/>
      <c r="AP42" s="9"/>
      <c r="AQ42" s="9"/>
    </row>
    <row r="43" spans="1:43" x14ac:dyDescent="0.25">
      <c r="A43" s="9"/>
      <c r="B43" s="10"/>
      <c r="C43" s="9"/>
      <c r="D43" s="9"/>
      <c r="E43" s="9"/>
      <c r="F43" s="9"/>
      <c r="G43" s="9"/>
      <c r="H43" s="9"/>
      <c r="I43" s="11"/>
      <c r="J43" s="11"/>
      <c r="K43" s="11"/>
      <c r="L43" s="9"/>
      <c r="M43" s="9"/>
      <c r="N43" s="9"/>
      <c r="O43" s="9"/>
      <c r="P43" s="9"/>
      <c r="Q43" s="9"/>
      <c r="R43" s="9"/>
      <c r="S43" s="9"/>
      <c r="T43" s="9"/>
      <c r="U43" s="9"/>
      <c r="V43" s="9"/>
      <c r="W43" s="9"/>
      <c r="X43" s="11"/>
      <c r="Y43" s="9"/>
      <c r="Z43" s="10"/>
      <c r="AA43" s="9"/>
      <c r="AB43" s="9"/>
      <c r="AC43" s="10"/>
      <c r="AD43" s="9"/>
      <c r="AE43" s="9"/>
      <c r="AF43" s="9"/>
      <c r="AG43" s="9"/>
      <c r="AH43" s="9"/>
      <c r="AI43" s="9"/>
      <c r="AJ43" s="9"/>
      <c r="AK43" s="9"/>
      <c r="AL43" s="9"/>
      <c r="AM43" s="11"/>
      <c r="AN43" s="11"/>
      <c r="AO43" s="9"/>
      <c r="AP43" s="9"/>
      <c r="AQ43" s="9"/>
    </row>
    <row r="44" spans="1:43" x14ac:dyDescent="0.25">
      <c r="A44" s="9"/>
      <c r="B44" s="10"/>
      <c r="C44" s="9"/>
      <c r="D44" s="9"/>
      <c r="E44" s="9"/>
      <c r="F44" s="9"/>
      <c r="G44" s="9"/>
      <c r="H44" s="9"/>
      <c r="I44" s="11"/>
      <c r="J44" s="11"/>
      <c r="K44" s="10"/>
      <c r="L44" s="9"/>
      <c r="M44" s="9"/>
      <c r="N44" s="9"/>
      <c r="O44" s="9"/>
      <c r="P44" s="9"/>
      <c r="Q44" s="9"/>
      <c r="R44" s="9"/>
      <c r="S44" s="9"/>
      <c r="T44" s="9"/>
      <c r="U44" s="9"/>
      <c r="V44" s="9"/>
      <c r="W44" s="9"/>
      <c r="X44" s="11"/>
      <c r="Y44" s="9"/>
      <c r="Z44" s="10"/>
      <c r="AA44" s="9"/>
      <c r="AB44" s="9"/>
      <c r="AC44" s="10"/>
      <c r="AD44" s="9"/>
      <c r="AE44" s="9"/>
      <c r="AF44" s="9"/>
      <c r="AG44" s="9"/>
      <c r="AH44" s="9"/>
      <c r="AI44" s="9"/>
      <c r="AJ44" s="9"/>
      <c r="AK44" s="9"/>
      <c r="AL44" s="9"/>
      <c r="AM44" s="11"/>
      <c r="AN44" s="11"/>
      <c r="AO44" s="9"/>
      <c r="AP44" s="9"/>
      <c r="AQ44" s="9"/>
    </row>
    <row r="45" spans="1:43" x14ac:dyDescent="0.25">
      <c r="A45" s="9"/>
      <c r="B45" s="10"/>
      <c r="C45" s="9"/>
      <c r="D45" s="9"/>
      <c r="E45" s="9"/>
      <c r="F45" s="9"/>
      <c r="G45" s="9"/>
      <c r="H45" s="9"/>
      <c r="I45" s="11"/>
      <c r="J45" s="11"/>
      <c r="K45" s="10"/>
      <c r="L45" s="9"/>
      <c r="M45" s="9"/>
      <c r="N45" s="9"/>
      <c r="O45" s="9"/>
      <c r="P45" s="9"/>
      <c r="Q45" s="9"/>
      <c r="R45" s="9"/>
      <c r="S45" s="9"/>
      <c r="T45" s="9"/>
      <c r="U45" s="9"/>
      <c r="V45" s="9"/>
      <c r="W45" s="9"/>
      <c r="X45" s="11"/>
      <c r="Y45" s="9"/>
      <c r="Z45" s="10"/>
      <c r="AA45" s="9"/>
      <c r="AB45" s="9"/>
      <c r="AC45" s="10"/>
      <c r="AD45" s="9"/>
      <c r="AE45" s="9"/>
      <c r="AF45" s="9"/>
      <c r="AG45" s="9"/>
      <c r="AH45" s="9"/>
      <c r="AI45" s="9"/>
      <c r="AJ45" s="9"/>
      <c r="AK45" s="9"/>
      <c r="AL45" s="9"/>
      <c r="AM45" s="11"/>
      <c r="AN45" s="11"/>
      <c r="AO45" s="9"/>
      <c r="AP45" s="9"/>
      <c r="AQ45" s="9"/>
    </row>
    <row r="46" spans="1:43" x14ac:dyDescent="0.25">
      <c r="A46" s="9"/>
      <c r="B46" s="10"/>
      <c r="C46" s="9"/>
      <c r="D46" s="9"/>
      <c r="E46" s="9"/>
      <c r="F46" s="9"/>
      <c r="G46" s="9"/>
      <c r="H46" s="9"/>
      <c r="I46" s="11"/>
      <c r="J46" s="11"/>
      <c r="K46" s="10"/>
      <c r="L46" s="9"/>
      <c r="M46" s="9"/>
      <c r="N46" s="9"/>
      <c r="O46" s="9"/>
      <c r="P46" s="9"/>
      <c r="Q46" s="9"/>
      <c r="R46" s="9"/>
      <c r="S46" s="9"/>
      <c r="T46" s="9"/>
      <c r="U46" s="9"/>
      <c r="V46" s="9"/>
      <c r="W46" s="9"/>
      <c r="X46" s="11"/>
      <c r="Y46" s="9"/>
      <c r="Z46" s="10"/>
      <c r="AA46" s="9"/>
      <c r="AB46" s="9"/>
      <c r="AC46" s="10"/>
      <c r="AD46" s="9"/>
      <c r="AE46" s="9"/>
      <c r="AF46" s="9"/>
      <c r="AG46" s="9"/>
      <c r="AH46" s="9"/>
      <c r="AI46" s="9"/>
      <c r="AJ46" s="9"/>
      <c r="AK46" s="9"/>
      <c r="AL46" s="9"/>
      <c r="AM46" s="11"/>
      <c r="AN46" s="11"/>
      <c r="AO46" s="9"/>
      <c r="AP46" s="9"/>
      <c r="AQ46" s="9"/>
    </row>
    <row r="47" spans="1:43" x14ac:dyDescent="0.25">
      <c r="A47" s="9"/>
      <c r="B47" s="10"/>
      <c r="C47" s="9"/>
      <c r="D47" s="9"/>
      <c r="E47" s="9"/>
      <c r="F47" s="9"/>
      <c r="G47" s="9"/>
      <c r="H47" s="9"/>
      <c r="I47" s="11"/>
      <c r="J47" s="11"/>
      <c r="K47" s="11"/>
      <c r="L47" s="9"/>
      <c r="M47" s="9"/>
      <c r="N47" s="9"/>
      <c r="O47" s="9"/>
      <c r="P47" s="9"/>
      <c r="Q47" s="9"/>
      <c r="R47" s="9"/>
      <c r="S47" s="9"/>
      <c r="T47" s="9"/>
      <c r="U47" s="9"/>
      <c r="V47" s="9"/>
      <c r="W47" s="9"/>
      <c r="X47" s="11"/>
      <c r="Y47" s="9"/>
      <c r="Z47" s="10"/>
      <c r="AA47" s="9"/>
      <c r="AB47" s="9"/>
      <c r="AC47" s="10"/>
      <c r="AD47" s="9"/>
      <c r="AE47" s="9"/>
      <c r="AF47" s="9"/>
      <c r="AG47" s="9"/>
      <c r="AH47" s="9"/>
      <c r="AI47" s="9"/>
      <c r="AJ47" s="9"/>
      <c r="AK47" s="9"/>
      <c r="AL47" s="9"/>
      <c r="AM47" s="11"/>
      <c r="AN47" s="11"/>
      <c r="AO47" s="9"/>
      <c r="AP47" s="9"/>
      <c r="AQ47" s="9"/>
    </row>
    <row r="48" spans="1:43" x14ac:dyDescent="0.25">
      <c r="A48" s="9"/>
      <c r="B48" s="10"/>
      <c r="C48" s="9"/>
      <c r="D48" s="9"/>
      <c r="E48" s="9"/>
      <c r="F48" s="9"/>
      <c r="G48" s="9"/>
      <c r="H48" s="9"/>
      <c r="I48" s="11"/>
      <c r="J48" s="11"/>
      <c r="K48" s="11"/>
      <c r="L48" s="9"/>
      <c r="M48" s="9"/>
      <c r="N48" s="9"/>
      <c r="O48" s="9"/>
      <c r="P48" s="9"/>
      <c r="Q48" s="9"/>
      <c r="R48" s="9"/>
      <c r="S48" s="9"/>
      <c r="T48" s="9"/>
      <c r="U48" s="9"/>
      <c r="V48" s="9"/>
      <c r="W48" s="9"/>
      <c r="X48" s="11"/>
      <c r="Y48" s="9"/>
      <c r="Z48" s="10"/>
      <c r="AA48" s="9"/>
      <c r="AB48" s="9"/>
      <c r="AC48" s="10"/>
      <c r="AD48" s="9"/>
      <c r="AE48" s="9"/>
      <c r="AF48" s="9"/>
      <c r="AG48" s="9"/>
      <c r="AH48" s="9"/>
      <c r="AI48" s="9"/>
      <c r="AJ48" s="9"/>
      <c r="AK48" s="9"/>
      <c r="AL48" s="9"/>
      <c r="AM48" s="11"/>
      <c r="AN48" s="11"/>
      <c r="AO48" s="9"/>
      <c r="AP48" s="9"/>
      <c r="AQ48" s="9"/>
    </row>
    <row r="49" spans="1:43" x14ac:dyDescent="0.25">
      <c r="A49" s="9"/>
      <c r="B49" s="10"/>
      <c r="C49" s="9"/>
      <c r="D49" s="9"/>
      <c r="E49" s="9"/>
      <c r="F49" s="9"/>
      <c r="G49" s="9"/>
      <c r="H49" s="9"/>
      <c r="I49" s="11"/>
      <c r="J49" s="11"/>
      <c r="K49" s="11"/>
      <c r="L49" s="9"/>
      <c r="M49" s="9"/>
      <c r="N49" s="9"/>
      <c r="O49" s="9"/>
      <c r="P49" s="9"/>
      <c r="Q49" s="9"/>
      <c r="R49" s="9"/>
      <c r="S49" s="9"/>
      <c r="T49" s="9"/>
      <c r="U49" s="9"/>
      <c r="V49" s="9"/>
      <c r="W49" s="9"/>
      <c r="X49" s="11"/>
      <c r="Y49" s="9"/>
      <c r="Z49" s="10"/>
      <c r="AA49" s="9"/>
      <c r="AB49" s="9"/>
      <c r="AC49" s="11"/>
      <c r="AD49" s="9"/>
      <c r="AE49" s="9"/>
      <c r="AF49" s="9"/>
      <c r="AG49" s="9"/>
      <c r="AH49" s="9"/>
      <c r="AI49" s="9"/>
      <c r="AJ49" s="9"/>
      <c r="AK49" s="9"/>
      <c r="AL49" s="9"/>
      <c r="AM49" s="11"/>
      <c r="AN49" s="11"/>
      <c r="AO49" s="9"/>
      <c r="AP49" s="9"/>
      <c r="AQ49" s="9"/>
    </row>
    <row r="50" spans="1:43" x14ac:dyDescent="0.25">
      <c r="A50" s="9"/>
      <c r="B50" s="10"/>
      <c r="C50" s="9"/>
      <c r="D50" s="9"/>
      <c r="E50" s="9"/>
      <c r="F50" s="9"/>
      <c r="G50" s="9"/>
      <c r="H50" s="9"/>
      <c r="I50" s="11"/>
      <c r="J50" s="11"/>
      <c r="K50" s="11"/>
      <c r="L50" s="9"/>
      <c r="M50" s="9"/>
      <c r="N50" s="9"/>
      <c r="O50" s="9"/>
      <c r="P50" s="9"/>
      <c r="Q50" s="9"/>
      <c r="R50" s="9"/>
      <c r="S50" s="9"/>
      <c r="T50" s="9"/>
      <c r="U50" s="9"/>
      <c r="V50" s="9"/>
      <c r="W50" s="9"/>
      <c r="X50" s="11"/>
      <c r="Y50" s="9"/>
      <c r="Z50" s="10"/>
      <c r="AA50" s="9"/>
      <c r="AB50" s="9"/>
      <c r="AC50" s="11"/>
      <c r="AD50" s="9"/>
      <c r="AE50" s="9"/>
      <c r="AF50" s="9"/>
      <c r="AG50" s="9"/>
      <c r="AH50" s="9"/>
      <c r="AI50" s="9"/>
      <c r="AJ50" s="9"/>
      <c r="AK50" s="9"/>
      <c r="AL50" s="9"/>
      <c r="AM50" s="11"/>
      <c r="AN50" s="11"/>
      <c r="AO50" s="9"/>
      <c r="AP50" s="9"/>
      <c r="AQ50" s="9"/>
    </row>
    <row r="51" spans="1:43" x14ac:dyDescent="0.25">
      <c r="A51" s="9"/>
      <c r="B51" s="10"/>
      <c r="C51" s="9"/>
      <c r="D51" s="9"/>
      <c r="E51" s="9"/>
      <c r="F51" s="9"/>
      <c r="G51" s="9"/>
      <c r="H51" s="9"/>
      <c r="I51" s="11"/>
      <c r="J51" s="11"/>
      <c r="K51" s="11"/>
      <c r="L51" s="9"/>
      <c r="M51" s="9"/>
      <c r="N51" s="9"/>
      <c r="O51" s="9"/>
      <c r="P51" s="9"/>
      <c r="Q51" s="9"/>
      <c r="R51" s="9"/>
      <c r="S51" s="9"/>
      <c r="T51" s="9"/>
      <c r="U51" s="9"/>
      <c r="V51" s="9"/>
      <c r="W51" s="9"/>
      <c r="X51" s="11"/>
      <c r="Y51" s="9"/>
      <c r="Z51" s="10"/>
      <c r="AA51" s="9"/>
      <c r="AB51" s="9"/>
      <c r="AC51" s="10"/>
      <c r="AD51" s="9"/>
      <c r="AE51" s="9"/>
      <c r="AF51" s="9"/>
      <c r="AG51" s="9"/>
      <c r="AH51" s="9"/>
      <c r="AI51" s="9"/>
      <c r="AJ51" s="9"/>
      <c r="AK51" s="9"/>
      <c r="AL51" s="9"/>
      <c r="AM51" s="11"/>
      <c r="AN51" s="11"/>
      <c r="AO51" s="9"/>
      <c r="AP51" s="9"/>
      <c r="AQ51" s="9"/>
    </row>
    <row r="52" spans="1:43" x14ac:dyDescent="0.25">
      <c r="A52" s="9"/>
      <c r="B52" s="10"/>
      <c r="C52" s="9"/>
      <c r="D52" s="9"/>
      <c r="E52" s="9"/>
      <c r="F52" s="9"/>
      <c r="G52" s="9"/>
      <c r="H52" s="9"/>
      <c r="I52" s="11"/>
      <c r="J52" s="11"/>
      <c r="K52" s="11"/>
      <c r="L52" s="9"/>
      <c r="M52" s="9"/>
      <c r="N52" s="9"/>
      <c r="O52" s="9"/>
      <c r="P52" s="9"/>
      <c r="Q52" s="9"/>
      <c r="R52" s="9"/>
      <c r="S52" s="9"/>
      <c r="T52" s="9"/>
      <c r="U52" s="9"/>
      <c r="V52" s="9"/>
      <c r="W52" s="9"/>
      <c r="X52" s="11"/>
      <c r="Y52" s="9"/>
      <c r="Z52" s="10"/>
      <c r="AA52" s="9"/>
      <c r="AB52" s="9"/>
      <c r="AC52" s="10"/>
      <c r="AD52" s="9"/>
      <c r="AE52" s="9"/>
      <c r="AF52" s="9"/>
      <c r="AG52" s="9"/>
      <c r="AH52" s="9"/>
      <c r="AI52" s="9"/>
      <c r="AJ52" s="9"/>
      <c r="AK52" s="9"/>
      <c r="AL52" s="9"/>
      <c r="AM52" s="11"/>
      <c r="AN52" s="11"/>
      <c r="AO52" s="9"/>
      <c r="AP52" s="9"/>
      <c r="AQ52" s="9"/>
    </row>
    <row r="53" spans="1:43" x14ac:dyDescent="0.25">
      <c r="A53" s="9"/>
      <c r="B53" s="10"/>
      <c r="C53" s="9"/>
      <c r="D53" s="9"/>
      <c r="E53" s="9"/>
      <c r="F53" s="9"/>
      <c r="G53" s="9"/>
      <c r="H53" s="9"/>
      <c r="I53" s="11"/>
      <c r="J53" s="11"/>
      <c r="K53" s="10"/>
      <c r="L53" s="9"/>
      <c r="M53" s="9"/>
      <c r="N53" s="9"/>
      <c r="O53" s="9"/>
      <c r="P53" s="9"/>
      <c r="Q53" s="9"/>
      <c r="R53" s="9"/>
      <c r="S53" s="9"/>
      <c r="T53" s="9"/>
      <c r="U53" s="9"/>
      <c r="V53" s="9"/>
      <c r="W53" s="9"/>
      <c r="X53" s="11"/>
      <c r="Y53" s="9"/>
      <c r="Z53" s="10"/>
      <c r="AA53" s="9"/>
      <c r="AB53" s="9"/>
      <c r="AC53" s="10"/>
      <c r="AD53" s="9"/>
      <c r="AE53" s="9"/>
      <c r="AF53" s="9"/>
      <c r="AG53" s="9"/>
      <c r="AH53" s="9"/>
      <c r="AI53" s="9"/>
      <c r="AJ53" s="9"/>
      <c r="AK53" s="9"/>
      <c r="AL53" s="9"/>
      <c r="AM53" s="10"/>
      <c r="AN53" s="11"/>
      <c r="AO53" s="9"/>
      <c r="AP53" s="9"/>
      <c r="AQ53" s="9"/>
    </row>
    <row r="54" spans="1:43" x14ac:dyDescent="0.25">
      <c r="A54" s="9"/>
      <c r="B54" s="10"/>
      <c r="C54" s="9"/>
      <c r="D54" s="9"/>
      <c r="E54" s="9"/>
      <c r="F54" s="9"/>
      <c r="G54" s="9"/>
      <c r="H54" s="9"/>
      <c r="I54" s="11"/>
      <c r="J54" s="11"/>
      <c r="K54" s="11"/>
      <c r="L54" s="9"/>
      <c r="M54" s="9"/>
      <c r="N54" s="9"/>
      <c r="O54" s="9"/>
      <c r="P54" s="9"/>
      <c r="Q54" s="9"/>
      <c r="R54" s="9"/>
      <c r="S54" s="9"/>
      <c r="T54" s="9"/>
      <c r="U54" s="9"/>
      <c r="V54" s="9"/>
      <c r="W54" s="9"/>
      <c r="X54" s="11"/>
      <c r="Y54" s="9"/>
      <c r="Z54" s="10"/>
      <c r="AA54" s="9"/>
      <c r="AB54" s="9"/>
      <c r="AC54" s="10"/>
      <c r="AD54" s="9"/>
      <c r="AE54" s="9"/>
      <c r="AF54" s="9"/>
      <c r="AG54" s="9"/>
      <c r="AH54" s="9"/>
      <c r="AI54" s="9"/>
      <c r="AJ54" s="9"/>
      <c r="AK54" s="9"/>
      <c r="AL54" s="9"/>
      <c r="AM54" s="11"/>
      <c r="AN54" s="11"/>
      <c r="AO54" s="9"/>
      <c r="AP54" s="9"/>
      <c r="AQ54" s="9"/>
    </row>
    <row r="55" spans="1:43" x14ac:dyDescent="0.25">
      <c r="A55" s="9"/>
      <c r="B55" s="10"/>
      <c r="C55" s="9"/>
      <c r="D55" s="9"/>
      <c r="E55" s="9"/>
      <c r="F55" s="9"/>
      <c r="G55" s="9"/>
      <c r="H55" s="9"/>
      <c r="I55" s="11"/>
      <c r="J55" s="11"/>
      <c r="K55" s="11"/>
      <c r="L55" s="9"/>
      <c r="M55" s="9"/>
      <c r="N55" s="9"/>
      <c r="O55" s="9"/>
      <c r="P55" s="9"/>
      <c r="Q55" s="9"/>
      <c r="R55" s="9"/>
      <c r="S55" s="9"/>
      <c r="T55" s="9"/>
      <c r="U55" s="9"/>
      <c r="V55" s="9"/>
      <c r="W55" s="9"/>
      <c r="X55" s="11"/>
      <c r="Y55" s="9"/>
      <c r="Z55" s="10"/>
      <c r="AA55" s="9"/>
      <c r="AB55" s="9"/>
      <c r="AC55" s="10"/>
      <c r="AD55" s="9"/>
      <c r="AE55" s="9"/>
      <c r="AF55" s="9"/>
      <c r="AG55" s="9"/>
      <c r="AH55" s="9"/>
      <c r="AI55" s="9"/>
      <c r="AJ55" s="9"/>
      <c r="AK55" s="9"/>
      <c r="AL55" s="9"/>
      <c r="AM55" s="11"/>
      <c r="AN55" s="11"/>
      <c r="AO55" s="9"/>
      <c r="AP55" s="9"/>
      <c r="AQ55" s="9"/>
    </row>
    <row r="56" spans="1:43" x14ac:dyDescent="0.25">
      <c r="A56" s="9"/>
      <c r="B56" s="10"/>
      <c r="C56" s="9"/>
      <c r="D56" s="9"/>
      <c r="E56" s="9"/>
      <c r="F56" s="9"/>
      <c r="G56" s="9"/>
      <c r="H56" s="9"/>
      <c r="I56" s="11"/>
      <c r="J56" s="11"/>
      <c r="K56" s="11"/>
      <c r="L56" s="9"/>
      <c r="M56" s="9"/>
      <c r="N56" s="9"/>
      <c r="O56" s="9"/>
      <c r="P56" s="9"/>
      <c r="Q56" s="9"/>
      <c r="R56" s="9"/>
      <c r="S56" s="9"/>
      <c r="T56" s="9"/>
      <c r="U56" s="9"/>
      <c r="V56" s="9"/>
      <c r="W56" s="9"/>
      <c r="X56" s="11"/>
      <c r="Y56" s="9"/>
      <c r="Z56" s="10"/>
      <c r="AA56" s="9"/>
      <c r="AB56" s="9"/>
      <c r="AC56" s="11"/>
      <c r="AD56" s="9"/>
      <c r="AE56" s="9"/>
      <c r="AF56" s="9"/>
      <c r="AG56" s="9"/>
      <c r="AH56" s="9"/>
      <c r="AI56" s="9"/>
      <c r="AJ56" s="9"/>
      <c r="AK56" s="9"/>
      <c r="AL56" s="9"/>
      <c r="AM56" s="11"/>
      <c r="AN56" s="11"/>
      <c r="AO56" s="9"/>
      <c r="AP56" s="9"/>
      <c r="AQ56" s="9"/>
    </row>
    <row r="57" spans="1:43" x14ac:dyDescent="0.25">
      <c r="A57" s="9"/>
      <c r="B57" s="10"/>
      <c r="C57" s="9"/>
      <c r="D57" s="9"/>
      <c r="E57" s="9"/>
      <c r="F57" s="9"/>
      <c r="G57" s="9"/>
      <c r="H57" s="9"/>
      <c r="I57" s="11"/>
      <c r="J57" s="11"/>
      <c r="K57" s="10"/>
      <c r="L57" s="9"/>
      <c r="M57" s="9"/>
      <c r="N57" s="9"/>
      <c r="O57" s="9"/>
      <c r="P57" s="9"/>
      <c r="Q57" s="9"/>
      <c r="R57" s="9"/>
      <c r="S57" s="9"/>
      <c r="T57" s="9"/>
      <c r="U57" s="9"/>
      <c r="V57" s="9"/>
      <c r="W57" s="9"/>
      <c r="X57" s="11"/>
      <c r="Y57" s="9"/>
      <c r="Z57" s="10"/>
      <c r="AA57" s="9"/>
      <c r="AB57" s="9"/>
      <c r="AC57" s="10"/>
      <c r="AD57" s="9"/>
      <c r="AE57" s="9"/>
      <c r="AF57" s="9"/>
      <c r="AG57" s="9"/>
      <c r="AH57" s="9"/>
      <c r="AI57" s="9"/>
      <c r="AJ57" s="9"/>
      <c r="AK57" s="9"/>
      <c r="AL57" s="9"/>
      <c r="AM57" s="10"/>
      <c r="AN57" s="11"/>
      <c r="AO57" s="9"/>
      <c r="AP57" s="9"/>
      <c r="AQ57" s="9"/>
    </row>
    <row r="58" spans="1:43" x14ac:dyDescent="0.25">
      <c r="A58" s="9"/>
      <c r="B58" s="10"/>
      <c r="C58" s="9"/>
      <c r="D58" s="9"/>
      <c r="E58" s="9"/>
      <c r="F58" s="9"/>
      <c r="G58" s="9"/>
      <c r="H58" s="9"/>
      <c r="I58" s="11"/>
      <c r="J58" s="11"/>
      <c r="K58" s="10"/>
      <c r="L58" s="9"/>
      <c r="M58" s="9"/>
      <c r="N58" s="9"/>
      <c r="O58" s="9"/>
      <c r="P58" s="9"/>
      <c r="Q58" s="9"/>
      <c r="R58" s="9"/>
      <c r="S58" s="9"/>
      <c r="T58" s="9"/>
      <c r="U58" s="9"/>
      <c r="V58" s="9"/>
      <c r="W58" s="9"/>
      <c r="X58" s="11"/>
      <c r="Y58" s="9"/>
      <c r="Z58" s="10"/>
      <c r="AA58" s="9"/>
      <c r="AB58" s="9"/>
      <c r="AC58" s="10"/>
      <c r="AD58" s="9"/>
      <c r="AE58" s="9"/>
      <c r="AF58" s="9"/>
      <c r="AG58" s="9"/>
      <c r="AH58" s="9"/>
      <c r="AI58" s="9"/>
      <c r="AJ58" s="9"/>
      <c r="AK58" s="9"/>
      <c r="AL58" s="9"/>
      <c r="AM58" s="11"/>
      <c r="AN58" s="11"/>
      <c r="AO58" s="9"/>
      <c r="AP58" s="9"/>
      <c r="AQ58" s="9"/>
    </row>
    <row r="59" spans="1:43" x14ac:dyDescent="0.25">
      <c r="A59" s="9"/>
      <c r="B59" s="10"/>
      <c r="C59" s="9"/>
      <c r="D59" s="9"/>
      <c r="E59" s="9"/>
      <c r="F59" s="9"/>
      <c r="G59" s="9"/>
      <c r="H59" s="9"/>
      <c r="I59" s="11"/>
      <c r="J59" s="11"/>
      <c r="K59" s="11"/>
      <c r="L59" s="9"/>
      <c r="M59" s="9"/>
      <c r="N59" s="9"/>
      <c r="O59" s="9"/>
      <c r="P59" s="9"/>
      <c r="Q59" s="9"/>
      <c r="R59" s="9"/>
      <c r="S59" s="9"/>
      <c r="T59" s="9"/>
      <c r="U59" s="9"/>
      <c r="V59" s="9"/>
      <c r="W59" s="9"/>
      <c r="X59" s="11"/>
      <c r="Y59" s="9"/>
      <c r="Z59" s="10"/>
      <c r="AA59" s="9"/>
      <c r="AB59" s="9"/>
      <c r="AC59" s="10"/>
      <c r="AD59" s="9"/>
      <c r="AE59" s="9"/>
      <c r="AF59" s="9"/>
      <c r="AG59" s="9"/>
      <c r="AH59" s="9"/>
      <c r="AI59" s="9"/>
      <c r="AJ59" s="9"/>
      <c r="AK59" s="9"/>
      <c r="AL59" s="9"/>
      <c r="AM59" s="11"/>
      <c r="AN59" s="11"/>
      <c r="AO59" s="9"/>
      <c r="AP59" s="9"/>
      <c r="AQ59" s="9"/>
    </row>
    <row r="60" spans="1:43" x14ac:dyDescent="0.25">
      <c r="A60" s="9"/>
      <c r="B60" s="10"/>
      <c r="C60" s="9"/>
      <c r="D60" s="9"/>
      <c r="E60" s="9"/>
      <c r="F60" s="9"/>
      <c r="G60" s="9"/>
      <c r="H60" s="9"/>
      <c r="I60" s="11"/>
      <c r="J60" s="11"/>
      <c r="K60" s="10"/>
      <c r="L60" s="9"/>
      <c r="M60" s="9"/>
      <c r="N60" s="9"/>
      <c r="O60" s="9"/>
      <c r="P60" s="9"/>
      <c r="Q60" s="9"/>
      <c r="R60" s="9"/>
      <c r="S60" s="9"/>
      <c r="T60" s="9"/>
      <c r="U60" s="9"/>
      <c r="V60" s="9"/>
      <c r="W60" s="9"/>
      <c r="X60" s="11"/>
      <c r="Y60" s="9"/>
      <c r="Z60" s="10"/>
      <c r="AA60" s="9"/>
      <c r="AB60" s="9"/>
      <c r="AC60" s="10"/>
      <c r="AD60" s="9"/>
      <c r="AE60" s="9"/>
      <c r="AF60" s="9"/>
      <c r="AG60" s="9"/>
      <c r="AH60" s="9"/>
      <c r="AI60" s="9"/>
      <c r="AJ60" s="9"/>
      <c r="AK60" s="9"/>
      <c r="AL60" s="9"/>
      <c r="AM60" s="11"/>
      <c r="AN60" s="11"/>
      <c r="AO60" s="9"/>
      <c r="AP60" s="9"/>
      <c r="AQ60" s="9"/>
    </row>
    <row r="61" spans="1:43" x14ac:dyDescent="0.25">
      <c r="A61" s="9"/>
      <c r="B61" s="10"/>
      <c r="C61" s="9"/>
      <c r="D61" s="9"/>
      <c r="E61" s="9"/>
      <c r="F61" s="9"/>
      <c r="G61" s="9"/>
      <c r="H61" s="9"/>
      <c r="I61" s="11"/>
      <c r="J61" s="11"/>
      <c r="K61" s="10"/>
      <c r="L61" s="9"/>
      <c r="M61" s="9"/>
      <c r="N61" s="9"/>
      <c r="O61" s="9"/>
      <c r="P61" s="9"/>
      <c r="Q61" s="9"/>
      <c r="R61" s="9"/>
      <c r="S61" s="9"/>
      <c r="T61" s="9"/>
      <c r="U61" s="9"/>
      <c r="V61" s="9"/>
      <c r="W61" s="9"/>
      <c r="X61" s="11"/>
      <c r="Y61" s="9"/>
      <c r="Z61" s="10"/>
      <c r="AA61" s="9"/>
      <c r="AB61" s="9"/>
      <c r="AC61" s="10"/>
      <c r="AD61" s="9"/>
      <c r="AE61" s="9"/>
      <c r="AF61" s="9"/>
      <c r="AG61" s="9"/>
      <c r="AH61" s="9"/>
      <c r="AI61" s="9"/>
      <c r="AJ61" s="9"/>
      <c r="AK61" s="9"/>
      <c r="AL61" s="9"/>
      <c r="AM61" s="11"/>
      <c r="AN61" s="11"/>
      <c r="AO61" s="9"/>
      <c r="AP61" s="9"/>
      <c r="AQ61" s="9"/>
    </row>
    <row r="62" spans="1:43" x14ac:dyDescent="0.25">
      <c r="A62" s="9"/>
      <c r="B62" s="10"/>
      <c r="C62" s="9"/>
      <c r="D62" s="9"/>
      <c r="E62" s="9"/>
      <c r="F62" s="9"/>
      <c r="G62" s="9"/>
      <c r="H62" s="9"/>
      <c r="I62" s="11"/>
      <c r="J62" s="11"/>
      <c r="K62" s="11"/>
      <c r="L62" s="9"/>
      <c r="M62" s="9"/>
      <c r="N62" s="9"/>
      <c r="O62" s="9"/>
      <c r="P62" s="9"/>
      <c r="Q62" s="9"/>
      <c r="R62" s="9"/>
      <c r="S62" s="9"/>
      <c r="T62" s="9"/>
      <c r="U62" s="9"/>
      <c r="V62" s="9"/>
      <c r="W62" s="9"/>
      <c r="X62" s="11"/>
      <c r="Y62" s="9"/>
      <c r="Z62" s="10"/>
      <c r="AA62" s="9"/>
      <c r="AB62" s="9"/>
      <c r="AC62" s="11"/>
      <c r="AD62" s="9"/>
      <c r="AE62" s="9"/>
      <c r="AF62" s="9"/>
      <c r="AG62" s="9"/>
      <c r="AH62" s="9"/>
      <c r="AI62" s="9"/>
      <c r="AJ62" s="9"/>
      <c r="AK62" s="9"/>
      <c r="AL62" s="9"/>
      <c r="AM62" s="11"/>
      <c r="AN62" s="11"/>
      <c r="AO62" s="9"/>
      <c r="AP62" s="9"/>
      <c r="AQ62" s="9"/>
    </row>
    <row r="63" spans="1:43" x14ac:dyDescent="0.25">
      <c r="A63" s="9"/>
      <c r="B63" s="10"/>
      <c r="C63" s="9"/>
      <c r="D63" s="9"/>
      <c r="E63" s="9"/>
      <c r="F63" s="9"/>
      <c r="G63" s="9"/>
      <c r="H63" s="9"/>
      <c r="I63" s="11"/>
      <c r="J63" s="11"/>
      <c r="K63" s="10"/>
      <c r="L63" s="9"/>
      <c r="M63" s="9"/>
      <c r="N63" s="9"/>
      <c r="O63" s="9"/>
      <c r="P63" s="9"/>
      <c r="Q63" s="9"/>
      <c r="R63" s="9"/>
      <c r="S63" s="9"/>
      <c r="T63" s="9"/>
      <c r="U63" s="9"/>
      <c r="V63" s="9"/>
      <c r="W63" s="9"/>
      <c r="X63" s="11"/>
      <c r="Y63" s="9"/>
      <c r="Z63" s="10"/>
      <c r="AA63" s="9"/>
      <c r="AB63" s="9"/>
      <c r="AC63" s="10"/>
      <c r="AD63" s="9"/>
      <c r="AE63" s="9"/>
      <c r="AF63" s="9"/>
      <c r="AG63" s="9"/>
      <c r="AH63" s="9"/>
      <c r="AI63" s="9"/>
      <c r="AJ63" s="9"/>
      <c r="AK63" s="9"/>
      <c r="AL63" s="9"/>
      <c r="AM63" s="11"/>
      <c r="AN63" s="11"/>
      <c r="AO63" s="9"/>
      <c r="AP63" s="9"/>
      <c r="AQ63" s="9"/>
    </row>
    <row r="64" spans="1:43" x14ac:dyDescent="0.25">
      <c r="A64" s="9"/>
      <c r="B64" s="10"/>
      <c r="C64" s="9"/>
      <c r="D64" s="9"/>
      <c r="E64" s="9"/>
      <c r="F64" s="9"/>
      <c r="G64" s="9"/>
      <c r="H64" s="9"/>
      <c r="I64" s="11"/>
      <c r="J64" s="11"/>
      <c r="K64" s="10"/>
      <c r="L64" s="9"/>
      <c r="M64" s="9"/>
      <c r="N64" s="9"/>
      <c r="O64" s="9"/>
      <c r="P64" s="9"/>
      <c r="Q64" s="9"/>
      <c r="R64" s="9"/>
      <c r="S64" s="9"/>
      <c r="T64" s="9"/>
      <c r="U64" s="9"/>
      <c r="V64" s="9"/>
      <c r="W64" s="9"/>
      <c r="X64" s="11"/>
      <c r="Y64" s="9"/>
      <c r="Z64" s="10"/>
      <c r="AA64" s="9"/>
      <c r="AB64" s="9"/>
      <c r="AC64" s="10"/>
      <c r="AD64" s="9"/>
      <c r="AE64" s="9"/>
      <c r="AF64" s="9"/>
      <c r="AG64" s="9"/>
      <c r="AH64" s="9"/>
      <c r="AI64" s="9"/>
      <c r="AJ64" s="9"/>
      <c r="AK64" s="9"/>
      <c r="AL64" s="9"/>
      <c r="AM64" s="11"/>
      <c r="AN64" s="11"/>
      <c r="AO64" s="9"/>
      <c r="AP64" s="9"/>
      <c r="AQ64" s="9"/>
    </row>
    <row r="65" spans="1:43" x14ac:dyDescent="0.25">
      <c r="A65" s="9"/>
      <c r="B65" s="10"/>
      <c r="C65" s="9"/>
      <c r="D65" s="9"/>
      <c r="E65" s="9"/>
      <c r="F65" s="9"/>
      <c r="G65" s="9"/>
      <c r="H65" s="9"/>
      <c r="I65" s="11"/>
      <c r="J65" s="11"/>
      <c r="K65" s="11"/>
      <c r="L65" s="9"/>
      <c r="M65" s="9"/>
      <c r="N65" s="9"/>
      <c r="O65" s="9"/>
      <c r="P65" s="9"/>
      <c r="Q65" s="9"/>
      <c r="R65" s="9"/>
      <c r="S65" s="9"/>
      <c r="T65" s="9"/>
      <c r="U65" s="9"/>
      <c r="V65" s="9"/>
      <c r="W65" s="9"/>
      <c r="X65" s="11"/>
      <c r="Y65" s="9"/>
      <c r="Z65" s="10"/>
      <c r="AA65" s="9"/>
      <c r="AB65" s="9"/>
      <c r="AC65" s="11"/>
      <c r="AD65" s="9"/>
      <c r="AE65" s="9"/>
      <c r="AF65" s="9"/>
      <c r="AG65" s="9"/>
      <c r="AH65" s="9"/>
      <c r="AI65" s="9"/>
      <c r="AJ65" s="9"/>
      <c r="AK65" s="9"/>
      <c r="AL65" s="9"/>
      <c r="AM65" s="11"/>
      <c r="AN65" s="11"/>
      <c r="AO65" s="9"/>
      <c r="AP65" s="9"/>
      <c r="AQ65" s="9"/>
    </row>
    <row r="66" spans="1:43" x14ac:dyDescent="0.25">
      <c r="A66" s="9"/>
      <c r="B66" s="10"/>
      <c r="C66" s="9"/>
      <c r="D66" s="9"/>
      <c r="E66" s="9"/>
      <c r="F66" s="9"/>
      <c r="G66" s="9"/>
      <c r="H66" s="9"/>
      <c r="I66" s="11"/>
      <c r="J66" s="11"/>
      <c r="K66" s="10"/>
      <c r="L66" s="9"/>
      <c r="M66" s="9"/>
      <c r="N66" s="9"/>
      <c r="O66" s="9"/>
      <c r="P66" s="9"/>
      <c r="Q66" s="9"/>
      <c r="R66" s="9"/>
      <c r="S66" s="9"/>
      <c r="T66" s="9"/>
      <c r="U66" s="9"/>
      <c r="V66" s="9"/>
      <c r="W66" s="9"/>
      <c r="X66" s="11"/>
      <c r="Y66" s="9"/>
      <c r="Z66" s="10"/>
      <c r="AA66" s="9"/>
      <c r="AB66" s="9"/>
      <c r="AC66" s="10"/>
      <c r="AD66" s="9"/>
      <c r="AE66" s="9"/>
      <c r="AF66" s="9"/>
      <c r="AG66" s="9"/>
      <c r="AH66" s="9"/>
      <c r="AI66" s="9"/>
      <c r="AJ66" s="9"/>
      <c r="AK66" s="9"/>
      <c r="AL66" s="9"/>
      <c r="AM66" s="10"/>
      <c r="AN66" s="11"/>
      <c r="AO66" s="9"/>
      <c r="AP66" s="9"/>
      <c r="AQ66" s="9"/>
    </row>
    <row r="67" spans="1:43" x14ac:dyDescent="0.25">
      <c r="A67" s="9"/>
      <c r="B67" s="10"/>
      <c r="C67" s="9"/>
      <c r="D67" s="9"/>
      <c r="E67" s="9"/>
      <c r="F67" s="9"/>
      <c r="G67" s="9"/>
      <c r="H67" s="9"/>
      <c r="I67" s="11"/>
      <c r="J67" s="11"/>
      <c r="K67" s="10"/>
      <c r="L67" s="9"/>
      <c r="M67" s="9"/>
      <c r="N67" s="9"/>
      <c r="O67" s="9"/>
      <c r="P67" s="9"/>
      <c r="Q67" s="9"/>
      <c r="R67" s="9"/>
      <c r="S67" s="9"/>
      <c r="T67" s="9"/>
      <c r="U67" s="9"/>
      <c r="V67" s="9"/>
      <c r="W67" s="9"/>
      <c r="X67" s="11"/>
      <c r="Y67" s="9"/>
      <c r="Z67" s="10"/>
      <c r="AA67" s="9"/>
      <c r="AB67" s="9"/>
      <c r="AC67" s="10"/>
      <c r="AD67" s="9"/>
      <c r="AE67" s="9"/>
      <c r="AF67" s="9"/>
      <c r="AG67" s="9"/>
      <c r="AH67" s="9"/>
      <c r="AI67" s="9"/>
      <c r="AJ67" s="9"/>
      <c r="AK67" s="9"/>
      <c r="AL67" s="9"/>
      <c r="AM67" s="11"/>
      <c r="AN67" s="11"/>
      <c r="AO67" s="9"/>
      <c r="AP67" s="9"/>
      <c r="AQ67" s="9"/>
    </row>
    <row r="68" spans="1:43" x14ac:dyDescent="0.25">
      <c r="A68" s="9"/>
      <c r="B68" s="10"/>
      <c r="C68" s="9"/>
      <c r="D68" s="9"/>
      <c r="E68" s="9"/>
      <c r="F68" s="9"/>
      <c r="G68" s="9"/>
      <c r="H68" s="9"/>
      <c r="I68" s="11"/>
      <c r="J68" s="11"/>
      <c r="K68" s="11"/>
      <c r="L68" s="9"/>
      <c r="M68" s="9"/>
      <c r="N68" s="9"/>
      <c r="O68" s="9"/>
      <c r="P68" s="9"/>
      <c r="Q68" s="9"/>
      <c r="R68" s="9"/>
      <c r="S68" s="9"/>
      <c r="T68" s="9"/>
      <c r="U68" s="9"/>
      <c r="V68" s="9"/>
      <c r="W68" s="9"/>
      <c r="X68" s="11"/>
      <c r="Y68" s="9"/>
      <c r="Z68" s="10"/>
      <c r="AA68" s="9"/>
      <c r="AB68" s="9"/>
      <c r="AC68" s="11"/>
      <c r="AD68" s="9"/>
      <c r="AE68" s="9"/>
      <c r="AF68" s="9"/>
      <c r="AG68" s="9"/>
      <c r="AH68" s="9"/>
      <c r="AI68" s="9"/>
      <c r="AJ68" s="9"/>
      <c r="AK68" s="9"/>
      <c r="AL68" s="9"/>
      <c r="AM68" s="11"/>
      <c r="AN68" s="11"/>
      <c r="AO68" s="9"/>
      <c r="AP68" s="9"/>
      <c r="AQ68" s="9"/>
    </row>
    <row r="69" spans="1:43" x14ac:dyDescent="0.25">
      <c r="A69" s="9"/>
      <c r="B69" s="10"/>
      <c r="C69" s="9"/>
      <c r="D69" s="9"/>
      <c r="E69" s="9"/>
      <c r="F69" s="9"/>
      <c r="G69" s="9"/>
      <c r="H69" s="9"/>
      <c r="I69" s="11"/>
      <c r="J69" s="11"/>
      <c r="K69" s="11"/>
      <c r="L69" s="9"/>
      <c r="M69" s="9"/>
      <c r="N69" s="9"/>
      <c r="O69" s="9"/>
      <c r="P69" s="9"/>
      <c r="Q69" s="9"/>
      <c r="R69" s="9"/>
      <c r="S69" s="9"/>
      <c r="T69" s="9"/>
      <c r="U69" s="9"/>
      <c r="V69" s="9"/>
      <c r="W69" s="9"/>
      <c r="X69" s="11"/>
      <c r="Y69" s="9"/>
      <c r="Z69" s="10"/>
      <c r="AA69" s="9"/>
      <c r="AB69" s="9"/>
      <c r="AC69" s="11"/>
      <c r="AD69" s="9"/>
      <c r="AE69" s="9"/>
      <c r="AF69" s="9"/>
      <c r="AG69" s="9"/>
      <c r="AH69" s="9"/>
      <c r="AI69" s="9"/>
      <c r="AJ69" s="9"/>
      <c r="AK69" s="9"/>
      <c r="AL69" s="9"/>
      <c r="AM69" s="11"/>
      <c r="AN69" s="11"/>
      <c r="AO69" s="9"/>
      <c r="AP69" s="9"/>
      <c r="AQ69" s="9"/>
    </row>
    <row r="70" spans="1:43" x14ac:dyDescent="0.25">
      <c r="A70" s="9"/>
      <c r="B70" s="10"/>
      <c r="C70" s="9"/>
      <c r="D70" s="9"/>
      <c r="E70" s="9"/>
      <c r="F70" s="9"/>
      <c r="G70" s="9"/>
      <c r="H70" s="9"/>
      <c r="I70" s="11"/>
      <c r="J70" s="11"/>
      <c r="K70" s="11"/>
      <c r="L70" s="9"/>
      <c r="M70" s="9"/>
      <c r="N70" s="9"/>
      <c r="O70" s="9"/>
      <c r="P70" s="9"/>
      <c r="Q70" s="9"/>
      <c r="R70" s="9"/>
      <c r="S70" s="9"/>
      <c r="T70" s="9"/>
      <c r="U70" s="9"/>
      <c r="V70" s="9"/>
      <c r="W70" s="9"/>
      <c r="X70" s="11"/>
      <c r="Y70" s="9"/>
      <c r="Z70" s="10"/>
      <c r="AA70" s="9"/>
      <c r="AB70" s="9"/>
      <c r="AC70" s="11"/>
      <c r="AD70" s="9"/>
      <c r="AE70" s="9"/>
      <c r="AF70" s="9"/>
      <c r="AG70" s="9"/>
      <c r="AH70" s="9"/>
      <c r="AI70" s="9"/>
      <c r="AJ70" s="9"/>
      <c r="AK70" s="9"/>
      <c r="AL70" s="9"/>
      <c r="AM70" s="11"/>
      <c r="AN70" s="11"/>
      <c r="AO70" s="9"/>
      <c r="AP70" s="9"/>
      <c r="AQ70" s="9"/>
    </row>
    <row r="71" spans="1:43" x14ac:dyDescent="0.25">
      <c r="A71" s="9"/>
      <c r="B71" s="10"/>
      <c r="C71" s="9"/>
      <c r="D71" s="9"/>
      <c r="E71" s="9"/>
      <c r="F71" s="9"/>
      <c r="G71" s="9"/>
      <c r="H71" s="9"/>
      <c r="I71" s="11"/>
      <c r="J71" s="11"/>
      <c r="K71" s="10"/>
      <c r="L71" s="9"/>
      <c r="M71" s="9"/>
      <c r="N71" s="9"/>
      <c r="O71" s="9"/>
      <c r="P71" s="9"/>
      <c r="Q71" s="9"/>
      <c r="R71" s="9"/>
      <c r="S71" s="9"/>
      <c r="T71" s="9"/>
      <c r="U71" s="9"/>
      <c r="V71" s="9"/>
      <c r="W71" s="9"/>
      <c r="X71" s="11"/>
      <c r="Y71" s="9"/>
      <c r="Z71" s="10"/>
      <c r="AA71" s="9"/>
      <c r="AB71" s="9"/>
      <c r="AC71" s="10"/>
      <c r="AD71" s="9"/>
      <c r="AE71" s="9"/>
      <c r="AF71" s="9"/>
      <c r="AG71" s="9"/>
      <c r="AH71" s="9"/>
      <c r="AI71" s="9"/>
      <c r="AJ71" s="9"/>
      <c r="AK71" s="9"/>
      <c r="AL71" s="9"/>
      <c r="AM71" s="11"/>
      <c r="AN71" s="11"/>
      <c r="AO71" s="9"/>
      <c r="AP71" s="9"/>
      <c r="AQ71" s="9"/>
    </row>
    <row r="72" spans="1:43" x14ac:dyDescent="0.25">
      <c r="A72" s="9"/>
      <c r="B72" s="10"/>
      <c r="C72" s="9"/>
      <c r="D72" s="9"/>
      <c r="E72" s="9"/>
      <c r="F72" s="9"/>
      <c r="G72" s="9"/>
      <c r="H72" s="9"/>
      <c r="I72" s="11"/>
      <c r="J72" s="11"/>
      <c r="K72" s="10"/>
      <c r="L72" s="9"/>
      <c r="M72" s="9"/>
      <c r="N72" s="9"/>
      <c r="O72" s="9"/>
      <c r="P72" s="9"/>
      <c r="Q72" s="9"/>
      <c r="R72" s="9"/>
      <c r="S72" s="9"/>
      <c r="T72" s="9"/>
      <c r="U72" s="9"/>
      <c r="V72" s="9"/>
      <c r="W72" s="9"/>
      <c r="X72" s="11"/>
      <c r="Y72" s="9"/>
      <c r="Z72" s="10"/>
      <c r="AA72" s="9"/>
      <c r="AB72" s="9"/>
      <c r="AC72" s="10"/>
      <c r="AD72" s="9"/>
      <c r="AE72" s="9"/>
      <c r="AF72" s="9"/>
      <c r="AG72" s="9"/>
      <c r="AH72" s="9"/>
      <c r="AI72" s="9"/>
      <c r="AJ72" s="9"/>
      <c r="AK72" s="9"/>
      <c r="AL72" s="9"/>
      <c r="AM72" s="11"/>
      <c r="AN72" s="11"/>
      <c r="AO72" s="9"/>
      <c r="AP72" s="9"/>
      <c r="AQ72" s="9"/>
    </row>
    <row r="73" spans="1:43" x14ac:dyDescent="0.25">
      <c r="A73" s="9"/>
      <c r="B73" s="10"/>
      <c r="C73" s="9"/>
      <c r="D73" s="9"/>
      <c r="E73" s="9"/>
      <c r="F73" s="9"/>
      <c r="G73" s="9"/>
      <c r="H73" s="9"/>
      <c r="I73" s="11"/>
      <c r="J73" s="11"/>
      <c r="K73" s="11"/>
      <c r="L73" s="9"/>
      <c r="M73" s="9"/>
      <c r="N73" s="9"/>
      <c r="O73" s="9"/>
      <c r="P73" s="9"/>
      <c r="Q73" s="9"/>
      <c r="R73" s="9"/>
      <c r="S73" s="9"/>
      <c r="T73" s="9"/>
      <c r="U73" s="9"/>
      <c r="V73" s="9"/>
      <c r="W73" s="9"/>
      <c r="X73" s="11"/>
      <c r="Y73" s="9"/>
      <c r="Z73" s="10"/>
      <c r="AA73" s="9"/>
      <c r="AB73" s="9"/>
      <c r="AC73" s="11"/>
      <c r="AD73" s="9"/>
      <c r="AE73" s="9"/>
      <c r="AF73" s="9"/>
      <c r="AG73" s="9"/>
      <c r="AH73" s="9"/>
      <c r="AI73" s="9"/>
      <c r="AJ73" s="9"/>
      <c r="AK73" s="9"/>
      <c r="AL73" s="9"/>
      <c r="AM73" s="11"/>
      <c r="AN73" s="11"/>
      <c r="AO73" s="9"/>
      <c r="AP73" s="9"/>
      <c r="AQ73" s="9"/>
    </row>
    <row r="74" spans="1:43" x14ac:dyDescent="0.25">
      <c r="A74" s="9"/>
      <c r="B74" s="10"/>
      <c r="C74" s="9"/>
      <c r="D74" s="9"/>
      <c r="E74" s="9"/>
      <c r="F74" s="9"/>
      <c r="G74" s="9"/>
      <c r="H74" s="9"/>
      <c r="I74" s="11"/>
      <c r="J74" s="11"/>
      <c r="K74" s="11"/>
      <c r="L74" s="9"/>
      <c r="M74" s="9"/>
      <c r="N74" s="9"/>
      <c r="O74" s="9"/>
      <c r="P74" s="9"/>
      <c r="Q74" s="9"/>
      <c r="R74" s="9"/>
      <c r="S74" s="9"/>
      <c r="T74" s="9"/>
      <c r="U74" s="9"/>
      <c r="V74" s="9"/>
      <c r="W74" s="9"/>
      <c r="X74" s="11"/>
      <c r="Y74" s="9"/>
      <c r="Z74" s="10"/>
      <c r="AA74" s="9"/>
      <c r="AB74" s="9"/>
      <c r="AC74" s="11"/>
      <c r="AD74" s="9"/>
      <c r="AE74" s="9"/>
      <c r="AF74" s="9"/>
      <c r="AG74" s="9"/>
      <c r="AH74" s="9"/>
      <c r="AI74" s="9"/>
      <c r="AJ74" s="9"/>
      <c r="AK74" s="9"/>
      <c r="AL74" s="9"/>
      <c r="AM74" s="11"/>
      <c r="AN74" s="11"/>
      <c r="AO74" s="9"/>
      <c r="AP74" s="9"/>
      <c r="AQ74" s="9"/>
    </row>
    <row r="75" spans="1:43" x14ac:dyDescent="0.25">
      <c r="A75" s="9"/>
      <c r="B75" s="10"/>
      <c r="C75" s="9"/>
      <c r="D75" s="9"/>
      <c r="E75" s="9"/>
      <c r="F75" s="9"/>
      <c r="G75" s="9"/>
      <c r="H75" s="9"/>
      <c r="I75" s="11"/>
      <c r="J75" s="11"/>
      <c r="K75" s="11"/>
      <c r="L75" s="9"/>
      <c r="M75" s="9"/>
      <c r="N75" s="9"/>
      <c r="O75" s="9"/>
      <c r="P75" s="9"/>
      <c r="Q75" s="9"/>
      <c r="R75" s="9"/>
      <c r="S75" s="9"/>
      <c r="T75" s="9"/>
      <c r="U75" s="9"/>
      <c r="V75" s="9"/>
      <c r="W75" s="9"/>
      <c r="X75" s="11"/>
      <c r="Y75" s="9"/>
      <c r="Z75" s="10"/>
      <c r="AA75" s="9"/>
      <c r="AB75" s="9"/>
      <c r="AC75" s="10"/>
      <c r="AD75" s="9"/>
      <c r="AE75" s="9"/>
      <c r="AF75" s="9"/>
      <c r="AG75" s="9"/>
      <c r="AH75" s="9"/>
      <c r="AI75" s="9"/>
      <c r="AJ75" s="9"/>
      <c r="AK75" s="9"/>
      <c r="AL75" s="9"/>
      <c r="AM75" s="11"/>
      <c r="AN75" s="11"/>
      <c r="AO75" s="9"/>
      <c r="AP75" s="9"/>
      <c r="AQ75" s="9"/>
    </row>
    <row r="76" spans="1:43" x14ac:dyDescent="0.25">
      <c r="A76" s="9"/>
      <c r="B76" s="10"/>
      <c r="C76" s="9"/>
      <c r="D76" s="9"/>
      <c r="E76" s="9"/>
      <c r="F76" s="9"/>
      <c r="G76" s="9"/>
      <c r="H76" s="9"/>
      <c r="I76" s="11"/>
      <c r="J76" s="11"/>
      <c r="K76" s="10"/>
      <c r="L76" s="9"/>
      <c r="M76" s="9"/>
      <c r="N76" s="9"/>
      <c r="O76" s="9"/>
      <c r="P76" s="9"/>
      <c r="Q76" s="9"/>
      <c r="R76" s="9"/>
      <c r="S76" s="9"/>
      <c r="T76" s="9"/>
      <c r="U76" s="9"/>
      <c r="V76" s="9"/>
      <c r="W76" s="9"/>
      <c r="X76" s="11"/>
      <c r="Y76" s="9"/>
      <c r="Z76" s="10"/>
      <c r="AA76" s="9"/>
      <c r="AB76" s="9"/>
      <c r="AC76" s="10"/>
      <c r="AD76" s="9"/>
      <c r="AE76" s="9"/>
      <c r="AF76" s="9"/>
      <c r="AG76" s="9"/>
      <c r="AH76" s="9"/>
      <c r="AI76" s="9"/>
      <c r="AJ76" s="9"/>
      <c r="AK76" s="9"/>
      <c r="AL76" s="9"/>
      <c r="AM76" s="11"/>
      <c r="AN76" s="11"/>
      <c r="AO76" s="9"/>
      <c r="AP76" s="9"/>
      <c r="AQ76" s="9"/>
    </row>
    <row r="77" spans="1:43" x14ac:dyDescent="0.25">
      <c r="A77" s="9"/>
      <c r="B77" s="10"/>
      <c r="C77" s="9"/>
      <c r="D77" s="9"/>
      <c r="E77" s="9"/>
      <c r="F77" s="9"/>
      <c r="G77" s="9"/>
      <c r="H77" s="9"/>
      <c r="I77" s="11"/>
      <c r="J77" s="11"/>
      <c r="K77" s="10"/>
      <c r="L77" s="9"/>
      <c r="M77" s="9"/>
      <c r="N77" s="9"/>
      <c r="O77" s="9"/>
      <c r="P77" s="9"/>
      <c r="Q77" s="9"/>
      <c r="R77" s="9"/>
      <c r="S77" s="9"/>
      <c r="T77" s="9"/>
      <c r="U77" s="9"/>
      <c r="V77" s="9"/>
      <c r="W77" s="9"/>
      <c r="X77" s="11"/>
      <c r="Y77" s="9"/>
      <c r="Z77" s="10"/>
      <c r="AA77" s="9"/>
      <c r="AB77" s="9"/>
      <c r="AC77" s="10"/>
      <c r="AD77" s="9"/>
      <c r="AE77" s="9"/>
      <c r="AF77" s="9"/>
      <c r="AG77" s="9"/>
      <c r="AH77" s="9"/>
      <c r="AI77" s="9"/>
      <c r="AJ77" s="9"/>
      <c r="AK77" s="9"/>
      <c r="AL77" s="9"/>
      <c r="AM77" s="11"/>
      <c r="AN77" s="11"/>
      <c r="AO77" s="9"/>
      <c r="AP77" s="9"/>
      <c r="AQ77" s="9"/>
    </row>
    <row r="78" spans="1:43" x14ac:dyDescent="0.25">
      <c r="A78" s="9"/>
      <c r="B78" s="10"/>
      <c r="C78" s="9"/>
      <c r="D78" s="9"/>
      <c r="E78" s="9"/>
      <c r="F78" s="9"/>
      <c r="G78" s="9"/>
      <c r="H78" s="9"/>
      <c r="I78" s="11"/>
      <c r="J78" s="11"/>
      <c r="K78" s="10"/>
      <c r="L78" s="9"/>
      <c r="M78" s="9"/>
      <c r="N78" s="9"/>
      <c r="O78" s="9"/>
      <c r="P78" s="9"/>
      <c r="Q78" s="9"/>
      <c r="R78" s="9"/>
      <c r="S78" s="9"/>
      <c r="T78" s="9"/>
      <c r="U78" s="9"/>
      <c r="V78" s="9"/>
      <c r="W78" s="9"/>
      <c r="X78" s="11"/>
      <c r="Y78" s="9"/>
      <c r="Z78" s="10"/>
      <c r="AA78" s="9"/>
      <c r="AB78" s="9"/>
      <c r="AC78" s="10"/>
      <c r="AD78" s="9"/>
      <c r="AE78" s="9"/>
      <c r="AF78" s="9"/>
      <c r="AG78" s="9"/>
      <c r="AH78" s="9"/>
      <c r="AI78" s="9"/>
      <c r="AJ78" s="9"/>
      <c r="AK78" s="9"/>
      <c r="AL78" s="9"/>
      <c r="AM78" s="11"/>
      <c r="AN78" s="11"/>
      <c r="AO78" s="9"/>
      <c r="AP78" s="9"/>
      <c r="AQ78" s="9"/>
    </row>
    <row r="79" spans="1:43" x14ac:dyDescent="0.25">
      <c r="A79" s="9"/>
      <c r="B79" s="10"/>
      <c r="C79" s="9"/>
      <c r="D79" s="9"/>
      <c r="E79" s="9"/>
      <c r="F79" s="9"/>
      <c r="G79" s="9"/>
      <c r="H79" s="9"/>
      <c r="I79" s="11"/>
      <c r="J79" s="11"/>
      <c r="K79" s="10"/>
      <c r="L79" s="9"/>
      <c r="M79" s="9"/>
      <c r="N79" s="9"/>
      <c r="O79" s="9"/>
      <c r="P79" s="9"/>
      <c r="Q79" s="9"/>
      <c r="R79" s="9"/>
      <c r="S79" s="9"/>
      <c r="T79" s="9"/>
      <c r="U79" s="9"/>
      <c r="V79" s="9"/>
      <c r="W79" s="9"/>
      <c r="X79" s="11"/>
      <c r="Y79" s="9"/>
      <c r="Z79" s="10"/>
      <c r="AA79" s="9"/>
      <c r="AB79" s="9"/>
      <c r="AC79" s="10"/>
      <c r="AD79" s="9"/>
      <c r="AE79" s="9"/>
      <c r="AF79" s="9"/>
      <c r="AG79" s="9"/>
      <c r="AH79" s="9"/>
      <c r="AI79" s="9"/>
      <c r="AJ79" s="9"/>
      <c r="AK79" s="9"/>
      <c r="AL79" s="9"/>
      <c r="AM79" s="10"/>
      <c r="AN79" s="11"/>
      <c r="AO79" s="9"/>
      <c r="AP79" s="9"/>
      <c r="AQ79" s="9"/>
    </row>
    <row r="80" spans="1:43" x14ac:dyDescent="0.25">
      <c r="A80" s="9"/>
      <c r="B80" s="10"/>
      <c r="C80" s="9"/>
      <c r="D80" s="9"/>
      <c r="E80" s="9"/>
      <c r="F80" s="9"/>
      <c r="G80" s="9"/>
      <c r="H80" s="9"/>
      <c r="I80" s="11"/>
      <c r="J80" s="11"/>
      <c r="K80" s="11"/>
      <c r="L80" s="9"/>
      <c r="M80" s="9"/>
      <c r="N80" s="9"/>
      <c r="O80" s="9"/>
      <c r="P80" s="9"/>
      <c r="Q80" s="9"/>
      <c r="R80" s="9"/>
      <c r="S80" s="9"/>
      <c r="T80" s="9"/>
      <c r="U80" s="9"/>
      <c r="V80" s="9"/>
      <c r="W80" s="9"/>
      <c r="X80" s="11"/>
      <c r="Y80" s="9"/>
      <c r="Z80" s="10"/>
      <c r="AA80" s="9"/>
      <c r="AB80" s="9"/>
      <c r="AC80" s="10"/>
      <c r="AD80" s="9"/>
      <c r="AE80" s="9"/>
      <c r="AF80" s="9"/>
      <c r="AG80" s="9"/>
      <c r="AH80" s="9"/>
      <c r="AI80" s="9"/>
      <c r="AJ80" s="9"/>
      <c r="AK80" s="9"/>
      <c r="AL80" s="9"/>
      <c r="AM80" s="11"/>
      <c r="AN80" s="11"/>
      <c r="AO80" s="9"/>
      <c r="AP80" s="9"/>
      <c r="AQ80" s="9"/>
    </row>
    <row r="81" spans="1:43" x14ac:dyDescent="0.25">
      <c r="A81" s="9"/>
      <c r="B81" s="10"/>
      <c r="C81" s="9"/>
      <c r="D81" s="9"/>
      <c r="E81" s="9"/>
      <c r="F81" s="9"/>
      <c r="G81" s="9"/>
      <c r="H81" s="9"/>
      <c r="I81" s="11"/>
      <c r="J81" s="11"/>
      <c r="K81" s="11"/>
      <c r="L81" s="9"/>
      <c r="M81" s="9"/>
      <c r="N81" s="9"/>
      <c r="O81" s="9"/>
      <c r="P81" s="9"/>
      <c r="Q81" s="9"/>
      <c r="R81" s="9"/>
      <c r="S81" s="9"/>
      <c r="T81" s="9"/>
      <c r="U81" s="9"/>
      <c r="V81" s="9"/>
      <c r="W81" s="9"/>
      <c r="X81" s="11"/>
      <c r="Y81" s="9"/>
      <c r="Z81" s="10"/>
      <c r="AA81" s="9"/>
      <c r="AB81" s="9"/>
      <c r="AC81" s="11"/>
      <c r="AD81" s="9"/>
      <c r="AE81" s="9"/>
      <c r="AF81" s="9"/>
      <c r="AG81" s="9"/>
      <c r="AH81" s="9"/>
      <c r="AI81" s="9"/>
      <c r="AJ81" s="9"/>
      <c r="AK81" s="9"/>
      <c r="AL81" s="9"/>
      <c r="AM81" s="11"/>
      <c r="AN81" s="11"/>
      <c r="AO81" s="9"/>
      <c r="AP81" s="9"/>
      <c r="AQ81" s="9"/>
    </row>
    <row r="82" spans="1:43" x14ac:dyDescent="0.25">
      <c r="A82" s="9"/>
      <c r="B82" s="10"/>
      <c r="C82" s="9"/>
      <c r="D82" s="9"/>
      <c r="E82" s="9"/>
      <c r="F82" s="9"/>
      <c r="G82" s="9"/>
      <c r="H82" s="9"/>
      <c r="I82" s="11"/>
      <c r="J82" s="11"/>
      <c r="K82" s="10"/>
      <c r="L82" s="9"/>
      <c r="M82" s="9"/>
      <c r="N82" s="9"/>
      <c r="O82" s="9"/>
      <c r="P82" s="9"/>
      <c r="Q82" s="9"/>
      <c r="R82" s="9"/>
      <c r="S82" s="9"/>
      <c r="T82" s="9"/>
      <c r="U82" s="9"/>
      <c r="V82" s="9"/>
      <c r="W82" s="9"/>
      <c r="X82" s="11"/>
      <c r="Y82" s="9"/>
      <c r="Z82" s="10"/>
      <c r="AA82" s="9"/>
      <c r="AB82" s="9"/>
      <c r="AC82" s="11"/>
      <c r="AD82" s="9"/>
      <c r="AE82" s="9"/>
      <c r="AF82" s="9"/>
      <c r="AG82" s="9"/>
      <c r="AH82" s="9"/>
      <c r="AI82" s="9"/>
      <c r="AJ82" s="9"/>
      <c r="AK82" s="9"/>
      <c r="AL82" s="9"/>
      <c r="AM82" s="11"/>
      <c r="AN82" s="11"/>
      <c r="AO82" s="9"/>
      <c r="AP82" s="9"/>
      <c r="AQ82" s="9"/>
    </row>
    <row r="83" spans="1:43" x14ac:dyDescent="0.25">
      <c r="A83" s="9"/>
      <c r="B83" s="10"/>
      <c r="C83" s="9"/>
      <c r="D83" s="9"/>
      <c r="E83" s="9"/>
      <c r="F83" s="9"/>
      <c r="G83" s="9"/>
      <c r="H83" s="9"/>
      <c r="I83" s="11"/>
      <c r="J83" s="11"/>
      <c r="K83" s="11"/>
      <c r="L83" s="9"/>
      <c r="M83" s="9"/>
      <c r="N83" s="9"/>
      <c r="O83" s="9"/>
      <c r="P83" s="9"/>
      <c r="Q83" s="9"/>
      <c r="R83" s="9"/>
      <c r="S83" s="9"/>
      <c r="T83" s="9"/>
      <c r="U83" s="9"/>
      <c r="V83" s="9"/>
      <c r="W83" s="9"/>
      <c r="X83" s="11"/>
      <c r="Y83" s="9"/>
      <c r="Z83" s="10"/>
      <c r="AA83" s="9"/>
      <c r="AB83" s="9"/>
      <c r="AC83" s="10"/>
      <c r="AD83" s="9"/>
      <c r="AE83" s="9"/>
      <c r="AF83" s="9"/>
      <c r="AG83" s="9"/>
      <c r="AH83" s="9"/>
      <c r="AI83" s="9"/>
      <c r="AJ83" s="9"/>
      <c r="AK83" s="9"/>
      <c r="AL83" s="9"/>
      <c r="AM83" s="11"/>
      <c r="AN83" s="11"/>
      <c r="AO83" s="9"/>
      <c r="AP83" s="9"/>
      <c r="AQ83" s="9"/>
    </row>
    <row r="84" spans="1:43" x14ac:dyDescent="0.25">
      <c r="A84" s="9"/>
      <c r="B84" s="10"/>
      <c r="C84" s="9"/>
      <c r="D84" s="9"/>
      <c r="E84" s="9"/>
      <c r="F84" s="9"/>
      <c r="G84" s="9"/>
      <c r="H84" s="9"/>
      <c r="I84" s="11"/>
      <c r="J84" s="11"/>
      <c r="K84" s="11"/>
      <c r="L84" s="9"/>
      <c r="M84" s="9"/>
      <c r="N84" s="9"/>
      <c r="O84" s="9"/>
      <c r="P84" s="9"/>
      <c r="Q84" s="9"/>
      <c r="R84" s="9"/>
      <c r="S84" s="9"/>
      <c r="T84" s="9"/>
      <c r="U84" s="9"/>
      <c r="V84" s="9"/>
      <c r="W84" s="9"/>
      <c r="X84" s="11"/>
      <c r="Y84" s="9"/>
      <c r="Z84" s="10"/>
      <c r="AA84" s="9"/>
      <c r="AB84" s="9"/>
      <c r="AC84" s="10"/>
      <c r="AD84" s="9"/>
      <c r="AE84" s="9"/>
      <c r="AF84" s="9"/>
      <c r="AG84" s="9"/>
      <c r="AH84" s="9"/>
      <c r="AI84" s="9"/>
      <c r="AJ84" s="9"/>
      <c r="AK84" s="9"/>
      <c r="AL84" s="9"/>
      <c r="AM84" s="11"/>
      <c r="AN84" s="11"/>
      <c r="AO84" s="9"/>
      <c r="AP84" s="9"/>
      <c r="AQ84" s="9"/>
    </row>
    <row r="85" spans="1:43" x14ac:dyDescent="0.25">
      <c r="A85" s="9"/>
      <c r="B85" s="10"/>
      <c r="C85" s="9"/>
      <c r="D85" s="9"/>
      <c r="E85" s="9"/>
      <c r="F85" s="9"/>
      <c r="G85" s="9"/>
      <c r="H85" s="9"/>
      <c r="I85" s="11"/>
      <c r="J85" s="11"/>
      <c r="K85" s="10"/>
      <c r="L85" s="9"/>
      <c r="M85" s="9"/>
      <c r="N85" s="9"/>
      <c r="O85" s="9"/>
      <c r="P85" s="9"/>
      <c r="Q85" s="9"/>
      <c r="R85" s="9"/>
      <c r="S85" s="9"/>
      <c r="T85" s="9"/>
      <c r="U85" s="9"/>
      <c r="V85" s="9"/>
      <c r="W85" s="9"/>
      <c r="X85" s="11"/>
      <c r="Y85" s="9"/>
      <c r="Z85" s="10"/>
      <c r="AA85" s="9"/>
      <c r="AB85" s="9"/>
      <c r="AC85" s="10"/>
      <c r="AD85" s="9"/>
      <c r="AE85" s="9"/>
      <c r="AF85" s="9"/>
      <c r="AG85" s="9"/>
      <c r="AH85" s="9"/>
      <c r="AI85" s="9"/>
      <c r="AJ85" s="9"/>
      <c r="AK85" s="9"/>
      <c r="AL85" s="9"/>
      <c r="AM85" s="10"/>
      <c r="AN85" s="11"/>
      <c r="AO85" s="9"/>
      <c r="AP85" s="9"/>
      <c r="AQ85" s="9"/>
    </row>
    <row r="86" spans="1:43" x14ac:dyDescent="0.25">
      <c r="A86" s="9"/>
      <c r="B86" s="10"/>
      <c r="C86" s="9"/>
      <c r="D86" s="9"/>
      <c r="E86" s="9"/>
      <c r="F86" s="9"/>
      <c r="G86" s="9"/>
      <c r="H86" s="9"/>
      <c r="I86" s="11"/>
      <c r="J86" s="11"/>
      <c r="K86" s="10"/>
      <c r="L86" s="9"/>
      <c r="M86" s="9"/>
      <c r="N86" s="9"/>
      <c r="O86" s="9"/>
      <c r="P86" s="9"/>
      <c r="Q86" s="9"/>
      <c r="R86" s="9"/>
      <c r="S86" s="9"/>
      <c r="T86" s="9"/>
      <c r="U86" s="9"/>
      <c r="V86" s="9"/>
      <c r="W86" s="9"/>
      <c r="X86" s="11"/>
      <c r="Y86" s="9"/>
      <c r="Z86" s="10"/>
      <c r="AA86" s="9"/>
      <c r="AB86" s="9"/>
      <c r="AC86" s="10"/>
      <c r="AD86" s="9"/>
      <c r="AE86" s="9"/>
      <c r="AF86" s="9"/>
      <c r="AG86" s="9"/>
      <c r="AH86" s="9"/>
      <c r="AI86" s="9"/>
      <c r="AJ86" s="9"/>
      <c r="AK86" s="9"/>
      <c r="AL86" s="9"/>
      <c r="AM86" s="11"/>
      <c r="AN86" s="11"/>
      <c r="AO86" s="9"/>
      <c r="AP86" s="9"/>
      <c r="AQ86" s="9"/>
    </row>
    <row r="87" spans="1:43" x14ac:dyDescent="0.25">
      <c r="A87" s="9"/>
      <c r="B87" s="10"/>
      <c r="C87" s="9"/>
      <c r="D87" s="9"/>
      <c r="E87" s="9"/>
      <c r="F87" s="9"/>
      <c r="G87" s="9"/>
      <c r="H87" s="9"/>
      <c r="I87" s="11"/>
      <c r="J87" s="11"/>
      <c r="K87" s="10"/>
      <c r="L87" s="9"/>
      <c r="M87" s="9"/>
      <c r="N87" s="9"/>
      <c r="O87" s="9"/>
      <c r="P87" s="9"/>
      <c r="Q87" s="9"/>
      <c r="R87" s="9"/>
      <c r="S87" s="9"/>
      <c r="T87" s="9"/>
      <c r="U87" s="9"/>
      <c r="V87" s="9"/>
      <c r="W87" s="9"/>
      <c r="X87" s="11"/>
      <c r="Y87" s="9"/>
      <c r="Z87" s="10"/>
      <c r="AA87" s="9"/>
      <c r="AB87" s="9"/>
      <c r="AC87" s="10"/>
      <c r="AD87" s="9"/>
      <c r="AE87" s="9"/>
      <c r="AF87" s="9"/>
      <c r="AG87" s="9"/>
      <c r="AH87" s="9"/>
      <c r="AI87" s="9"/>
      <c r="AJ87" s="9"/>
      <c r="AK87" s="9"/>
      <c r="AL87" s="9"/>
      <c r="AM87" s="10"/>
      <c r="AN87" s="11"/>
      <c r="AO87" s="9"/>
      <c r="AP87" s="9"/>
      <c r="AQ87" s="9"/>
    </row>
    <row r="88" spans="1:43" x14ac:dyDescent="0.25">
      <c r="A88" s="9"/>
      <c r="B88" s="10"/>
      <c r="C88" s="9"/>
      <c r="D88" s="9"/>
      <c r="E88" s="9"/>
      <c r="F88" s="9"/>
      <c r="G88" s="9"/>
      <c r="H88" s="9"/>
      <c r="I88" s="11"/>
      <c r="J88" s="11"/>
      <c r="K88" s="10"/>
      <c r="L88" s="9"/>
      <c r="M88" s="9"/>
      <c r="N88" s="9"/>
      <c r="O88" s="9"/>
      <c r="P88" s="9"/>
      <c r="Q88" s="9"/>
      <c r="R88" s="9"/>
      <c r="S88" s="9"/>
      <c r="T88" s="9"/>
      <c r="U88" s="9"/>
      <c r="V88" s="9"/>
      <c r="W88" s="9"/>
      <c r="X88" s="11"/>
      <c r="Y88" s="9"/>
      <c r="Z88" s="10"/>
      <c r="AA88" s="9"/>
      <c r="AB88" s="9"/>
      <c r="AC88" s="10"/>
      <c r="AD88" s="9"/>
      <c r="AE88" s="9"/>
      <c r="AF88" s="9"/>
      <c r="AG88" s="9"/>
      <c r="AH88" s="9"/>
      <c r="AI88" s="9"/>
      <c r="AJ88" s="9"/>
      <c r="AK88" s="9"/>
      <c r="AL88" s="9"/>
      <c r="AM88" s="10"/>
      <c r="AN88" s="11"/>
      <c r="AO88" s="9"/>
      <c r="AP88" s="9"/>
      <c r="AQ88" s="9"/>
    </row>
    <row r="89" spans="1:43" x14ac:dyDescent="0.25">
      <c r="A89" s="9"/>
      <c r="B89" s="10"/>
      <c r="C89" s="9"/>
      <c r="D89" s="9"/>
      <c r="E89" s="9"/>
      <c r="F89" s="9"/>
      <c r="G89" s="9"/>
      <c r="H89" s="9"/>
      <c r="I89" s="11"/>
      <c r="J89" s="11"/>
      <c r="K89" s="10"/>
      <c r="L89" s="9"/>
      <c r="M89" s="9"/>
      <c r="N89" s="9"/>
      <c r="O89" s="9"/>
      <c r="P89" s="9"/>
      <c r="Q89" s="9"/>
      <c r="R89" s="9"/>
      <c r="S89" s="9"/>
      <c r="T89" s="9"/>
      <c r="U89" s="9"/>
      <c r="V89" s="9"/>
      <c r="W89" s="9"/>
      <c r="X89" s="11"/>
      <c r="Y89" s="9"/>
      <c r="Z89" s="10"/>
      <c r="AA89" s="9"/>
      <c r="AB89" s="9"/>
      <c r="AC89" s="10"/>
      <c r="AD89" s="9"/>
      <c r="AE89" s="9"/>
      <c r="AF89" s="9"/>
      <c r="AG89" s="9"/>
      <c r="AH89" s="9"/>
      <c r="AI89" s="9"/>
      <c r="AJ89" s="9"/>
      <c r="AK89" s="9"/>
      <c r="AL89" s="9"/>
      <c r="AM89" s="10"/>
      <c r="AN89" s="11"/>
      <c r="AO89" s="9"/>
      <c r="AP89" s="9"/>
      <c r="AQ89" s="9"/>
    </row>
    <row r="90" spans="1:43" x14ac:dyDescent="0.25">
      <c r="A90" s="9"/>
      <c r="B90" s="10"/>
      <c r="C90" s="9"/>
      <c r="D90" s="9"/>
      <c r="E90" s="9"/>
      <c r="F90" s="9"/>
      <c r="G90" s="9"/>
      <c r="H90" s="9"/>
      <c r="I90" s="11"/>
      <c r="J90" s="11"/>
      <c r="K90" s="10"/>
      <c r="L90" s="9"/>
      <c r="M90" s="9"/>
      <c r="N90" s="9"/>
      <c r="O90" s="9"/>
      <c r="P90" s="9"/>
      <c r="Q90" s="9"/>
      <c r="R90" s="9"/>
      <c r="S90" s="9"/>
      <c r="T90" s="9"/>
      <c r="U90" s="9"/>
      <c r="V90" s="9"/>
      <c r="W90" s="9"/>
      <c r="X90" s="11"/>
      <c r="Y90" s="9"/>
      <c r="Z90" s="10"/>
      <c r="AA90" s="9"/>
      <c r="AB90" s="9"/>
      <c r="AC90" s="10"/>
      <c r="AD90" s="9"/>
      <c r="AE90" s="9"/>
      <c r="AF90" s="9"/>
      <c r="AG90" s="9"/>
      <c r="AH90" s="9"/>
      <c r="AI90" s="9"/>
      <c r="AJ90" s="9"/>
      <c r="AK90" s="9"/>
      <c r="AL90" s="9"/>
      <c r="AM90" s="11"/>
      <c r="AN90" s="11"/>
      <c r="AO90" s="9"/>
      <c r="AP90" s="9"/>
      <c r="AQ90" s="9"/>
    </row>
    <row r="91" spans="1:43" x14ac:dyDescent="0.25">
      <c r="A91" s="9"/>
      <c r="B91" s="10"/>
      <c r="C91" s="9"/>
      <c r="D91" s="9"/>
      <c r="E91" s="9"/>
      <c r="F91" s="9"/>
      <c r="G91" s="9"/>
      <c r="H91" s="9"/>
      <c r="I91" s="11"/>
      <c r="J91" s="11"/>
      <c r="K91" s="10"/>
      <c r="L91" s="9"/>
      <c r="M91" s="9"/>
      <c r="N91" s="9"/>
      <c r="O91" s="9"/>
      <c r="P91" s="9"/>
      <c r="Q91" s="9"/>
      <c r="R91" s="9"/>
      <c r="S91" s="9"/>
      <c r="T91" s="9"/>
      <c r="U91" s="9"/>
      <c r="V91" s="9"/>
      <c r="W91" s="9"/>
      <c r="X91" s="11"/>
      <c r="Y91" s="9"/>
      <c r="Z91" s="10"/>
      <c r="AA91" s="9"/>
      <c r="AB91" s="9"/>
      <c r="AC91" s="10"/>
      <c r="AD91" s="9"/>
      <c r="AE91" s="9"/>
      <c r="AF91" s="9"/>
      <c r="AG91" s="9"/>
      <c r="AH91" s="9"/>
      <c r="AI91" s="9"/>
      <c r="AJ91" s="9"/>
      <c r="AK91" s="9"/>
      <c r="AL91" s="9"/>
      <c r="AM91" s="11"/>
      <c r="AN91" s="11"/>
      <c r="AO91" s="9"/>
      <c r="AP91" s="9"/>
      <c r="AQ91" s="9"/>
    </row>
    <row r="92" spans="1:43" x14ac:dyDescent="0.25">
      <c r="A92" s="9"/>
      <c r="B92" s="10"/>
      <c r="C92" s="9"/>
      <c r="D92" s="9"/>
      <c r="E92" s="9"/>
      <c r="F92" s="9"/>
      <c r="G92" s="9"/>
      <c r="H92" s="9"/>
      <c r="I92" s="11"/>
      <c r="J92" s="11"/>
      <c r="K92" s="11"/>
      <c r="L92" s="9"/>
      <c r="M92" s="9"/>
      <c r="N92" s="9"/>
      <c r="O92" s="9"/>
      <c r="P92" s="9"/>
      <c r="Q92" s="9"/>
      <c r="R92" s="9"/>
      <c r="S92" s="9"/>
      <c r="T92" s="9"/>
      <c r="U92" s="9"/>
      <c r="V92" s="9"/>
      <c r="W92" s="9"/>
      <c r="X92" s="11"/>
      <c r="Y92" s="9"/>
      <c r="Z92" s="10"/>
      <c r="AA92" s="9"/>
      <c r="AB92" s="9"/>
      <c r="AC92" s="10"/>
      <c r="AD92" s="9"/>
      <c r="AE92" s="9"/>
      <c r="AF92" s="9"/>
      <c r="AG92" s="9"/>
      <c r="AH92" s="9"/>
      <c r="AI92" s="9"/>
      <c r="AJ92" s="9"/>
      <c r="AK92" s="9"/>
      <c r="AL92" s="9"/>
      <c r="AM92" s="11"/>
      <c r="AN92" s="11"/>
      <c r="AO92" s="9"/>
      <c r="AP92" s="9"/>
      <c r="AQ92" s="9"/>
    </row>
    <row r="93" spans="1:43" x14ac:dyDescent="0.25">
      <c r="A93" s="9"/>
      <c r="B93" s="10"/>
      <c r="C93" s="9"/>
      <c r="D93" s="9"/>
      <c r="E93" s="9"/>
      <c r="F93" s="9"/>
      <c r="G93" s="9"/>
      <c r="H93" s="9"/>
      <c r="I93" s="11"/>
      <c r="J93" s="11"/>
      <c r="K93" s="10"/>
      <c r="L93" s="9"/>
      <c r="M93" s="9"/>
      <c r="N93" s="9"/>
      <c r="O93" s="9"/>
      <c r="P93" s="9"/>
      <c r="Q93" s="9"/>
      <c r="R93" s="9"/>
      <c r="S93" s="9"/>
      <c r="T93" s="9"/>
      <c r="U93" s="9"/>
      <c r="V93" s="9"/>
      <c r="W93" s="9"/>
      <c r="X93" s="11"/>
      <c r="Y93" s="9"/>
      <c r="Z93" s="10"/>
      <c r="AA93" s="9"/>
      <c r="AB93" s="9"/>
      <c r="AC93" s="10"/>
      <c r="AD93" s="9"/>
      <c r="AE93" s="9"/>
      <c r="AF93" s="9"/>
      <c r="AG93" s="9"/>
      <c r="AH93" s="9"/>
      <c r="AI93" s="9"/>
      <c r="AJ93" s="9"/>
      <c r="AK93" s="9"/>
      <c r="AL93" s="9"/>
      <c r="AM93" s="10"/>
      <c r="AN93" s="11"/>
      <c r="AO93" s="9"/>
      <c r="AP93" s="9"/>
      <c r="AQ93" s="9"/>
    </row>
    <row r="94" spans="1:43" x14ac:dyDescent="0.25">
      <c r="A94" s="9"/>
      <c r="B94" s="10"/>
      <c r="C94" s="9"/>
      <c r="D94" s="9"/>
      <c r="E94" s="9"/>
      <c r="F94" s="9"/>
      <c r="G94" s="9"/>
      <c r="H94" s="9"/>
      <c r="I94" s="11"/>
      <c r="J94" s="11"/>
      <c r="K94" s="10"/>
      <c r="L94" s="9"/>
      <c r="M94" s="9"/>
      <c r="N94" s="9"/>
      <c r="O94" s="9"/>
      <c r="P94" s="9"/>
      <c r="Q94" s="9"/>
      <c r="R94" s="9"/>
      <c r="S94" s="9"/>
      <c r="T94" s="9"/>
      <c r="U94" s="9"/>
      <c r="V94" s="9"/>
      <c r="W94" s="9"/>
      <c r="X94" s="11"/>
      <c r="Y94" s="9"/>
      <c r="Z94" s="10"/>
      <c r="AA94" s="9"/>
      <c r="AB94" s="9"/>
      <c r="AC94" s="10"/>
      <c r="AD94" s="9"/>
      <c r="AE94" s="9"/>
      <c r="AF94" s="9"/>
      <c r="AG94" s="9"/>
      <c r="AH94" s="9"/>
      <c r="AI94" s="9"/>
      <c r="AJ94" s="9"/>
      <c r="AK94" s="9"/>
      <c r="AL94" s="9"/>
      <c r="AM94" s="11"/>
      <c r="AN94" s="11"/>
      <c r="AO94" s="9"/>
      <c r="AP94" s="9"/>
      <c r="AQ94" s="9"/>
    </row>
    <row r="95" spans="1:43" x14ac:dyDescent="0.25">
      <c r="A95" s="9"/>
      <c r="B95" s="10"/>
      <c r="C95" s="9"/>
      <c r="D95" s="9"/>
      <c r="E95" s="9"/>
      <c r="F95" s="9"/>
      <c r="G95" s="9"/>
      <c r="H95" s="9"/>
      <c r="I95" s="11"/>
      <c r="J95" s="11"/>
      <c r="K95" s="11"/>
      <c r="L95" s="9"/>
      <c r="M95" s="9"/>
      <c r="N95" s="9"/>
      <c r="O95" s="9"/>
      <c r="P95" s="9"/>
      <c r="Q95" s="9"/>
      <c r="R95" s="9"/>
      <c r="S95" s="9"/>
      <c r="T95" s="9"/>
      <c r="U95" s="9"/>
      <c r="V95" s="9"/>
      <c r="W95" s="9"/>
      <c r="X95" s="11"/>
      <c r="Y95" s="9"/>
      <c r="Z95" s="10"/>
      <c r="AA95" s="9"/>
      <c r="AB95" s="9"/>
      <c r="AC95" s="11"/>
      <c r="AD95" s="9"/>
      <c r="AE95" s="9"/>
      <c r="AF95" s="9"/>
      <c r="AG95" s="9"/>
      <c r="AH95" s="9"/>
      <c r="AI95" s="9"/>
      <c r="AJ95" s="9"/>
      <c r="AK95" s="9"/>
      <c r="AL95" s="9"/>
      <c r="AM95" s="11"/>
      <c r="AN95" s="11"/>
      <c r="AO95" s="9"/>
      <c r="AP95" s="9"/>
      <c r="AQ95" s="9"/>
    </row>
    <row r="96" spans="1:43" x14ac:dyDescent="0.25">
      <c r="A96" s="9"/>
      <c r="B96" s="10"/>
      <c r="C96" s="9"/>
      <c r="D96" s="9"/>
      <c r="E96" s="9"/>
      <c r="F96" s="9"/>
      <c r="G96" s="9"/>
      <c r="H96" s="9"/>
      <c r="I96" s="11"/>
      <c r="J96" s="11"/>
      <c r="K96" s="10"/>
      <c r="L96" s="9"/>
      <c r="M96" s="9"/>
      <c r="N96" s="9"/>
      <c r="O96" s="9"/>
      <c r="P96" s="9"/>
      <c r="Q96" s="9"/>
      <c r="R96" s="9"/>
      <c r="S96" s="9"/>
      <c r="T96" s="9"/>
      <c r="U96" s="9"/>
      <c r="V96" s="9"/>
      <c r="W96" s="9"/>
      <c r="X96" s="11"/>
      <c r="Y96" s="9"/>
      <c r="Z96" s="10"/>
      <c r="AA96" s="9"/>
      <c r="AB96" s="9"/>
      <c r="AC96" s="10"/>
      <c r="AD96" s="9"/>
      <c r="AE96" s="9"/>
      <c r="AF96" s="9"/>
      <c r="AG96" s="9"/>
      <c r="AH96" s="9"/>
      <c r="AI96" s="9"/>
      <c r="AJ96" s="9"/>
      <c r="AK96" s="9"/>
      <c r="AL96" s="9"/>
      <c r="AM96" s="10"/>
      <c r="AN96" s="11"/>
      <c r="AO96" s="9"/>
      <c r="AP96" s="9"/>
      <c r="AQ96" s="9"/>
    </row>
    <row r="97" spans="1:43" x14ac:dyDescent="0.25">
      <c r="A97" s="9"/>
      <c r="B97" s="10"/>
      <c r="C97" s="9"/>
      <c r="D97" s="9"/>
      <c r="E97" s="9"/>
      <c r="F97" s="9"/>
      <c r="G97" s="9"/>
      <c r="H97" s="9"/>
      <c r="I97" s="11"/>
      <c r="J97" s="11"/>
      <c r="K97" s="10"/>
      <c r="L97" s="9"/>
      <c r="M97" s="9"/>
      <c r="N97" s="9"/>
      <c r="O97" s="9"/>
      <c r="P97" s="9"/>
      <c r="Q97" s="9"/>
      <c r="R97" s="9"/>
      <c r="S97" s="9"/>
      <c r="T97" s="9"/>
      <c r="U97" s="9"/>
      <c r="V97" s="9"/>
      <c r="W97" s="9"/>
      <c r="X97" s="11"/>
      <c r="Y97" s="9"/>
      <c r="Z97" s="10"/>
      <c r="AA97" s="9"/>
      <c r="AB97" s="9"/>
      <c r="AC97" s="10"/>
      <c r="AD97" s="9"/>
      <c r="AE97" s="9"/>
      <c r="AF97" s="9"/>
      <c r="AG97" s="9"/>
      <c r="AH97" s="9"/>
      <c r="AI97" s="9"/>
      <c r="AJ97" s="9"/>
      <c r="AK97" s="9"/>
      <c r="AL97" s="9"/>
      <c r="AM97" s="11"/>
      <c r="AN97" s="11"/>
      <c r="AO97" s="9"/>
      <c r="AP97" s="9"/>
      <c r="AQ97" s="9"/>
    </row>
    <row r="98" spans="1:43" x14ac:dyDescent="0.25">
      <c r="A98" s="9"/>
      <c r="B98" s="10"/>
      <c r="C98" s="9"/>
      <c r="D98" s="9"/>
      <c r="E98" s="9"/>
      <c r="F98" s="9"/>
      <c r="G98" s="9"/>
      <c r="H98" s="9"/>
      <c r="I98" s="11"/>
      <c r="J98" s="11"/>
      <c r="K98" s="10"/>
      <c r="L98" s="9"/>
      <c r="M98" s="9"/>
      <c r="N98" s="9"/>
      <c r="O98" s="9"/>
      <c r="P98" s="9"/>
      <c r="Q98" s="9"/>
      <c r="R98" s="9"/>
      <c r="S98" s="9"/>
      <c r="T98" s="9"/>
      <c r="U98" s="9"/>
      <c r="V98" s="9"/>
      <c r="W98" s="9"/>
      <c r="X98" s="11"/>
      <c r="Y98" s="9"/>
      <c r="Z98" s="10"/>
      <c r="AA98" s="9"/>
      <c r="AB98" s="9"/>
      <c r="AC98" s="10"/>
      <c r="AD98" s="9"/>
      <c r="AE98" s="9"/>
      <c r="AF98" s="9"/>
      <c r="AG98" s="9"/>
      <c r="AH98" s="9"/>
      <c r="AI98" s="9"/>
      <c r="AJ98" s="9"/>
      <c r="AK98" s="9"/>
      <c r="AL98" s="9"/>
      <c r="AM98" s="11"/>
      <c r="AN98" s="11"/>
      <c r="AO98" s="9"/>
      <c r="AP98" s="9"/>
      <c r="AQ98" s="9"/>
    </row>
    <row r="99" spans="1:43" x14ac:dyDescent="0.25">
      <c r="A99" s="9"/>
      <c r="B99" s="10"/>
      <c r="C99" s="9"/>
      <c r="D99" s="9"/>
      <c r="E99" s="9"/>
      <c r="F99" s="9"/>
      <c r="G99" s="9"/>
      <c r="H99" s="9"/>
      <c r="I99" s="11"/>
      <c r="J99" s="11"/>
      <c r="K99" s="11"/>
      <c r="L99" s="9"/>
      <c r="M99" s="9"/>
      <c r="N99" s="9"/>
      <c r="O99" s="9"/>
      <c r="P99" s="9"/>
      <c r="Q99" s="9"/>
      <c r="R99" s="9"/>
      <c r="S99" s="9"/>
      <c r="T99" s="9"/>
      <c r="U99" s="9"/>
      <c r="V99" s="9"/>
      <c r="W99" s="9"/>
      <c r="X99" s="11"/>
      <c r="Y99" s="9"/>
      <c r="Z99" s="10"/>
      <c r="AA99" s="9"/>
      <c r="AB99" s="9"/>
      <c r="AC99" s="11"/>
      <c r="AD99" s="9"/>
      <c r="AE99" s="9"/>
      <c r="AF99" s="9"/>
      <c r="AG99" s="9"/>
      <c r="AH99" s="9"/>
      <c r="AI99" s="9"/>
      <c r="AJ99" s="9"/>
      <c r="AK99" s="9"/>
      <c r="AL99" s="9"/>
      <c r="AM99" s="11"/>
      <c r="AN99" s="11"/>
      <c r="AO99" s="9"/>
      <c r="AP99" s="9"/>
      <c r="AQ99" s="9"/>
    </row>
    <row r="100" spans="1:43" x14ac:dyDescent="0.25">
      <c r="A100" s="9"/>
      <c r="B100" s="10"/>
      <c r="C100" s="9"/>
      <c r="D100" s="9"/>
      <c r="E100" s="9"/>
      <c r="F100" s="9"/>
      <c r="G100" s="9"/>
      <c r="H100" s="9"/>
      <c r="I100" s="11"/>
      <c r="J100" s="11"/>
      <c r="K100" s="11"/>
      <c r="L100" s="9"/>
      <c r="M100" s="9"/>
      <c r="N100" s="9"/>
      <c r="O100" s="9"/>
      <c r="P100" s="9"/>
      <c r="Q100" s="9"/>
      <c r="R100" s="9"/>
      <c r="S100" s="9"/>
      <c r="T100" s="9"/>
      <c r="U100" s="9"/>
      <c r="V100" s="9"/>
      <c r="W100" s="9"/>
      <c r="X100" s="11"/>
      <c r="Y100" s="9"/>
      <c r="Z100" s="10"/>
      <c r="AA100" s="9"/>
      <c r="AB100" s="9"/>
      <c r="AC100" s="10"/>
      <c r="AD100" s="9"/>
      <c r="AE100" s="9"/>
      <c r="AF100" s="9"/>
      <c r="AG100" s="9"/>
      <c r="AH100" s="9"/>
      <c r="AI100" s="9"/>
      <c r="AJ100" s="9"/>
      <c r="AK100" s="9"/>
      <c r="AL100" s="9"/>
      <c r="AM100" s="11"/>
      <c r="AN100" s="11"/>
      <c r="AO100" s="9"/>
      <c r="AP100" s="9"/>
      <c r="AQ100" s="9"/>
    </row>
    <row r="101" spans="1:43" x14ac:dyDescent="0.25">
      <c r="A101" s="9"/>
      <c r="B101" s="10"/>
      <c r="C101" s="9"/>
      <c r="D101" s="9"/>
      <c r="E101" s="9"/>
      <c r="F101" s="9"/>
      <c r="G101" s="9"/>
      <c r="H101" s="9"/>
      <c r="I101" s="11"/>
      <c r="J101" s="11"/>
      <c r="K101" s="10"/>
      <c r="L101" s="9"/>
      <c r="M101" s="9"/>
      <c r="N101" s="9"/>
      <c r="O101" s="9"/>
      <c r="P101" s="9"/>
      <c r="Q101" s="9"/>
      <c r="R101" s="9"/>
      <c r="S101" s="9"/>
      <c r="T101" s="9"/>
      <c r="U101" s="9"/>
      <c r="V101" s="9"/>
      <c r="W101" s="9"/>
      <c r="X101" s="11"/>
      <c r="Y101" s="9"/>
      <c r="Z101" s="10"/>
      <c r="AA101" s="9"/>
      <c r="AB101" s="9"/>
      <c r="AC101" s="10"/>
      <c r="AD101" s="9"/>
      <c r="AE101" s="9"/>
      <c r="AF101" s="9"/>
      <c r="AG101" s="9"/>
      <c r="AH101" s="9"/>
      <c r="AI101" s="9"/>
      <c r="AJ101" s="9"/>
      <c r="AK101" s="9"/>
      <c r="AL101" s="9"/>
      <c r="AM101" s="11"/>
      <c r="AN101" s="11"/>
      <c r="AO101" s="9"/>
      <c r="AP101" s="9"/>
      <c r="AQ101" s="9"/>
    </row>
    <row r="102" spans="1:43" x14ac:dyDescent="0.25">
      <c r="A102" s="9"/>
      <c r="B102" s="10"/>
      <c r="C102" s="9"/>
      <c r="D102" s="9"/>
      <c r="E102" s="9"/>
      <c r="F102" s="9"/>
      <c r="G102" s="9"/>
      <c r="H102" s="9"/>
      <c r="I102" s="11"/>
      <c r="J102" s="11"/>
      <c r="K102" s="11"/>
      <c r="L102" s="9"/>
      <c r="M102" s="9"/>
      <c r="N102" s="9"/>
      <c r="O102" s="9"/>
      <c r="P102" s="9"/>
      <c r="Q102" s="9"/>
      <c r="R102" s="9"/>
      <c r="S102" s="9"/>
      <c r="T102" s="9"/>
      <c r="U102" s="9"/>
      <c r="V102" s="9"/>
      <c r="W102" s="9"/>
      <c r="X102" s="11"/>
      <c r="Y102" s="9"/>
      <c r="Z102" s="10"/>
      <c r="AA102" s="9"/>
      <c r="AB102" s="9"/>
      <c r="AC102" s="11"/>
      <c r="AD102" s="9"/>
      <c r="AE102" s="9"/>
      <c r="AF102" s="9"/>
      <c r="AG102" s="9"/>
      <c r="AH102" s="9"/>
      <c r="AI102" s="9"/>
      <c r="AJ102" s="9"/>
      <c r="AK102" s="9"/>
      <c r="AL102" s="9"/>
      <c r="AM102" s="11"/>
      <c r="AN102" s="11"/>
      <c r="AO102" s="9"/>
      <c r="AP102" s="9"/>
      <c r="AQ102" s="9"/>
    </row>
    <row r="103" spans="1:43" x14ac:dyDescent="0.25">
      <c r="A103" s="9"/>
      <c r="B103" s="10"/>
      <c r="C103" s="9"/>
      <c r="D103" s="9"/>
      <c r="E103" s="9"/>
      <c r="F103" s="9"/>
      <c r="G103" s="9"/>
      <c r="H103" s="9"/>
      <c r="I103" s="11"/>
      <c r="J103" s="11"/>
      <c r="K103" s="11"/>
      <c r="L103" s="9"/>
      <c r="M103" s="9"/>
      <c r="N103" s="9"/>
      <c r="O103" s="9"/>
      <c r="P103" s="9"/>
      <c r="Q103" s="9"/>
      <c r="R103" s="9"/>
      <c r="S103" s="9"/>
      <c r="T103" s="9"/>
      <c r="U103" s="9"/>
      <c r="V103" s="9"/>
      <c r="W103" s="9"/>
      <c r="X103" s="11"/>
      <c r="Y103" s="9"/>
      <c r="Z103" s="10"/>
      <c r="AA103" s="9"/>
      <c r="AB103" s="9"/>
      <c r="AC103" s="10"/>
      <c r="AD103" s="9"/>
      <c r="AE103" s="9"/>
      <c r="AF103" s="9"/>
      <c r="AG103" s="9"/>
      <c r="AH103" s="9"/>
      <c r="AI103" s="9"/>
      <c r="AJ103" s="9"/>
      <c r="AK103" s="9"/>
      <c r="AL103" s="9"/>
      <c r="AM103" s="11"/>
      <c r="AN103" s="11"/>
      <c r="AO103" s="9"/>
      <c r="AP103" s="9"/>
      <c r="AQ103" s="9"/>
    </row>
    <row r="104" spans="1:43" x14ac:dyDescent="0.25">
      <c r="A104" s="9"/>
      <c r="B104" s="10"/>
      <c r="C104" s="9"/>
      <c r="D104" s="9"/>
      <c r="E104" s="9"/>
      <c r="F104" s="9"/>
      <c r="G104" s="9"/>
      <c r="H104" s="9"/>
      <c r="I104" s="11"/>
      <c r="J104" s="11"/>
      <c r="K104" s="11"/>
      <c r="L104" s="9"/>
      <c r="M104" s="9"/>
      <c r="N104" s="9"/>
      <c r="O104" s="9"/>
      <c r="P104" s="9"/>
      <c r="Q104" s="9"/>
      <c r="R104" s="9"/>
      <c r="S104" s="9"/>
      <c r="T104" s="9"/>
      <c r="U104" s="9"/>
      <c r="V104" s="9"/>
      <c r="W104" s="9"/>
      <c r="X104" s="11"/>
      <c r="Y104" s="9"/>
      <c r="Z104" s="10"/>
      <c r="AA104" s="9"/>
      <c r="AB104" s="9"/>
      <c r="AC104" s="11"/>
      <c r="AD104" s="9"/>
      <c r="AE104" s="9"/>
      <c r="AF104" s="9"/>
      <c r="AG104" s="9"/>
      <c r="AH104" s="9"/>
      <c r="AI104" s="9"/>
      <c r="AJ104" s="9"/>
      <c r="AK104" s="9"/>
      <c r="AL104" s="9"/>
      <c r="AM104" s="11"/>
      <c r="AN104" s="11"/>
      <c r="AO104" s="9"/>
      <c r="AP104" s="9"/>
      <c r="AQ104" s="9"/>
    </row>
    <row r="105" spans="1:43" x14ac:dyDescent="0.25">
      <c r="A105" s="9"/>
      <c r="B105" s="10"/>
      <c r="C105" s="9"/>
      <c r="D105" s="9"/>
      <c r="E105" s="9"/>
      <c r="F105" s="9"/>
      <c r="G105" s="9"/>
      <c r="H105" s="9"/>
      <c r="I105" s="11"/>
      <c r="J105" s="11"/>
      <c r="K105" s="11"/>
      <c r="L105" s="9"/>
      <c r="M105" s="9"/>
      <c r="N105" s="9"/>
      <c r="O105" s="9"/>
      <c r="P105" s="9"/>
      <c r="Q105" s="9"/>
      <c r="R105" s="9"/>
      <c r="S105" s="9"/>
      <c r="T105" s="9"/>
      <c r="U105" s="9"/>
      <c r="V105" s="9"/>
      <c r="W105" s="9"/>
      <c r="X105" s="11"/>
      <c r="Y105" s="9"/>
      <c r="Z105" s="10"/>
      <c r="AA105" s="9"/>
      <c r="AB105" s="9"/>
      <c r="AC105" s="11"/>
      <c r="AD105" s="9"/>
      <c r="AE105" s="9"/>
      <c r="AF105" s="9"/>
      <c r="AG105" s="9"/>
      <c r="AH105" s="9"/>
      <c r="AI105" s="9"/>
      <c r="AJ105" s="9"/>
      <c r="AK105" s="9"/>
      <c r="AL105" s="9"/>
      <c r="AM105" s="11"/>
      <c r="AN105" s="11"/>
      <c r="AO105" s="9"/>
      <c r="AP105" s="9"/>
      <c r="AQ105" s="9"/>
    </row>
    <row r="106" spans="1:43" x14ac:dyDescent="0.25">
      <c r="A106" s="9"/>
      <c r="B106" s="10"/>
      <c r="C106" s="9"/>
      <c r="D106" s="9"/>
      <c r="E106" s="9"/>
      <c r="F106" s="9"/>
      <c r="G106" s="9"/>
      <c r="H106" s="9"/>
      <c r="I106" s="11"/>
      <c r="J106" s="11"/>
      <c r="K106" s="11"/>
      <c r="L106" s="9"/>
      <c r="M106" s="9"/>
      <c r="N106" s="9"/>
      <c r="O106" s="9"/>
      <c r="P106" s="9"/>
      <c r="Q106" s="9"/>
      <c r="R106" s="9"/>
      <c r="S106" s="9"/>
      <c r="T106" s="9"/>
      <c r="U106" s="9"/>
      <c r="V106" s="9"/>
      <c r="W106" s="9"/>
      <c r="X106" s="11"/>
      <c r="Y106" s="9"/>
      <c r="Z106" s="10"/>
      <c r="AA106" s="9"/>
      <c r="AB106" s="9"/>
      <c r="AC106" s="10"/>
      <c r="AD106" s="9"/>
      <c r="AE106" s="9"/>
      <c r="AF106" s="9"/>
      <c r="AG106" s="9"/>
      <c r="AH106" s="9"/>
      <c r="AI106" s="9"/>
      <c r="AJ106" s="9"/>
      <c r="AK106" s="9"/>
      <c r="AL106" s="9"/>
      <c r="AM106" s="11"/>
      <c r="AN106" s="11"/>
      <c r="AO106" s="9"/>
      <c r="AP106" s="9"/>
      <c r="AQ106" s="9"/>
    </row>
    <row r="107" spans="1:43" x14ac:dyDescent="0.25">
      <c r="A107" s="9"/>
      <c r="B107" s="10"/>
      <c r="C107" s="9"/>
      <c r="D107" s="9"/>
      <c r="E107" s="9"/>
      <c r="F107" s="9"/>
      <c r="G107" s="9"/>
      <c r="H107" s="9"/>
      <c r="I107" s="11"/>
      <c r="J107" s="11"/>
      <c r="K107" s="10"/>
      <c r="L107" s="9"/>
      <c r="M107" s="9"/>
      <c r="N107" s="9"/>
      <c r="O107" s="9"/>
      <c r="P107" s="9"/>
      <c r="Q107" s="9"/>
      <c r="R107" s="9"/>
      <c r="S107" s="9"/>
      <c r="T107" s="9"/>
      <c r="U107" s="9"/>
      <c r="V107" s="9"/>
      <c r="W107" s="9"/>
      <c r="X107" s="11"/>
      <c r="Y107" s="9"/>
      <c r="Z107" s="10"/>
      <c r="AA107" s="9"/>
      <c r="AB107" s="9"/>
      <c r="AC107" s="10"/>
      <c r="AD107" s="9"/>
      <c r="AE107" s="9"/>
      <c r="AF107" s="9"/>
      <c r="AG107" s="9"/>
      <c r="AH107" s="9"/>
      <c r="AI107" s="9"/>
      <c r="AJ107" s="9"/>
      <c r="AK107" s="9"/>
      <c r="AL107" s="9"/>
      <c r="AM107" s="10"/>
      <c r="AN107" s="11"/>
      <c r="AO107" s="9"/>
      <c r="AP107" s="9"/>
      <c r="AQ107" s="9"/>
    </row>
    <row r="108" spans="1:43" x14ac:dyDescent="0.25">
      <c r="A108" s="9"/>
      <c r="B108" s="10"/>
      <c r="C108" s="9"/>
      <c r="D108" s="9"/>
      <c r="E108" s="9"/>
      <c r="F108" s="9"/>
      <c r="G108" s="9"/>
      <c r="H108" s="9"/>
      <c r="I108" s="11"/>
      <c r="J108" s="11"/>
      <c r="K108" s="10"/>
      <c r="L108" s="9"/>
      <c r="M108" s="9"/>
      <c r="N108" s="9"/>
      <c r="O108" s="9"/>
      <c r="P108" s="9"/>
      <c r="Q108" s="9"/>
      <c r="R108" s="9"/>
      <c r="S108" s="9"/>
      <c r="T108" s="9"/>
      <c r="U108" s="9"/>
      <c r="V108" s="9"/>
      <c r="W108" s="9"/>
      <c r="X108" s="11"/>
      <c r="Y108" s="9"/>
      <c r="Z108" s="10"/>
      <c r="AA108" s="9"/>
      <c r="AB108" s="9"/>
      <c r="AC108" s="10"/>
      <c r="AD108" s="9"/>
      <c r="AE108" s="9"/>
      <c r="AF108" s="9"/>
      <c r="AG108" s="9"/>
      <c r="AH108" s="9"/>
      <c r="AI108" s="9"/>
      <c r="AJ108" s="9"/>
      <c r="AK108" s="9"/>
      <c r="AL108" s="9"/>
      <c r="AM108" s="10"/>
      <c r="AN108" s="11"/>
      <c r="AO108" s="9"/>
      <c r="AP108" s="9"/>
      <c r="AQ108" s="9"/>
    </row>
    <row r="109" spans="1:43" x14ac:dyDescent="0.25">
      <c r="A109" s="9"/>
      <c r="B109" s="10"/>
      <c r="C109" s="9"/>
      <c r="D109" s="9"/>
      <c r="E109" s="9"/>
      <c r="F109" s="9"/>
      <c r="G109" s="9"/>
      <c r="H109" s="9"/>
      <c r="I109" s="11"/>
      <c r="J109" s="11"/>
      <c r="K109" s="10"/>
      <c r="L109" s="9"/>
      <c r="M109" s="9"/>
      <c r="N109" s="9"/>
      <c r="O109" s="9"/>
      <c r="P109" s="9"/>
      <c r="Q109" s="9"/>
      <c r="R109" s="9"/>
      <c r="S109" s="9"/>
      <c r="T109" s="9"/>
      <c r="U109" s="9"/>
      <c r="V109" s="9"/>
      <c r="W109" s="9"/>
      <c r="X109" s="11"/>
      <c r="Y109" s="9"/>
      <c r="Z109" s="10"/>
      <c r="AA109" s="9"/>
      <c r="AB109" s="9"/>
      <c r="AC109" s="10"/>
      <c r="AD109" s="9"/>
      <c r="AE109" s="9"/>
      <c r="AF109" s="9"/>
      <c r="AG109" s="9"/>
      <c r="AH109" s="9"/>
      <c r="AI109" s="9"/>
      <c r="AJ109" s="9"/>
      <c r="AK109" s="9"/>
      <c r="AL109" s="9"/>
      <c r="AM109" s="11"/>
      <c r="AN109" s="11"/>
      <c r="AO109" s="9"/>
      <c r="AP109" s="9"/>
      <c r="AQ109" s="9"/>
    </row>
    <row r="110" spans="1:43" x14ac:dyDescent="0.25">
      <c r="A110" s="9"/>
      <c r="B110" s="10"/>
      <c r="C110" s="9"/>
      <c r="D110" s="9"/>
      <c r="E110" s="9"/>
      <c r="F110" s="9"/>
      <c r="G110" s="9"/>
      <c r="H110" s="9"/>
      <c r="I110" s="11"/>
      <c r="J110" s="11"/>
      <c r="K110" s="10"/>
      <c r="L110" s="9"/>
      <c r="M110" s="9"/>
      <c r="N110" s="9"/>
      <c r="O110" s="9"/>
      <c r="P110" s="9"/>
      <c r="Q110" s="9"/>
      <c r="R110" s="9"/>
      <c r="S110" s="9"/>
      <c r="T110" s="9"/>
      <c r="U110" s="9"/>
      <c r="V110" s="9"/>
      <c r="W110" s="9"/>
      <c r="X110" s="11"/>
      <c r="Y110" s="9"/>
      <c r="Z110" s="10"/>
      <c r="AA110" s="9"/>
      <c r="AB110" s="9"/>
      <c r="AC110" s="10"/>
      <c r="AD110" s="9"/>
      <c r="AE110" s="9"/>
      <c r="AF110" s="9"/>
      <c r="AG110" s="9"/>
      <c r="AH110" s="9"/>
      <c r="AI110" s="9"/>
      <c r="AJ110" s="9"/>
      <c r="AK110" s="9"/>
      <c r="AL110" s="9"/>
      <c r="AM110" s="10"/>
      <c r="AN110" s="11"/>
      <c r="AO110" s="9"/>
      <c r="AP110" s="9"/>
      <c r="AQ110" s="9"/>
    </row>
    <row r="111" spans="1:43" x14ac:dyDescent="0.25">
      <c r="A111" s="9"/>
      <c r="B111" s="10"/>
      <c r="C111" s="9"/>
      <c r="D111" s="9"/>
      <c r="E111" s="9"/>
      <c r="F111" s="9"/>
      <c r="G111" s="9"/>
      <c r="H111" s="9"/>
      <c r="I111" s="11"/>
      <c r="J111" s="11"/>
      <c r="K111" s="11"/>
      <c r="L111" s="9"/>
      <c r="M111" s="9"/>
      <c r="N111" s="9"/>
      <c r="O111" s="9"/>
      <c r="P111" s="9"/>
      <c r="Q111" s="9"/>
      <c r="R111" s="9"/>
      <c r="S111" s="9"/>
      <c r="T111" s="9"/>
      <c r="U111" s="9"/>
      <c r="V111" s="9"/>
      <c r="W111" s="9"/>
      <c r="X111" s="11"/>
      <c r="Y111" s="9"/>
      <c r="Z111" s="10"/>
      <c r="AA111" s="9"/>
      <c r="AB111" s="9"/>
      <c r="AC111" s="10"/>
      <c r="AD111" s="9"/>
      <c r="AE111" s="9"/>
      <c r="AF111" s="9"/>
      <c r="AG111" s="9"/>
      <c r="AH111" s="9"/>
      <c r="AI111" s="9"/>
      <c r="AJ111" s="9"/>
      <c r="AK111" s="9"/>
      <c r="AL111" s="9"/>
      <c r="AM111" s="11"/>
      <c r="AN111" s="11"/>
      <c r="AO111" s="9"/>
      <c r="AP111" s="9"/>
      <c r="AQ111" s="9"/>
    </row>
    <row r="112" spans="1:43" x14ac:dyDescent="0.25">
      <c r="A112" s="9"/>
      <c r="B112" s="10"/>
      <c r="C112" s="9"/>
      <c r="D112" s="9"/>
      <c r="E112" s="9"/>
      <c r="F112" s="9"/>
      <c r="G112" s="9"/>
      <c r="H112" s="9"/>
      <c r="I112" s="11"/>
      <c r="J112" s="11"/>
      <c r="K112" s="11"/>
      <c r="L112" s="9"/>
      <c r="M112" s="9"/>
      <c r="N112" s="9"/>
      <c r="O112" s="9"/>
      <c r="P112" s="9"/>
      <c r="Q112" s="9"/>
      <c r="R112" s="9"/>
      <c r="S112" s="9"/>
      <c r="T112" s="9"/>
      <c r="U112" s="9"/>
      <c r="V112" s="9"/>
      <c r="W112" s="9"/>
      <c r="X112" s="11"/>
      <c r="Y112" s="9"/>
      <c r="Z112" s="10"/>
      <c r="AA112" s="9"/>
      <c r="AB112" s="9"/>
      <c r="AC112" s="11"/>
      <c r="AD112" s="9"/>
      <c r="AE112" s="9"/>
      <c r="AF112" s="9"/>
      <c r="AG112" s="9"/>
      <c r="AH112" s="9"/>
      <c r="AI112" s="9"/>
      <c r="AJ112" s="9"/>
      <c r="AK112" s="9"/>
      <c r="AL112" s="9"/>
      <c r="AM112" s="11"/>
      <c r="AN112" s="11"/>
      <c r="AO112" s="9"/>
      <c r="AP112" s="9"/>
      <c r="AQ112" s="9"/>
    </row>
    <row r="113" spans="1:43" x14ac:dyDescent="0.25">
      <c r="A113" s="9"/>
      <c r="B113" s="10"/>
      <c r="C113" s="9"/>
      <c r="D113" s="9"/>
      <c r="E113" s="9"/>
      <c r="F113" s="9"/>
      <c r="G113" s="9"/>
      <c r="H113" s="9"/>
      <c r="I113" s="11"/>
      <c r="J113" s="11"/>
      <c r="K113" s="11"/>
      <c r="L113" s="9"/>
      <c r="M113" s="9"/>
      <c r="N113" s="9"/>
      <c r="O113" s="9"/>
      <c r="P113" s="9"/>
      <c r="Q113" s="9"/>
      <c r="R113" s="9"/>
      <c r="S113" s="9"/>
      <c r="T113" s="9"/>
      <c r="U113" s="9"/>
      <c r="V113" s="9"/>
      <c r="W113" s="9"/>
      <c r="X113" s="11"/>
      <c r="Y113" s="9"/>
      <c r="Z113" s="10"/>
      <c r="AA113" s="9"/>
      <c r="AB113" s="9"/>
      <c r="AC113" s="10"/>
      <c r="AD113" s="9"/>
      <c r="AE113" s="9"/>
      <c r="AF113" s="9"/>
      <c r="AG113" s="9"/>
      <c r="AH113" s="9"/>
      <c r="AI113" s="9"/>
      <c r="AJ113" s="9"/>
      <c r="AK113" s="9"/>
      <c r="AL113" s="9"/>
      <c r="AM113" s="11"/>
      <c r="AN113" s="11"/>
      <c r="AO113" s="9"/>
      <c r="AP113" s="9"/>
      <c r="AQ113" s="9"/>
    </row>
    <row r="114" spans="1:43" x14ac:dyDescent="0.25">
      <c r="A114" s="9"/>
      <c r="B114" s="10"/>
      <c r="C114" s="9"/>
      <c r="D114" s="9"/>
      <c r="E114" s="9"/>
      <c r="F114" s="9"/>
      <c r="G114" s="9"/>
      <c r="H114" s="9"/>
      <c r="I114" s="11"/>
      <c r="J114" s="11"/>
      <c r="K114" s="11"/>
      <c r="L114" s="9"/>
      <c r="M114" s="9"/>
      <c r="N114" s="9"/>
      <c r="O114" s="9"/>
      <c r="P114" s="9"/>
      <c r="Q114" s="9"/>
      <c r="R114" s="9"/>
      <c r="S114" s="9"/>
      <c r="T114" s="9"/>
      <c r="U114" s="9"/>
      <c r="V114" s="9"/>
      <c r="W114" s="9"/>
      <c r="X114" s="11"/>
      <c r="Y114" s="9"/>
      <c r="Z114" s="10"/>
      <c r="AA114" s="9"/>
      <c r="AB114" s="9"/>
      <c r="AC114" s="11"/>
      <c r="AD114" s="9"/>
      <c r="AE114" s="9"/>
      <c r="AF114" s="9"/>
      <c r="AG114" s="9"/>
      <c r="AH114" s="9"/>
      <c r="AI114" s="9"/>
      <c r="AJ114" s="9"/>
      <c r="AK114" s="9"/>
      <c r="AL114" s="9"/>
      <c r="AM114" s="11"/>
      <c r="AN114" s="11"/>
      <c r="AO114" s="9"/>
      <c r="AP114" s="9"/>
      <c r="AQ114" s="9"/>
    </row>
    <row r="115" spans="1:43" x14ac:dyDescent="0.25">
      <c r="A115" s="9"/>
      <c r="B115" s="10"/>
      <c r="C115" s="9"/>
      <c r="D115" s="9"/>
      <c r="E115" s="9"/>
      <c r="F115" s="9"/>
      <c r="G115" s="9"/>
      <c r="H115" s="9"/>
      <c r="I115" s="11"/>
      <c r="J115" s="11"/>
      <c r="K115" s="11"/>
      <c r="L115" s="9"/>
      <c r="M115" s="9"/>
      <c r="N115" s="9"/>
      <c r="O115" s="9"/>
      <c r="P115" s="9"/>
      <c r="Q115" s="9"/>
      <c r="R115" s="9"/>
      <c r="S115" s="9"/>
      <c r="T115" s="9"/>
      <c r="U115" s="9"/>
      <c r="V115" s="9"/>
      <c r="W115" s="9"/>
      <c r="X115" s="11"/>
      <c r="Y115" s="9"/>
      <c r="Z115" s="10"/>
      <c r="AA115" s="9"/>
      <c r="AB115" s="9"/>
      <c r="AC115" s="10"/>
      <c r="AD115" s="9"/>
      <c r="AE115" s="9"/>
      <c r="AF115" s="9"/>
      <c r="AG115" s="9"/>
      <c r="AH115" s="9"/>
      <c r="AI115" s="9"/>
      <c r="AJ115" s="9"/>
      <c r="AK115" s="9"/>
      <c r="AL115" s="9"/>
      <c r="AM115" s="11"/>
      <c r="AN115" s="11"/>
      <c r="AO115" s="9"/>
      <c r="AP115" s="9"/>
      <c r="AQ115" s="9"/>
    </row>
    <row r="116" spans="1:43" x14ac:dyDescent="0.25">
      <c r="A116" s="9"/>
      <c r="B116" s="10"/>
      <c r="C116" s="9"/>
      <c r="D116" s="9"/>
      <c r="E116" s="9"/>
      <c r="F116" s="9"/>
      <c r="G116" s="9"/>
      <c r="H116" s="9"/>
      <c r="I116" s="11"/>
      <c r="J116" s="11"/>
      <c r="K116" s="11"/>
      <c r="L116" s="9"/>
      <c r="M116" s="9"/>
      <c r="N116" s="9"/>
      <c r="O116" s="9"/>
      <c r="P116" s="9"/>
      <c r="Q116" s="9"/>
      <c r="R116" s="9"/>
      <c r="S116" s="9"/>
      <c r="T116" s="9"/>
      <c r="U116" s="9"/>
      <c r="V116" s="9"/>
      <c r="W116" s="9"/>
      <c r="X116" s="11"/>
      <c r="Y116" s="9"/>
      <c r="Z116" s="10"/>
      <c r="AA116" s="9"/>
      <c r="AB116" s="9"/>
      <c r="AC116" s="10"/>
      <c r="AD116" s="9"/>
      <c r="AE116" s="9"/>
      <c r="AF116" s="9"/>
      <c r="AG116" s="9"/>
      <c r="AH116" s="9"/>
      <c r="AI116" s="9"/>
      <c r="AJ116" s="9"/>
      <c r="AK116" s="9"/>
      <c r="AL116" s="9"/>
      <c r="AM116" s="11"/>
      <c r="AN116" s="11"/>
      <c r="AO116" s="9"/>
      <c r="AP116" s="9"/>
      <c r="AQ116" s="9"/>
    </row>
    <row r="117" spans="1:43" x14ac:dyDescent="0.25">
      <c r="A117" s="9"/>
      <c r="B117" s="10"/>
      <c r="C117" s="9"/>
      <c r="D117" s="9"/>
      <c r="E117" s="9"/>
      <c r="F117" s="9"/>
      <c r="G117" s="9"/>
      <c r="H117" s="9"/>
      <c r="I117" s="11"/>
      <c r="J117" s="11"/>
      <c r="K117" s="11"/>
      <c r="L117" s="9"/>
      <c r="M117" s="9"/>
      <c r="N117" s="9"/>
      <c r="O117" s="9"/>
      <c r="P117" s="9"/>
      <c r="Q117" s="9"/>
      <c r="R117" s="9"/>
      <c r="S117" s="9"/>
      <c r="T117" s="9"/>
      <c r="U117" s="9"/>
      <c r="V117" s="9"/>
      <c r="W117" s="9"/>
      <c r="X117" s="11"/>
      <c r="Y117" s="9"/>
      <c r="Z117" s="10"/>
      <c r="AA117" s="9"/>
      <c r="AB117" s="9"/>
      <c r="AC117" s="11"/>
      <c r="AD117" s="9"/>
      <c r="AE117" s="9"/>
      <c r="AF117" s="9"/>
      <c r="AG117" s="9"/>
      <c r="AH117" s="9"/>
      <c r="AI117" s="9"/>
      <c r="AJ117" s="9"/>
      <c r="AK117" s="9"/>
      <c r="AL117" s="9"/>
      <c r="AM117" s="11"/>
      <c r="AN117" s="11"/>
      <c r="AO117" s="9"/>
      <c r="AP117" s="9"/>
      <c r="AQ117" s="9"/>
    </row>
    <row r="118" spans="1:43" x14ac:dyDescent="0.25">
      <c r="A118" s="9"/>
      <c r="B118" s="10"/>
      <c r="C118" s="9"/>
      <c r="D118" s="9"/>
      <c r="E118" s="9"/>
      <c r="F118" s="9"/>
      <c r="G118" s="9"/>
      <c r="H118" s="9"/>
      <c r="I118" s="11"/>
      <c r="J118" s="11"/>
      <c r="K118" s="11"/>
      <c r="L118" s="9"/>
      <c r="M118" s="9"/>
      <c r="N118" s="9"/>
      <c r="O118" s="9"/>
      <c r="P118" s="9"/>
      <c r="Q118" s="9"/>
      <c r="R118" s="9"/>
      <c r="S118" s="9"/>
      <c r="T118" s="9"/>
      <c r="U118" s="9"/>
      <c r="V118" s="9"/>
      <c r="W118" s="9"/>
      <c r="X118" s="11"/>
      <c r="Y118" s="9"/>
      <c r="Z118" s="10"/>
      <c r="AA118" s="9"/>
      <c r="AB118" s="9"/>
      <c r="AC118" s="11"/>
      <c r="AD118" s="9"/>
      <c r="AE118" s="9"/>
      <c r="AF118" s="9"/>
      <c r="AG118" s="9"/>
      <c r="AH118" s="9"/>
      <c r="AI118" s="9"/>
      <c r="AJ118" s="9"/>
      <c r="AK118" s="9"/>
      <c r="AL118" s="9"/>
      <c r="AM118" s="11"/>
      <c r="AN118" s="11"/>
      <c r="AO118" s="9"/>
      <c r="AP118" s="9"/>
      <c r="AQ118" s="9"/>
    </row>
    <row r="119" spans="1:43" x14ac:dyDescent="0.25">
      <c r="A119" s="9"/>
      <c r="B119" s="10"/>
      <c r="C119" s="9"/>
      <c r="D119" s="9"/>
      <c r="E119" s="9"/>
      <c r="F119" s="9"/>
      <c r="G119" s="9"/>
      <c r="H119" s="9"/>
      <c r="I119" s="11"/>
      <c r="J119" s="11"/>
      <c r="K119" s="11"/>
      <c r="L119" s="9"/>
      <c r="M119" s="9"/>
      <c r="N119" s="9"/>
      <c r="O119" s="9"/>
      <c r="P119" s="9"/>
      <c r="Q119" s="9"/>
      <c r="R119" s="9"/>
      <c r="S119" s="9"/>
      <c r="T119" s="9"/>
      <c r="U119" s="9"/>
      <c r="V119" s="9"/>
      <c r="W119" s="9"/>
      <c r="X119" s="11"/>
      <c r="Y119" s="9"/>
      <c r="Z119" s="10"/>
      <c r="AA119" s="9"/>
      <c r="AB119" s="9"/>
      <c r="AC119" s="10"/>
      <c r="AD119" s="9"/>
      <c r="AE119" s="9"/>
      <c r="AF119" s="9"/>
      <c r="AG119" s="9"/>
      <c r="AH119" s="9"/>
      <c r="AI119" s="9"/>
      <c r="AJ119" s="9"/>
      <c r="AK119" s="9"/>
      <c r="AL119" s="9"/>
      <c r="AM119" s="11"/>
      <c r="AN119" s="11"/>
      <c r="AO119" s="9"/>
      <c r="AP119" s="9"/>
      <c r="AQ119" s="9"/>
    </row>
    <row r="120" spans="1:43" x14ac:dyDescent="0.25">
      <c r="A120" s="9"/>
      <c r="B120" s="10"/>
      <c r="C120" s="9"/>
      <c r="D120" s="9"/>
      <c r="E120" s="9"/>
      <c r="F120" s="9"/>
      <c r="G120" s="9"/>
      <c r="H120" s="9"/>
      <c r="I120" s="11"/>
      <c r="J120" s="11"/>
      <c r="K120" s="10"/>
      <c r="L120" s="9"/>
      <c r="M120" s="9"/>
      <c r="N120" s="9"/>
      <c r="O120" s="9"/>
      <c r="P120" s="9"/>
      <c r="Q120" s="9"/>
      <c r="R120" s="9"/>
      <c r="S120" s="9"/>
      <c r="T120" s="9"/>
      <c r="U120" s="9"/>
      <c r="V120" s="9"/>
      <c r="W120" s="9"/>
      <c r="X120" s="11"/>
      <c r="Y120" s="9"/>
      <c r="Z120" s="10"/>
      <c r="AA120" s="9"/>
      <c r="AB120" s="9"/>
      <c r="AC120" s="10"/>
      <c r="AD120" s="9"/>
      <c r="AE120" s="9"/>
      <c r="AF120" s="9"/>
      <c r="AG120" s="9"/>
      <c r="AH120" s="9"/>
      <c r="AI120" s="9"/>
      <c r="AJ120" s="9"/>
      <c r="AK120" s="9"/>
      <c r="AL120" s="9"/>
      <c r="AM120" s="10"/>
      <c r="AN120" s="11"/>
      <c r="AO120" s="9"/>
      <c r="AP120" s="9"/>
      <c r="AQ120" s="9"/>
    </row>
    <row r="121" spans="1:43" x14ac:dyDescent="0.25">
      <c r="A121" s="9"/>
      <c r="B121" s="10"/>
      <c r="C121" s="9"/>
      <c r="D121" s="9"/>
      <c r="E121" s="9"/>
      <c r="F121" s="9"/>
      <c r="G121" s="9"/>
      <c r="H121" s="9"/>
      <c r="I121" s="11"/>
      <c r="J121" s="11"/>
      <c r="K121" s="11"/>
      <c r="L121" s="9"/>
      <c r="M121" s="9"/>
      <c r="N121" s="9"/>
      <c r="O121" s="9"/>
      <c r="P121" s="9"/>
      <c r="Q121" s="9"/>
      <c r="R121" s="9"/>
      <c r="S121" s="9"/>
      <c r="T121" s="9"/>
      <c r="U121" s="9"/>
      <c r="V121" s="9"/>
      <c r="W121" s="9"/>
      <c r="X121" s="11"/>
      <c r="Y121" s="9"/>
      <c r="Z121" s="10"/>
      <c r="AA121" s="9"/>
      <c r="AB121" s="9"/>
      <c r="AC121" s="11"/>
      <c r="AD121" s="9"/>
      <c r="AE121" s="9"/>
      <c r="AF121" s="9"/>
      <c r="AG121" s="9"/>
      <c r="AH121" s="9"/>
      <c r="AI121" s="9"/>
      <c r="AJ121" s="9"/>
      <c r="AK121" s="9"/>
      <c r="AL121" s="9"/>
      <c r="AM121" s="11"/>
      <c r="AN121" s="11"/>
      <c r="AO121" s="9"/>
      <c r="AP121" s="9"/>
      <c r="AQ121" s="9"/>
    </row>
    <row r="122" spans="1:43" x14ac:dyDescent="0.25">
      <c r="A122" s="9"/>
      <c r="B122" s="10"/>
      <c r="C122" s="9"/>
      <c r="D122" s="9"/>
      <c r="E122" s="9"/>
      <c r="F122" s="9"/>
      <c r="G122" s="9"/>
      <c r="H122" s="9"/>
      <c r="I122" s="11"/>
      <c r="J122" s="11"/>
      <c r="K122" s="11"/>
      <c r="L122" s="9"/>
      <c r="M122" s="9"/>
      <c r="N122" s="9"/>
      <c r="O122" s="9"/>
      <c r="P122" s="9"/>
      <c r="Q122" s="9"/>
      <c r="R122" s="9"/>
      <c r="S122" s="9"/>
      <c r="T122" s="9"/>
      <c r="U122" s="9"/>
      <c r="V122" s="9"/>
      <c r="W122" s="9"/>
      <c r="X122" s="11"/>
      <c r="Y122" s="9"/>
      <c r="Z122" s="10"/>
      <c r="AA122" s="9"/>
      <c r="AB122" s="9"/>
      <c r="AC122" s="10"/>
      <c r="AD122" s="9"/>
      <c r="AE122" s="9"/>
      <c r="AF122" s="9"/>
      <c r="AG122" s="9"/>
      <c r="AH122" s="9"/>
      <c r="AI122" s="9"/>
      <c r="AJ122" s="9"/>
      <c r="AK122" s="9"/>
      <c r="AL122" s="9"/>
      <c r="AM122" s="11"/>
      <c r="AN122" s="11"/>
      <c r="AO122" s="9"/>
      <c r="AP122" s="9"/>
      <c r="AQ122" s="9"/>
    </row>
    <row r="123" spans="1:43" x14ac:dyDescent="0.25">
      <c r="A123" s="9"/>
      <c r="B123" s="10"/>
      <c r="C123" s="9"/>
      <c r="D123" s="9"/>
      <c r="E123" s="9"/>
      <c r="F123" s="9"/>
      <c r="G123" s="9"/>
      <c r="H123" s="9"/>
      <c r="I123" s="11"/>
      <c r="J123" s="11"/>
      <c r="K123" s="11"/>
      <c r="L123" s="9"/>
      <c r="M123" s="9"/>
      <c r="N123" s="9"/>
      <c r="O123" s="9"/>
      <c r="P123" s="9"/>
      <c r="Q123" s="9"/>
      <c r="R123" s="9"/>
      <c r="S123" s="9"/>
      <c r="T123" s="9"/>
      <c r="U123" s="9"/>
      <c r="V123" s="9"/>
      <c r="W123" s="9"/>
      <c r="X123" s="11"/>
      <c r="Y123" s="9"/>
      <c r="Z123" s="10"/>
      <c r="AA123" s="9"/>
      <c r="AB123" s="9"/>
      <c r="AC123" s="10"/>
      <c r="AD123" s="9"/>
      <c r="AE123" s="9"/>
      <c r="AF123" s="9"/>
      <c r="AG123" s="9"/>
      <c r="AH123" s="9"/>
      <c r="AI123" s="9"/>
      <c r="AJ123" s="9"/>
      <c r="AK123" s="9"/>
      <c r="AL123" s="9"/>
      <c r="AM123" s="11"/>
      <c r="AN123" s="11"/>
      <c r="AO123" s="9"/>
      <c r="AP123" s="9"/>
      <c r="AQ123" s="9"/>
    </row>
    <row r="124" spans="1:43" x14ac:dyDescent="0.25">
      <c r="A124" s="9"/>
      <c r="B124" s="10"/>
      <c r="C124" s="9"/>
      <c r="D124" s="9"/>
      <c r="E124" s="9"/>
      <c r="F124" s="9"/>
      <c r="G124" s="9"/>
      <c r="H124" s="9"/>
      <c r="I124" s="11"/>
      <c r="J124" s="11"/>
      <c r="K124" s="11"/>
      <c r="L124" s="9"/>
      <c r="M124" s="9"/>
      <c r="N124" s="9"/>
      <c r="O124" s="9"/>
      <c r="P124" s="9"/>
      <c r="Q124" s="9"/>
      <c r="R124" s="9"/>
      <c r="S124" s="9"/>
      <c r="T124" s="9"/>
      <c r="U124" s="9"/>
      <c r="V124" s="9"/>
      <c r="W124" s="9"/>
      <c r="X124" s="11"/>
      <c r="Y124" s="9"/>
      <c r="Z124" s="10"/>
      <c r="AA124" s="9"/>
      <c r="AB124" s="9"/>
      <c r="AC124" s="10"/>
      <c r="AD124" s="9"/>
      <c r="AE124" s="9"/>
      <c r="AF124" s="9"/>
      <c r="AG124" s="9"/>
      <c r="AH124" s="9"/>
      <c r="AI124" s="9"/>
      <c r="AJ124" s="9"/>
      <c r="AK124" s="9"/>
      <c r="AL124" s="9"/>
      <c r="AM124" s="11"/>
      <c r="AN124" s="11"/>
      <c r="AO124" s="9"/>
      <c r="AP124" s="9"/>
      <c r="AQ124" s="9"/>
    </row>
    <row r="125" spans="1:43" x14ac:dyDescent="0.25">
      <c r="A125" s="9"/>
      <c r="B125" s="10"/>
      <c r="C125" s="9"/>
      <c r="D125" s="9"/>
      <c r="E125" s="9"/>
      <c r="F125" s="9"/>
      <c r="G125" s="9"/>
      <c r="H125" s="9"/>
      <c r="I125" s="11"/>
      <c r="J125" s="11"/>
      <c r="K125" s="11"/>
      <c r="L125" s="9"/>
      <c r="M125" s="9"/>
      <c r="N125" s="9"/>
      <c r="O125" s="9"/>
      <c r="P125" s="9"/>
      <c r="Q125" s="9"/>
      <c r="R125" s="9"/>
      <c r="S125" s="9"/>
      <c r="T125" s="9"/>
      <c r="U125" s="9"/>
      <c r="V125" s="9"/>
      <c r="W125" s="9"/>
      <c r="X125" s="11"/>
      <c r="Y125" s="9"/>
      <c r="Z125" s="10"/>
      <c r="AA125" s="9"/>
      <c r="AB125" s="9"/>
      <c r="AC125" s="10"/>
      <c r="AD125" s="9"/>
      <c r="AE125" s="9"/>
      <c r="AF125" s="9"/>
      <c r="AG125" s="9"/>
      <c r="AH125" s="9"/>
      <c r="AI125" s="9"/>
      <c r="AJ125" s="9"/>
      <c r="AK125" s="9"/>
      <c r="AL125" s="9"/>
      <c r="AM125" s="11"/>
      <c r="AN125" s="11"/>
      <c r="AO125" s="9"/>
      <c r="AP125" s="9"/>
      <c r="AQ125" s="9"/>
    </row>
    <row r="126" spans="1:43" x14ac:dyDescent="0.25">
      <c r="A126" s="9"/>
      <c r="B126" s="10"/>
      <c r="C126" s="9"/>
      <c r="D126" s="9"/>
      <c r="E126" s="9"/>
      <c r="F126" s="9"/>
      <c r="G126" s="9"/>
      <c r="H126" s="9"/>
      <c r="I126" s="11"/>
      <c r="J126" s="11"/>
      <c r="K126" s="11"/>
      <c r="L126" s="9"/>
      <c r="M126" s="9"/>
      <c r="N126" s="9"/>
      <c r="O126" s="9"/>
      <c r="P126" s="9"/>
      <c r="Q126" s="9"/>
      <c r="R126" s="9"/>
      <c r="S126" s="9"/>
      <c r="T126" s="9"/>
      <c r="U126" s="9"/>
      <c r="V126" s="9"/>
      <c r="W126" s="9"/>
      <c r="X126" s="11"/>
      <c r="Y126" s="9"/>
      <c r="Z126" s="10"/>
      <c r="AA126" s="9"/>
      <c r="AB126" s="9"/>
      <c r="AC126" s="11"/>
      <c r="AD126" s="9"/>
      <c r="AE126" s="9"/>
      <c r="AF126" s="9"/>
      <c r="AG126" s="9"/>
      <c r="AH126" s="9"/>
      <c r="AI126" s="9"/>
      <c r="AJ126" s="9"/>
      <c r="AK126" s="9"/>
      <c r="AL126" s="9"/>
      <c r="AM126" s="11"/>
      <c r="AN126" s="11"/>
      <c r="AO126" s="9"/>
      <c r="AP126" s="9"/>
      <c r="AQ126" s="9"/>
    </row>
    <row r="127" spans="1:43" x14ac:dyDescent="0.25">
      <c r="A127" s="9"/>
      <c r="B127" s="10"/>
      <c r="C127" s="9"/>
      <c r="D127" s="9"/>
      <c r="E127" s="9"/>
      <c r="F127" s="9"/>
      <c r="G127" s="9"/>
      <c r="H127" s="9"/>
      <c r="I127" s="11"/>
      <c r="J127" s="11"/>
      <c r="K127" s="11"/>
      <c r="L127" s="9"/>
      <c r="M127" s="9"/>
      <c r="N127" s="9"/>
      <c r="O127" s="9"/>
      <c r="P127" s="9"/>
      <c r="Q127" s="9"/>
      <c r="R127" s="9"/>
      <c r="S127" s="9"/>
      <c r="T127" s="9"/>
      <c r="U127" s="9"/>
      <c r="V127" s="9"/>
      <c r="W127" s="9"/>
      <c r="X127" s="11"/>
      <c r="Y127" s="9"/>
      <c r="Z127" s="10"/>
      <c r="AA127" s="9"/>
      <c r="AB127" s="9"/>
      <c r="AC127" s="10"/>
      <c r="AD127" s="9"/>
      <c r="AE127" s="9"/>
      <c r="AF127" s="9"/>
      <c r="AG127" s="9"/>
      <c r="AH127" s="9"/>
      <c r="AI127" s="9"/>
      <c r="AJ127" s="9"/>
      <c r="AK127" s="9"/>
      <c r="AL127" s="9"/>
      <c r="AM127" s="11"/>
      <c r="AN127" s="11"/>
      <c r="AO127" s="9"/>
      <c r="AP127" s="9"/>
      <c r="AQ127" s="9"/>
    </row>
    <row r="128" spans="1:43" x14ac:dyDescent="0.25">
      <c r="A128" s="9"/>
      <c r="B128" s="10"/>
      <c r="C128" s="9"/>
      <c r="D128" s="9"/>
      <c r="E128" s="9"/>
      <c r="F128" s="9"/>
      <c r="G128" s="9"/>
      <c r="H128" s="9"/>
      <c r="I128" s="11"/>
      <c r="J128" s="11"/>
      <c r="K128" s="11"/>
      <c r="L128" s="9"/>
      <c r="M128" s="9"/>
      <c r="N128" s="9"/>
      <c r="O128" s="9"/>
      <c r="P128" s="9"/>
      <c r="Q128" s="9"/>
      <c r="R128" s="9"/>
      <c r="S128" s="9"/>
      <c r="T128" s="9"/>
      <c r="U128" s="9"/>
      <c r="V128" s="9"/>
      <c r="W128" s="9"/>
      <c r="X128" s="11"/>
      <c r="Y128" s="9"/>
      <c r="Z128" s="10"/>
      <c r="AA128" s="9"/>
      <c r="AB128" s="9"/>
      <c r="AC128" s="10"/>
      <c r="AD128" s="9"/>
      <c r="AE128" s="9"/>
      <c r="AF128" s="9"/>
      <c r="AG128" s="9"/>
      <c r="AH128" s="9"/>
      <c r="AI128" s="9"/>
      <c r="AJ128" s="9"/>
      <c r="AK128" s="9"/>
      <c r="AL128" s="9"/>
      <c r="AM128" s="11"/>
      <c r="AN128" s="11"/>
      <c r="AO128" s="9"/>
      <c r="AP128" s="9"/>
      <c r="AQ128" s="9"/>
    </row>
    <row r="129" spans="1:43" x14ac:dyDescent="0.25">
      <c r="A129" s="9"/>
      <c r="B129" s="10"/>
      <c r="C129" s="9"/>
      <c r="D129" s="9"/>
      <c r="E129" s="9"/>
      <c r="F129" s="9"/>
      <c r="G129" s="9"/>
      <c r="H129" s="9"/>
      <c r="I129" s="11"/>
      <c r="J129" s="11"/>
      <c r="K129" s="11"/>
      <c r="L129" s="9"/>
      <c r="M129" s="9"/>
      <c r="N129" s="9"/>
      <c r="O129" s="9"/>
      <c r="P129" s="9"/>
      <c r="Q129" s="9"/>
      <c r="R129" s="9"/>
      <c r="S129" s="9"/>
      <c r="T129" s="9"/>
      <c r="U129" s="9"/>
      <c r="V129" s="9"/>
      <c r="W129" s="9"/>
      <c r="X129" s="11"/>
      <c r="Y129" s="9"/>
      <c r="Z129" s="10"/>
      <c r="AA129" s="9"/>
      <c r="AB129" s="9"/>
      <c r="AC129" s="10"/>
      <c r="AD129" s="9"/>
      <c r="AE129" s="9"/>
      <c r="AF129" s="9"/>
      <c r="AG129" s="9"/>
      <c r="AH129" s="9"/>
      <c r="AI129" s="9"/>
      <c r="AJ129" s="9"/>
      <c r="AK129" s="9"/>
      <c r="AL129" s="9"/>
      <c r="AM129" s="11"/>
      <c r="AN129" s="11"/>
      <c r="AO129" s="9"/>
      <c r="AP129" s="9"/>
      <c r="AQ129" s="9"/>
    </row>
    <row r="130" spans="1:43" x14ac:dyDescent="0.25">
      <c r="A130" s="9"/>
      <c r="B130" s="10"/>
      <c r="C130" s="9"/>
      <c r="D130" s="9"/>
      <c r="E130" s="9"/>
      <c r="F130" s="9"/>
      <c r="G130" s="9"/>
      <c r="H130" s="9"/>
      <c r="I130" s="11"/>
      <c r="J130" s="11"/>
      <c r="K130" s="11"/>
      <c r="L130" s="9"/>
      <c r="M130" s="9"/>
      <c r="N130" s="9"/>
      <c r="O130" s="9"/>
      <c r="P130" s="9"/>
      <c r="Q130" s="9"/>
      <c r="R130" s="9"/>
      <c r="S130" s="9"/>
      <c r="T130" s="9"/>
      <c r="U130" s="9"/>
      <c r="V130" s="9"/>
      <c r="W130" s="9"/>
      <c r="X130" s="11"/>
      <c r="Y130" s="9"/>
      <c r="Z130" s="10"/>
      <c r="AA130" s="9"/>
      <c r="AB130" s="9"/>
      <c r="AC130" s="10"/>
      <c r="AD130" s="9"/>
      <c r="AE130" s="9"/>
      <c r="AF130" s="9"/>
      <c r="AG130" s="9"/>
      <c r="AH130" s="9"/>
      <c r="AI130" s="9"/>
      <c r="AJ130" s="9"/>
      <c r="AK130" s="9"/>
      <c r="AL130" s="9"/>
      <c r="AM130" s="11"/>
      <c r="AN130" s="11"/>
      <c r="AO130" s="9"/>
      <c r="AP130" s="9"/>
      <c r="AQ130" s="9"/>
    </row>
    <row r="131" spans="1:43" x14ac:dyDescent="0.25">
      <c r="A131" s="9"/>
      <c r="B131" s="10"/>
      <c r="C131" s="9"/>
      <c r="D131" s="9"/>
      <c r="E131" s="9"/>
      <c r="F131" s="9"/>
      <c r="G131" s="9"/>
      <c r="H131" s="9"/>
      <c r="I131" s="11"/>
      <c r="J131" s="11"/>
      <c r="K131" s="10"/>
      <c r="L131" s="9"/>
      <c r="M131" s="9"/>
      <c r="N131" s="9"/>
      <c r="O131" s="9"/>
      <c r="P131" s="9"/>
      <c r="Q131" s="9"/>
      <c r="R131" s="9"/>
      <c r="S131" s="9"/>
      <c r="T131" s="9"/>
      <c r="U131" s="9"/>
      <c r="V131" s="9"/>
      <c r="W131" s="9"/>
      <c r="X131" s="11"/>
      <c r="Y131" s="9"/>
      <c r="Z131" s="10"/>
      <c r="AA131" s="9"/>
      <c r="AB131" s="9"/>
      <c r="AC131" s="10"/>
      <c r="AD131" s="9"/>
      <c r="AE131" s="9"/>
      <c r="AF131" s="9"/>
      <c r="AG131" s="9"/>
      <c r="AH131" s="9"/>
      <c r="AI131" s="9"/>
      <c r="AJ131" s="9"/>
      <c r="AK131" s="9"/>
      <c r="AL131" s="9"/>
      <c r="AM131" s="11"/>
      <c r="AN131" s="11"/>
      <c r="AO131" s="9"/>
      <c r="AP131" s="9"/>
      <c r="AQ131" s="9"/>
    </row>
    <row r="132" spans="1:43" x14ac:dyDescent="0.25">
      <c r="A132" s="9"/>
      <c r="B132" s="10"/>
      <c r="C132" s="9"/>
      <c r="D132" s="9"/>
      <c r="E132" s="9"/>
      <c r="F132" s="9"/>
      <c r="G132" s="9"/>
      <c r="H132" s="9"/>
      <c r="I132" s="11"/>
      <c r="J132" s="11"/>
      <c r="K132" s="10"/>
      <c r="L132" s="9"/>
      <c r="M132" s="9"/>
      <c r="N132" s="9"/>
      <c r="O132" s="9"/>
      <c r="P132" s="9"/>
      <c r="Q132" s="9"/>
      <c r="R132" s="9"/>
      <c r="S132" s="9"/>
      <c r="T132" s="9"/>
      <c r="U132" s="9"/>
      <c r="V132" s="9"/>
      <c r="W132" s="9"/>
      <c r="X132" s="11"/>
      <c r="Y132" s="9"/>
      <c r="Z132" s="10"/>
      <c r="AA132" s="9"/>
      <c r="AB132" s="9"/>
      <c r="AC132" s="10"/>
      <c r="AD132" s="9"/>
      <c r="AE132" s="9"/>
      <c r="AF132" s="9"/>
      <c r="AG132" s="9"/>
      <c r="AH132" s="9"/>
      <c r="AI132" s="9"/>
      <c r="AJ132" s="9"/>
      <c r="AK132" s="9"/>
      <c r="AL132" s="9"/>
      <c r="AM132" s="11"/>
      <c r="AN132" s="11"/>
      <c r="AO132" s="9"/>
      <c r="AP132" s="9"/>
      <c r="AQ132" s="9"/>
    </row>
    <row r="133" spans="1:43" x14ac:dyDescent="0.25">
      <c r="A133" s="9"/>
      <c r="B133" s="10"/>
      <c r="C133" s="9"/>
      <c r="D133" s="9"/>
      <c r="E133" s="9"/>
      <c r="F133" s="9"/>
      <c r="G133" s="9"/>
      <c r="H133" s="9"/>
      <c r="I133" s="11"/>
      <c r="J133" s="11"/>
      <c r="K133" s="10"/>
      <c r="L133" s="9"/>
      <c r="M133" s="9"/>
      <c r="N133" s="9"/>
      <c r="O133" s="9"/>
      <c r="P133" s="9"/>
      <c r="Q133" s="9"/>
      <c r="R133" s="9"/>
      <c r="S133" s="9"/>
      <c r="T133" s="9"/>
      <c r="U133" s="9"/>
      <c r="V133" s="9"/>
      <c r="W133" s="9"/>
      <c r="X133" s="11"/>
      <c r="Y133" s="9"/>
      <c r="Z133" s="10"/>
      <c r="AA133" s="9"/>
      <c r="AB133" s="9"/>
      <c r="AC133" s="10"/>
      <c r="AD133" s="9"/>
      <c r="AE133" s="9"/>
      <c r="AF133" s="9"/>
      <c r="AG133" s="9"/>
      <c r="AH133" s="9"/>
      <c r="AI133" s="9"/>
      <c r="AJ133" s="9"/>
      <c r="AK133" s="9"/>
      <c r="AL133" s="9"/>
      <c r="AM133" s="10"/>
      <c r="AN133" s="11"/>
      <c r="AO133" s="9"/>
      <c r="AP133" s="9"/>
      <c r="AQ133" s="9"/>
    </row>
    <row r="134" spans="1:43" x14ac:dyDescent="0.25">
      <c r="A134" s="9"/>
      <c r="B134" s="10"/>
      <c r="C134" s="9"/>
      <c r="D134" s="9"/>
      <c r="E134" s="9"/>
      <c r="F134" s="9"/>
      <c r="G134" s="9"/>
      <c r="H134" s="9"/>
      <c r="I134" s="11"/>
      <c r="J134" s="11"/>
      <c r="K134" s="11"/>
      <c r="L134" s="9"/>
      <c r="M134" s="9"/>
      <c r="N134" s="9"/>
      <c r="O134" s="9"/>
      <c r="P134" s="9"/>
      <c r="Q134" s="9"/>
      <c r="R134" s="9"/>
      <c r="S134" s="9"/>
      <c r="T134" s="9"/>
      <c r="U134" s="9"/>
      <c r="V134" s="9"/>
      <c r="W134" s="9"/>
      <c r="X134" s="11"/>
      <c r="Y134" s="9"/>
      <c r="Z134" s="10"/>
      <c r="AA134" s="9"/>
      <c r="AB134" s="9"/>
      <c r="AC134" s="10"/>
      <c r="AD134" s="9"/>
      <c r="AE134" s="9"/>
      <c r="AF134" s="9"/>
      <c r="AG134" s="9"/>
      <c r="AH134" s="9"/>
      <c r="AI134" s="9"/>
      <c r="AJ134" s="9"/>
      <c r="AK134" s="9"/>
      <c r="AL134" s="9"/>
      <c r="AM134" s="11"/>
      <c r="AN134" s="11"/>
      <c r="AO134" s="9"/>
      <c r="AP134" s="9"/>
      <c r="AQ134" s="9"/>
    </row>
    <row r="135" spans="1:43" x14ac:dyDescent="0.25">
      <c r="A135" s="9"/>
      <c r="B135" s="10"/>
      <c r="C135" s="9"/>
      <c r="D135" s="9"/>
      <c r="E135" s="9"/>
      <c r="F135" s="9"/>
      <c r="G135" s="9"/>
      <c r="H135" s="9"/>
      <c r="I135" s="11"/>
      <c r="J135" s="11"/>
      <c r="K135" s="11"/>
      <c r="L135" s="9"/>
      <c r="M135" s="9"/>
      <c r="N135" s="9"/>
      <c r="O135" s="9"/>
      <c r="P135" s="9"/>
      <c r="Q135" s="9"/>
      <c r="R135" s="9"/>
      <c r="S135" s="9"/>
      <c r="T135" s="9"/>
      <c r="U135" s="9"/>
      <c r="V135" s="9"/>
      <c r="W135" s="9"/>
      <c r="X135" s="11"/>
      <c r="Y135" s="9"/>
      <c r="Z135" s="10"/>
      <c r="AA135" s="9"/>
      <c r="AB135" s="9"/>
      <c r="AC135" s="11"/>
      <c r="AD135" s="9"/>
      <c r="AE135" s="9"/>
      <c r="AF135" s="9"/>
      <c r="AG135" s="9"/>
      <c r="AH135" s="9"/>
      <c r="AI135" s="9"/>
      <c r="AJ135" s="9"/>
      <c r="AK135" s="9"/>
      <c r="AL135" s="9"/>
      <c r="AM135" s="11"/>
      <c r="AN135" s="11"/>
      <c r="AO135" s="9"/>
      <c r="AP135" s="9"/>
      <c r="AQ135" s="9"/>
    </row>
    <row r="136" spans="1:43" x14ac:dyDescent="0.25">
      <c r="A136" s="9"/>
      <c r="B136" s="10"/>
      <c r="C136" s="9"/>
      <c r="D136" s="9"/>
      <c r="E136" s="9"/>
      <c r="F136" s="9"/>
      <c r="G136" s="9"/>
      <c r="H136" s="9"/>
      <c r="I136" s="11"/>
      <c r="J136" s="11"/>
      <c r="K136" s="10"/>
      <c r="L136" s="9"/>
      <c r="M136" s="9"/>
      <c r="N136" s="9"/>
      <c r="O136" s="9"/>
      <c r="P136" s="9"/>
      <c r="Q136" s="9"/>
      <c r="R136" s="9"/>
      <c r="S136" s="9"/>
      <c r="T136" s="9"/>
      <c r="U136" s="9"/>
      <c r="V136" s="9"/>
      <c r="W136" s="9"/>
      <c r="X136" s="11"/>
      <c r="Y136" s="9"/>
      <c r="Z136" s="10"/>
      <c r="AA136" s="9"/>
      <c r="AB136" s="9"/>
      <c r="AC136" s="10"/>
      <c r="AD136" s="9"/>
      <c r="AE136" s="9"/>
      <c r="AF136" s="9"/>
      <c r="AG136" s="9"/>
      <c r="AH136" s="9"/>
      <c r="AI136" s="9"/>
      <c r="AJ136" s="9"/>
      <c r="AK136" s="9"/>
      <c r="AL136" s="9"/>
      <c r="AM136" s="10"/>
      <c r="AN136" s="11"/>
      <c r="AO136" s="9"/>
      <c r="AP136" s="9"/>
      <c r="AQ136" s="9"/>
    </row>
    <row r="137" spans="1:43" x14ac:dyDescent="0.25">
      <c r="A137" s="9"/>
      <c r="B137" s="10"/>
      <c r="C137" s="9"/>
      <c r="D137" s="9"/>
      <c r="E137" s="9"/>
      <c r="F137" s="9"/>
      <c r="G137" s="9"/>
      <c r="H137" s="9"/>
      <c r="I137" s="11"/>
      <c r="J137" s="11"/>
      <c r="K137" s="11"/>
      <c r="L137" s="9"/>
      <c r="M137" s="9"/>
      <c r="N137" s="9"/>
      <c r="O137" s="9"/>
      <c r="P137" s="9"/>
      <c r="Q137" s="9"/>
      <c r="R137" s="9"/>
      <c r="S137" s="9"/>
      <c r="T137" s="9"/>
      <c r="U137" s="9"/>
      <c r="V137" s="9"/>
      <c r="W137" s="9"/>
      <c r="X137" s="11"/>
      <c r="Y137" s="9"/>
      <c r="Z137" s="10"/>
      <c r="AA137" s="9"/>
      <c r="AB137" s="9"/>
      <c r="AC137" s="11"/>
      <c r="AD137" s="9"/>
      <c r="AE137" s="9"/>
      <c r="AF137" s="9"/>
      <c r="AG137" s="9"/>
      <c r="AH137" s="9"/>
      <c r="AI137" s="9"/>
      <c r="AJ137" s="9"/>
      <c r="AK137" s="9"/>
      <c r="AL137" s="9"/>
      <c r="AM137" s="11"/>
      <c r="AN137" s="11"/>
      <c r="AO137" s="9"/>
      <c r="AP137" s="9"/>
      <c r="AQ137" s="9"/>
    </row>
    <row r="138" spans="1:43" x14ac:dyDescent="0.25">
      <c r="A138" s="9"/>
      <c r="B138" s="10"/>
      <c r="C138" s="9"/>
      <c r="D138" s="9"/>
      <c r="E138" s="9"/>
      <c r="F138" s="9"/>
      <c r="G138" s="9"/>
      <c r="H138" s="9"/>
      <c r="I138" s="11"/>
      <c r="J138" s="11"/>
      <c r="K138" s="10"/>
      <c r="L138" s="9"/>
      <c r="M138" s="9"/>
      <c r="N138" s="9"/>
      <c r="O138" s="9"/>
      <c r="P138" s="9"/>
      <c r="Q138" s="9"/>
      <c r="R138" s="9"/>
      <c r="S138" s="9"/>
      <c r="T138" s="9"/>
      <c r="U138" s="9"/>
      <c r="V138" s="9"/>
      <c r="W138" s="9"/>
      <c r="X138" s="11"/>
      <c r="Y138" s="9"/>
      <c r="Z138" s="10"/>
      <c r="AA138" s="9"/>
      <c r="AB138" s="9"/>
      <c r="AC138" s="10"/>
      <c r="AD138" s="9"/>
      <c r="AE138" s="9"/>
      <c r="AF138" s="9"/>
      <c r="AG138" s="9"/>
      <c r="AH138" s="9"/>
      <c r="AI138" s="9"/>
      <c r="AJ138" s="9"/>
      <c r="AK138" s="9"/>
      <c r="AL138" s="9"/>
      <c r="AM138" s="11"/>
      <c r="AN138" s="11"/>
      <c r="AO138" s="9"/>
      <c r="AP138" s="9"/>
      <c r="AQ138" s="9"/>
    </row>
    <row r="139" spans="1:43" x14ac:dyDescent="0.25">
      <c r="A139" s="9"/>
      <c r="B139" s="10"/>
      <c r="C139" s="9"/>
      <c r="D139" s="9"/>
      <c r="E139" s="9"/>
      <c r="F139" s="9"/>
      <c r="G139" s="9"/>
      <c r="H139" s="9"/>
      <c r="I139" s="11"/>
      <c r="J139" s="11"/>
      <c r="K139" s="10"/>
      <c r="L139" s="9"/>
      <c r="M139" s="9"/>
      <c r="N139" s="9"/>
      <c r="O139" s="9"/>
      <c r="P139" s="9"/>
      <c r="Q139" s="9"/>
      <c r="R139" s="9"/>
      <c r="S139" s="9"/>
      <c r="T139" s="9"/>
      <c r="U139" s="9"/>
      <c r="V139" s="9"/>
      <c r="W139" s="9"/>
      <c r="X139" s="11"/>
      <c r="Y139" s="9"/>
      <c r="Z139" s="10"/>
      <c r="AA139" s="9"/>
      <c r="AB139" s="9"/>
      <c r="AC139" s="10"/>
      <c r="AD139" s="9"/>
      <c r="AE139" s="9"/>
      <c r="AF139" s="9"/>
      <c r="AG139" s="9"/>
      <c r="AH139" s="9"/>
      <c r="AI139" s="9"/>
      <c r="AJ139" s="9"/>
      <c r="AK139" s="9"/>
      <c r="AL139" s="9"/>
      <c r="AM139" s="11"/>
      <c r="AN139" s="11"/>
      <c r="AO139" s="9"/>
      <c r="AP139" s="9"/>
      <c r="AQ139" s="9"/>
    </row>
    <row r="140" spans="1:43" x14ac:dyDescent="0.25">
      <c r="A140" s="9"/>
      <c r="B140" s="10"/>
      <c r="C140" s="9"/>
      <c r="D140" s="9"/>
      <c r="E140" s="9"/>
      <c r="F140" s="9"/>
      <c r="G140" s="9"/>
      <c r="H140" s="9"/>
      <c r="I140" s="11"/>
      <c r="J140" s="11"/>
      <c r="K140" s="11"/>
      <c r="L140" s="9"/>
      <c r="M140" s="9"/>
      <c r="N140" s="9"/>
      <c r="O140" s="9"/>
      <c r="P140" s="9"/>
      <c r="Q140" s="9"/>
      <c r="R140" s="9"/>
      <c r="S140" s="9"/>
      <c r="T140" s="9"/>
      <c r="U140" s="9"/>
      <c r="V140" s="9"/>
      <c r="W140" s="9"/>
      <c r="X140" s="11"/>
      <c r="Y140" s="9"/>
      <c r="Z140" s="10"/>
      <c r="AA140" s="9"/>
      <c r="AB140" s="9"/>
      <c r="AC140" s="10"/>
      <c r="AD140" s="9"/>
      <c r="AE140" s="9"/>
      <c r="AF140" s="9"/>
      <c r="AG140" s="9"/>
      <c r="AH140" s="9"/>
      <c r="AI140" s="9"/>
      <c r="AJ140" s="9"/>
      <c r="AK140" s="9"/>
      <c r="AL140" s="9"/>
      <c r="AM140" s="11"/>
      <c r="AN140" s="11"/>
      <c r="AO140" s="9"/>
      <c r="AP140" s="9"/>
      <c r="AQ140" s="9"/>
    </row>
    <row r="141" spans="1:43" x14ac:dyDescent="0.25">
      <c r="A141" s="9"/>
      <c r="B141" s="10"/>
      <c r="C141" s="9"/>
      <c r="D141" s="9"/>
      <c r="E141" s="9"/>
      <c r="F141" s="9"/>
      <c r="G141" s="9"/>
      <c r="H141" s="9"/>
      <c r="I141" s="11"/>
      <c r="J141" s="11"/>
      <c r="K141" s="11"/>
      <c r="L141" s="9"/>
      <c r="M141" s="9"/>
      <c r="N141" s="9"/>
      <c r="O141" s="9"/>
      <c r="P141" s="9"/>
      <c r="Q141" s="9"/>
      <c r="R141" s="9"/>
      <c r="S141" s="9"/>
      <c r="T141" s="9"/>
      <c r="U141" s="9"/>
      <c r="V141" s="9"/>
      <c r="W141" s="9"/>
      <c r="X141" s="11"/>
      <c r="Y141" s="9"/>
      <c r="Z141" s="10"/>
      <c r="AA141" s="9"/>
      <c r="AB141" s="9"/>
      <c r="AC141" s="11"/>
      <c r="AD141" s="9"/>
      <c r="AE141" s="9"/>
      <c r="AF141" s="9"/>
      <c r="AG141" s="9"/>
      <c r="AH141" s="9"/>
      <c r="AI141" s="9"/>
      <c r="AJ141" s="9"/>
      <c r="AK141" s="9"/>
      <c r="AL141" s="9"/>
      <c r="AM141" s="11"/>
      <c r="AN141" s="11"/>
      <c r="AO141" s="9"/>
      <c r="AP141" s="9"/>
      <c r="AQ141" s="9"/>
    </row>
    <row r="142" spans="1:43" x14ac:dyDescent="0.25">
      <c r="A142" s="9"/>
      <c r="B142" s="10"/>
      <c r="C142" s="9"/>
      <c r="D142" s="9"/>
      <c r="E142" s="9"/>
      <c r="F142" s="9"/>
      <c r="G142" s="9"/>
      <c r="H142" s="9"/>
      <c r="I142" s="11"/>
      <c r="J142" s="11"/>
      <c r="K142" s="11"/>
      <c r="L142" s="9"/>
      <c r="M142" s="9"/>
      <c r="N142" s="9"/>
      <c r="O142" s="9"/>
      <c r="P142" s="9"/>
      <c r="Q142" s="9"/>
      <c r="R142" s="9"/>
      <c r="S142" s="9"/>
      <c r="T142" s="9"/>
      <c r="U142" s="9"/>
      <c r="V142" s="9"/>
      <c r="W142" s="9"/>
      <c r="X142" s="11"/>
      <c r="Y142" s="9"/>
      <c r="Z142" s="10"/>
      <c r="AA142" s="9"/>
      <c r="AB142" s="9"/>
      <c r="AC142" s="11"/>
      <c r="AD142" s="9"/>
      <c r="AE142" s="9"/>
      <c r="AF142" s="9"/>
      <c r="AG142" s="9"/>
      <c r="AH142" s="9"/>
      <c r="AI142" s="9"/>
      <c r="AJ142" s="9"/>
      <c r="AK142" s="9"/>
      <c r="AL142" s="9"/>
      <c r="AM142" s="11"/>
      <c r="AN142" s="11"/>
      <c r="AO142" s="9"/>
      <c r="AP142" s="9"/>
      <c r="AQ142" s="9"/>
    </row>
    <row r="143" spans="1:43" x14ac:dyDescent="0.25">
      <c r="A143" s="9"/>
      <c r="B143" s="10"/>
      <c r="C143" s="9"/>
      <c r="D143" s="9"/>
      <c r="E143" s="9"/>
      <c r="F143" s="9"/>
      <c r="G143" s="9"/>
      <c r="H143" s="9"/>
      <c r="I143" s="11"/>
      <c r="J143" s="11"/>
      <c r="K143" s="11"/>
      <c r="L143" s="9"/>
      <c r="M143" s="9"/>
      <c r="N143" s="9"/>
      <c r="O143" s="9"/>
      <c r="P143" s="9"/>
      <c r="Q143" s="9"/>
      <c r="R143" s="9"/>
      <c r="S143" s="9"/>
      <c r="T143" s="9"/>
      <c r="U143" s="9"/>
      <c r="V143" s="9"/>
      <c r="W143" s="9"/>
      <c r="X143" s="11"/>
      <c r="Y143" s="9"/>
      <c r="Z143" s="10"/>
      <c r="AA143" s="9"/>
      <c r="AB143" s="9"/>
      <c r="AC143" s="10"/>
      <c r="AD143" s="9"/>
      <c r="AE143" s="9"/>
      <c r="AF143" s="9"/>
      <c r="AG143" s="9"/>
      <c r="AH143" s="9"/>
      <c r="AI143" s="9"/>
      <c r="AJ143" s="9"/>
      <c r="AK143" s="9"/>
      <c r="AL143" s="9"/>
      <c r="AM143" s="11"/>
      <c r="AN143" s="11"/>
      <c r="AO143" s="9"/>
      <c r="AP143" s="9"/>
      <c r="AQ143" s="9"/>
    </row>
    <row r="144" spans="1:43" x14ac:dyDescent="0.25">
      <c r="A144" s="9"/>
      <c r="B144" s="10"/>
      <c r="C144" s="9"/>
      <c r="D144" s="9"/>
      <c r="E144" s="9"/>
      <c r="F144" s="9"/>
      <c r="G144" s="9"/>
      <c r="H144" s="9"/>
      <c r="I144" s="11"/>
      <c r="J144" s="11"/>
      <c r="K144" s="11"/>
      <c r="L144" s="9"/>
      <c r="M144" s="9"/>
      <c r="N144" s="9"/>
      <c r="O144" s="9"/>
      <c r="P144" s="9"/>
      <c r="Q144" s="9"/>
      <c r="R144" s="9"/>
      <c r="S144" s="9"/>
      <c r="T144" s="9"/>
      <c r="U144" s="9"/>
      <c r="V144" s="9"/>
      <c r="W144" s="9"/>
      <c r="X144" s="11"/>
      <c r="Y144" s="9"/>
      <c r="Z144" s="10"/>
      <c r="AA144" s="9"/>
      <c r="AB144" s="9"/>
      <c r="AC144" s="10"/>
      <c r="AD144" s="9"/>
      <c r="AE144" s="9"/>
      <c r="AF144" s="9"/>
      <c r="AG144" s="9"/>
      <c r="AH144" s="9"/>
      <c r="AI144" s="9"/>
      <c r="AJ144" s="9"/>
      <c r="AK144" s="9"/>
      <c r="AL144" s="9"/>
      <c r="AM144" s="11"/>
      <c r="AN144" s="11"/>
      <c r="AO144" s="9"/>
      <c r="AP144" s="9"/>
      <c r="AQ144" s="9"/>
    </row>
    <row r="145" spans="1:43" x14ac:dyDescent="0.25">
      <c r="A145" s="9"/>
      <c r="B145" s="10"/>
      <c r="C145" s="9"/>
      <c r="D145" s="9"/>
      <c r="E145" s="9"/>
      <c r="F145" s="9"/>
      <c r="G145" s="9"/>
      <c r="H145" s="9"/>
      <c r="I145" s="11"/>
      <c r="J145" s="11"/>
      <c r="K145" s="10"/>
      <c r="L145" s="9"/>
      <c r="M145" s="9"/>
      <c r="N145" s="9"/>
      <c r="O145" s="9"/>
      <c r="P145" s="9"/>
      <c r="Q145" s="9"/>
      <c r="R145" s="9"/>
      <c r="S145" s="9"/>
      <c r="T145" s="9"/>
      <c r="U145" s="9"/>
      <c r="V145" s="9"/>
      <c r="W145" s="9"/>
      <c r="X145" s="11"/>
      <c r="Y145" s="9"/>
      <c r="Z145" s="10"/>
      <c r="AA145" s="9"/>
      <c r="AB145" s="9"/>
      <c r="AC145" s="10"/>
      <c r="AD145" s="9"/>
      <c r="AE145" s="9"/>
      <c r="AF145" s="9"/>
      <c r="AG145" s="9"/>
      <c r="AH145" s="9"/>
      <c r="AI145" s="9"/>
      <c r="AJ145" s="9"/>
      <c r="AK145" s="9"/>
      <c r="AL145" s="9"/>
      <c r="AM145" s="10"/>
      <c r="AN145" s="11"/>
      <c r="AO145" s="9"/>
      <c r="AP145" s="9"/>
      <c r="AQ145" s="9"/>
    </row>
    <row r="146" spans="1:43" x14ac:dyDescent="0.25">
      <c r="A146" s="9"/>
      <c r="B146" s="10"/>
      <c r="C146" s="9"/>
      <c r="D146" s="9"/>
      <c r="E146" s="9"/>
      <c r="F146" s="9"/>
      <c r="G146" s="9"/>
      <c r="H146" s="9"/>
      <c r="I146" s="11"/>
      <c r="J146" s="11"/>
      <c r="K146" s="10"/>
      <c r="L146" s="9"/>
      <c r="M146" s="9"/>
      <c r="N146" s="9"/>
      <c r="O146" s="9"/>
      <c r="P146" s="9"/>
      <c r="Q146" s="9"/>
      <c r="R146" s="9"/>
      <c r="S146" s="9"/>
      <c r="T146" s="9"/>
      <c r="U146" s="9"/>
      <c r="V146" s="9"/>
      <c r="W146" s="9"/>
      <c r="X146" s="11"/>
      <c r="Y146" s="9"/>
      <c r="Z146" s="10"/>
      <c r="AA146" s="9"/>
      <c r="AB146" s="9"/>
      <c r="AC146" s="10"/>
      <c r="AD146" s="9"/>
      <c r="AE146" s="9"/>
      <c r="AF146" s="9"/>
      <c r="AG146" s="9"/>
      <c r="AH146" s="9"/>
      <c r="AI146" s="9"/>
      <c r="AJ146" s="9"/>
      <c r="AK146" s="9"/>
      <c r="AL146" s="9"/>
      <c r="AM146" s="11"/>
      <c r="AN146" s="11"/>
      <c r="AO146" s="9"/>
      <c r="AP146" s="9"/>
      <c r="AQ146" s="9"/>
    </row>
    <row r="147" spans="1:43" x14ac:dyDescent="0.25">
      <c r="A147" s="9"/>
      <c r="B147" s="10"/>
      <c r="C147" s="9"/>
      <c r="D147" s="9"/>
      <c r="E147" s="9"/>
      <c r="F147" s="9"/>
      <c r="G147" s="9"/>
      <c r="H147" s="9"/>
      <c r="I147" s="11"/>
      <c r="J147" s="11"/>
      <c r="K147" s="10"/>
      <c r="L147" s="9"/>
      <c r="M147" s="9"/>
      <c r="N147" s="9"/>
      <c r="O147" s="9"/>
      <c r="P147" s="9"/>
      <c r="Q147" s="9"/>
      <c r="R147" s="9"/>
      <c r="S147" s="9"/>
      <c r="T147" s="9"/>
      <c r="U147" s="9"/>
      <c r="V147" s="9"/>
      <c r="W147" s="9"/>
      <c r="X147" s="11"/>
      <c r="Y147" s="9"/>
      <c r="Z147" s="10"/>
      <c r="AA147" s="9"/>
      <c r="AB147" s="9"/>
      <c r="AC147" s="10"/>
      <c r="AD147" s="9"/>
      <c r="AE147" s="9"/>
      <c r="AF147" s="9"/>
      <c r="AG147" s="9"/>
      <c r="AH147" s="9"/>
      <c r="AI147" s="9"/>
      <c r="AJ147" s="9"/>
      <c r="AK147" s="9"/>
      <c r="AL147" s="9"/>
      <c r="AM147" s="10"/>
      <c r="AN147" s="11"/>
      <c r="AO147" s="9"/>
      <c r="AP147" s="9"/>
      <c r="AQ147" s="9"/>
    </row>
    <row r="148" spans="1:43" x14ac:dyDescent="0.25">
      <c r="A148" s="9"/>
      <c r="B148" s="10"/>
      <c r="C148" s="9"/>
      <c r="D148" s="9"/>
      <c r="E148" s="9"/>
      <c r="F148" s="9"/>
      <c r="G148" s="9"/>
      <c r="H148" s="9"/>
      <c r="I148" s="11"/>
      <c r="J148" s="11"/>
      <c r="K148" s="11"/>
      <c r="L148" s="9"/>
      <c r="M148" s="9"/>
      <c r="N148" s="9"/>
      <c r="O148" s="9"/>
      <c r="P148" s="9"/>
      <c r="Q148" s="9"/>
      <c r="R148" s="9"/>
      <c r="S148" s="9"/>
      <c r="T148" s="9"/>
      <c r="U148" s="9"/>
      <c r="V148" s="9"/>
      <c r="W148" s="9"/>
      <c r="X148" s="11"/>
      <c r="Y148" s="9"/>
      <c r="Z148" s="10"/>
      <c r="AA148" s="9"/>
      <c r="AB148" s="9"/>
      <c r="AC148" s="10"/>
      <c r="AD148" s="9"/>
      <c r="AE148" s="9"/>
      <c r="AF148" s="9"/>
      <c r="AG148" s="9"/>
      <c r="AH148" s="9"/>
      <c r="AI148" s="9"/>
      <c r="AJ148" s="9"/>
      <c r="AK148" s="9"/>
      <c r="AL148" s="9"/>
      <c r="AM148" s="11"/>
      <c r="AN148" s="11"/>
      <c r="AO148" s="9"/>
      <c r="AP148" s="9"/>
      <c r="AQ148" s="9"/>
    </row>
    <row r="149" spans="1:43" x14ac:dyDescent="0.25">
      <c r="A149" s="9"/>
      <c r="B149" s="10"/>
      <c r="C149" s="9"/>
      <c r="D149" s="9"/>
      <c r="E149" s="9"/>
      <c r="F149" s="9"/>
      <c r="G149" s="9"/>
      <c r="H149" s="9"/>
      <c r="I149" s="11"/>
      <c r="J149" s="11"/>
      <c r="K149" s="10"/>
      <c r="L149" s="9"/>
      <c r="M149" s="9"/>
      <c r="N149" s="9"/>
      <c r="O149" s="9"/>
      <c r="P149" s="9"/>
      <c r="Q149" s="9"/>
      <c r="R149" s="9"/>
      <c r="S149" s="9"/>
      <c r="T149" s="9"/>
      <c r="U149" s="9"/>
      <c r="V149" s="9"/>
      <c r="W149" s="9"/>
      <c r="X149" s="11"/>
      <c r="Y149" s="9"/>
      <c r="Z149" s="10"/>
      <c r="AA149" s="9"/>
      <c r="AB149" s="9"/>
      <c r="AC149" s="10"/>
      <c r="AD149" s="9"/>
      <c r="AE149" s="9"/>
      <c r="AF149" s="9"/>
      <c r="AG149" s="9"/>
      <c r="AH149" s="9"/>
      <c r="AI149" s="9"/>
      <c r="AJ149" s="9"/>
      <c r="AK149" s="9"/>
      <c r="AL149" s="9"/>
      <c r="AM149" s="11"/>
      <c r="AN149" s="11"/>
      <c r="AO149" s="9"/>
      <c r="AP149" s="9"/>
      <c r="AQ149" s="9"/>
    </row>
    <row r="150" spans="1:43" x14ac:dyDescent="0.25">
      <c r="A150" s="9"/>
      <c r="B150" s="10"/>
      <c r="C150" s="9"/>
      <c r="D150" s="9"/>
      <c r="E150" s="9"/>
      <c r="F150" s="9"/>
      <c r="G150" s="9"/>
      <c r="H150" s="9"/>
      <c r="I150" s="11"/>
      <c r="J150" s="11"/>
      <c r="K150" s="11"/>
      <c r="L150" s="9"/>
      <c r="M150" s="9"/>
      <c r="N150" s="9"/>
      <c r="O150" s="9"/>
      <c r="P150" s="9"/>
      <c r="Q150" s="9"/>
      <c r="R150" s="9"/>
      <c r="S150" s="9"/>
      <c r="T150" s="9"/>
      <c r="U150" s="9"/>
      <c r="V150" s="9"/>
      <c r="W150" s="9"/>
      <c r="X150" s="11"/>
      <c r="Y150" s="9"/>
      <c r="Z150" s="10"/>
      <c r="AA150" s="9"/>
      <c r="AB150" s="9"/>
      <c r="AC150" s="10"/>
      <c r="AD150" s="9"/>
      <c r="AE150" s="9"/>
      <c r="AF150" s="9"/>
      <c r="AG150" s="9"/>
      <c r="AH150" s="9"/>
      <c r="AI150" s="9"/>
      <c r="AJ150" s="9"/>
      <c r="AK150" s="9"/>
      <c r="AL150" s="9"/>
      <c r="AM150" s="11"/>
      <c r="AN150" s="11"/>
      <c r="AO150" s="9"/>
      <c r="AP150" s="9"/>
      <c r="AQ150" s="9"/>
    </row>
    <row r="151" spans="1:43" x14ac:dyDescent="0.25">
      <c r="A151" s="9"/>
      <c r="B151" s="10"/>
      <c r="C151" s="9"/>
      <c r="D151" s="9"/>
      <c r="E151" s="9"/>
      <c r="F151" s="9"/>
      <c r="G151" s="9"/>
      <c r="H151" s="9"/>
      <c r="I151" s="11"/>
      <c r="J151" s="11"/>
      <c r="K151" s="11"/>
      <c r="L151" s="9"/>
      <c r="M151" s="9"/>
      <c r="N151" s="9"/>
      <c r="O151" s="9"/>
      <c r="P151" s="9"/>
      <c r="Q151" s="9"/>
      <c r="R151" s="9"/>
      <c r="S151" s="9"/>
      <c r="T151" s="9"/>
      <c r="U151" s="9"/>
      <c r="V151" s="9"/>
      <c r="W151" s="9"/>
      <c r="X151" s="11"/>
      <c r="Y151" s="9"/>
      <c r="Z151" s="10"/>
      <c r="AA151" s="9"/>
      <c r="AB151" s="9"/>
      <c r="AC151" s="11"/>
      <c r="AD151" s="9"/>
      <c r="AE151" s="9"/>
      <c r="AF151" s="9"/>
      <c r="AG151" s="9"/>
      <c r="AH151" s="9"/>
      <c r="AI151" s="9"/>
      <c r="AJ151" s="9"/>
      <c r="AK151" s="9"/>
      <c r="AL151" s="9"/>
      <c r="AM151" s="11"/>
      <c r="AN151" s="11"/>
      <c r="AO151" s="9"/>
      <c r="AP151" s="9"/>
      <c r="AQ151" s="9"/>
    </row>
    <row r="152" spans="1:43" x14ac:dyDescent="0.25">
      <c r="A152" s="9"/>
      <c r="B152" s="10"/>
      <c r="C152" s="9"/>
      <c r="D152" s="9"/>
      <c r="E152" s="9"/>
      <c r="F152" s="9"/>
      <c r="G152" s="9"/>
      <c r="H152" s="9"/>
      <c r="I152" s="11"/>
      <c r="J152" s="11"/>
      <c r="K152" s="11"/>
      <c r="L152" s="9"/>
      <c r="M152" s="9"/>
      <c r="N152" s="9"/>
      <c r="O152" s="9"/>
      <c r="P152" s="9"/>
      <c r="Q152" s="9"/>
      <c r="R152" s="9"/>
      <c r="S152" s="9"/>
      <c r="T152" s="9"/>
      <c r="U152" s="9"/>
      <c r="V152" s="9"/>
      <c r="W152" s="9"/>
      <c r="X152" s="11"/>
      <c r="Y152" s="9"/>
      <c r="Z152" s="10"/>
      <c r="AA152" s="9"/>
      <c r="AB152" s="9"/>
      <c r="AC152" s="10"/>
      <c r="AD152" s="9"/>
      <c r="AE152" s="9"/>
      <c r="AF152" s="9"/>
      <c r="AG152" s="9"/>
      <c r="AH152" s="9"/>
      <c r="AI152" s="9"/>
      <c r="AJ152" s="9"/>
      <c r="AK152" s="9"/>
      <c r="AL152" s="9"/>
      <c r="AM152" s="11"/>
      <c r="AN152" s="11"/>
      <c r="AO152" s="9"/>
      <c r="AP152" s="9"/>
      <c r="AQ152" s="9"/>
    </row>
    <row r="153" spans="1:43" x14ac:dyDescent="0.25">
      <c r="A153" s="9"/>
      <c r="B153" s="10"/>
      <c r="C153" s="9"/>
      <c r="D153" s="9"/>
      <c r="E153" s="9"/>
      <c r="F153" s="9"/>
      <c r="G153" s="9"/>
      <c r="H153" s="9"/>
      <c r="I153" s="11"/>
      <c r="J153" s="11"/>
      <c r="K153" s="11"/>
      <c r="L153" s="9"/>
      <c r="M153" s="9"/>
      <c r="N153" s="9"/>
      <c r="O153" s="9"/>
      <c r="P153" s="9"/>
      <c r="Q153" s="9"/>
      <c r="R153" s="9"/>
      <c r="S153" s="9"/>
      <c r="T153" s="9"/>
      <c r="U153" s="9"/>
      <c r="V153" s="9"/>
      <c r="W153" s="9"/>
      <c r="X153" s="11"/>
      <c r="Y153" s="9"/>
      <c r="Z153" s="10"/>
      <c r="AA153" s="9"/>
      <c r="AB153" s="9"/>
      <c r="AC153" s="11"/>
      <c r="AD153" s="9"/>
      <c r="AE153" s="9"/>
      <c r="AF153" s="9"/>
      <c r="AG153" s="9"/>
      <c r="AH153" s="9"/>
      <c r="AI153" s="9"/>
      <c r="AJ153" s="9"/>
      <c r="AK153" s="9"/>
      <c r="AL153" s="9"/>
      <c r="AM153" s="11"/>
      <c r="AN153" s="11"/>
      <c r="AO153" s="9"/>
      <c r="AP153" s="9"/>
      <c r="AQ153" s="9"/>
    </row>
    <row r="154" spans="1:43" x14ac:dyDescent="0.25">
      <c r="A154" s="9"/>
      <c r="B154" s="10"/>
      <c r="C154" s="9"/>
      <c r="D154" s="9"/>
      <c r="E154" s="9"/>
      <c r="F154" s="9"/>
      <c r="G154" s="9"/>
      <c r="H154" s="9"/>
      <c r="I154" s="11"/>
      <c r="J154" s="11"/>
      <c r="K154" s="11"/>
      <c r="L154" s="9"/>
      <c r="M154" s="9"/>
      <c r="N154" s="9"/>
      <c r="O154" s="9"/>
      <c r="P154" s="9"/>
      <c r="Q154" s="9"/>
      <c r="R154" s="9"/>
      <c r="S154" s="9"/>
      <c r="T154" s="9"/>
      <c r="U154" s="9"/>
      <c r="V154" s="9"/>
      <c r="W154" s="9"/>
      <c r="X154" s="11"/>
      <c r="Y154" s="9"/>
      <c r="Z154" s="10"/>
      <c r="AA154" s="9"/>
      <c r="AB154" s="9"/>
      <c r="AC154" s="11"/>
      <c r="AD154" s="9"/>
      <c r="AE154" s="9"/>
      <c r="AF154" s="9"/>
      <c r="AG154" s="9"/>
      <c r="AH154" s="9"/>
      <c r="AI154" s="9"/>
      <c r="AJ154" s="9"/>
      <c r="AK154" s="9"/>
      <c r="AL154" s="9"/>
      <c r="AM154" s="11"/>
      <c r="AN154" s="11"/>
      <c r="AO154" s="9"/>
      <c r="AP154" s="9"/>
      <c r="AQ154" s="9"/>
    </row>
    <row r="155" spans="1:43" x14ac:dyDescent="0.25">
      <c r="A155" s="9"/>
      <c r="B155" s="10"/>
      <c r="C155" s="9"/>
      <c r="D155" s="9"/>
      <c r="E155" s="9"/>
      <c r="F155" s="9"/>
      <c r="G155" s="9"/>
      <c r="H155" s="9"/>
      <c r="I155" s="11"/>
      <c r="J155" s="11"/>
      <c r="K155" s="10"/>
      <c r="L155" s="9"/>
      <c r="M155" s="9"/>
      <c r="N155" s="9"/>
      <c r="O155" s="9"/>
      <c r="P155" s="9"/>
      <c r="Q155" s="9"/>
      <c r="R155" s="9"/>
      <c r="S155" s="9"/>
      <c r="T155" s="9"/>
      <c r="U155" s="9"/>
      <c r="V155" s="9"/>
      <c r="W155" s="9"/>
      <c r="X155" s="11"/>
      <c r="Y155" s="9"/>
      <c r="Z155" s="10"/>
      <c r="AA155" s="9"/>
      <c r="AB155" s="9"/>
      <c r="AC155" s="10"/>
      <c r="AD155" s="9"/>
      <c r="AE155" s="9"/>
      <c r="AF155" s="9"/>
      <c r="AG155" s="9"/>
      <c r="AH155" s="9"/>
      <c r="AI155" s="9"/>
      <c r="AJ155" s="9"/>
      <c r="AK155" s="9"/>
      <c r="AL155" s="9"/>
      <c r="AM155" s="11"/>
      <c r="AN155" s="11"/>
      <c r="AO155" s="9"/>
      <c r="AP155" s="9"/>
      <c r="AQ155" s="9"/>
    </row>
    <row r="156" spans="1:43" x14ac:dyDescent="0.25">
      <c r="A156" s="9"/>
      <c r="B156" s="10"/>
      <c r="C156" s="9"/>
      <c r="D156" s="9"/>
      <c r="E156" s="9"/>
      <c r="F156" s="9"/>
      <c r="G156" s="9"/>
      <c r="H156" s="9"/>
      <c r="I156" s="11"/>
      <c r="J156" s="11"/>
      <c r="K156" s="11"/>
      <c r="L156" s="9"/>
      <c r="M156" s="9"/>
      <c r="N156" s="9"/>
      <c r="O156" s="9"/>
      <c r="P156" s="9"/>
      <c r="Q156" s="9"/>
      <c r="R156" s="9"/>
      <c r="S156" s="9"/>
      <c r="T156" s="9"/>
      <c r="U156" s="9"/>
      <c r="V156" s="9"/>
      <c r="W156" s="9"/>
      <c r="X156" s="11"/>
      <c r="Y156" s="9"/>
      <c r="Z156" s="10"/>
      <c r="AA156" s="9"/>
      <c r="AB156" s="9"/>
      <c r="AC156" s="11"/>
      <c r="AD156" s="9"/>
      <c r="AE156" s="9"/>
      <c r="AF156" s="9"/>
      <c r="AG156" s="9"/>
      <c r="AH156" s="9"/>
      <c r="AI156" s="9"/>
      <c r="AJ156" s="9"/>
      <c r="AK156" s="9"/>
      <c r="AL156" s="9"/>
      <c r="AM156" s="11"/>
      <c r="AN156" s="11"/>
      <c r="AO156" s="9"/>
      <c r="AP156" s="9"/>
      <c r="AQ156" s="9"/>
    </row>
    <row r="157" spans="1:43" x14ac:dyDescent="0.25">
      <c r="A157" s="9"/>
      <c r="B157" s="10"/>
      <c r="C157" s="9"/>
      <c r="D157" s="9"/>
      <c r="E157" s="9"/>
      <c r="F157" s="9"/>
      <c r="G157" s="9"/>
      <c r="H157" s="9"/>
      <c r="I157" s="11"/>
      <c r="J157" s="11"/>
      <c r="K157" s="10"/>
      <c r="L157" s="9"/>
      <c r="M157" s="9"/>
      <c r="N157" s="9"/>
      <c r="O157" s="9"/>
      <c r="P157" s="9"/>
      <c r="Q157" s="9"/>
      <c r="R157" s="9"/>
      <c r="S157" s="9"/>
      <c r="T157" s="9"/>
      <c r="U157" s="9"/>
      <c r="V157" s="9"/>
      <c r="W157" s="9"/>
      <c r="X157" s="11"/>
      <c r="Y157" s="9"/>
      <c r="Z157" s="10"/>
      <c r="AA157" s="9"/>
      <c r="AB157" s="9"/>
      <c r="AC157" s="10"/>
      <c r="AD157" s="9"/>
      <c r="AE157" s="9"/>
      <c r="AF157" s="9"/>
      <c r="AG157" s="9"/>
      <c r="AH157" s="9"/>
      <c r="AI157" s="9"/>
      <c r="AJ157" s="9"/>
      <c r="AK157" s="9"/>
      <c r="AL157" s="9"/>
      <c r="AM157" s="11"/>
      <c r="AN157" s="11"/>
      <c r="AO157" s="9"/>
      <c r="AP157" s="9"/>
      <c r="AQ157" s="9"/>
    </row>
    <row r="158" spans="1:43" x14ac:dyDescent="0.25">
      <c r="A158" s="9"/>
      <c r="B158" s="10"/>
      <c r="C158" s="9"/>
      <c r="D158" s="9"/>
      <c r="E158" s="9"/>
      <c r="F158" s="9"/>
      <c r="G158" s="9"/>
      <c r="H158" s="9"/>
      <c r="I158" s="11"/>
      <c r="J158" s="11"/>
      <c r="K158" s="10"/>
      <c r="L158" s="9"/>
      <c r="M158" s="9"/>
      <c r="N158" s="9"/>
      <c r="O158" s="9"/>
      <c r="P158" s="9"/>
      <c r="Q158" s="9"/>
      <c r="R158" s="9"/>
      <c r="S158" s="9"/>
      <c r="T158" s="9"/>
      <c r="U158" s="9"/>
      <c r="V158" s="9"/>
      <c r="W158" s="9"/>
      <c r="X158" s="11"/>
      <c r="Y158" s="9"/>
      <c r="Z158" s="10"/>
      <c r="AA158" s="9"/>
      <c r="AB158" s="9"/>
      <c r="AC158" s="10"/>
      <c r="AD158" s="9"/>
      <c r="AE158" s="9"/>
      <c r="AF158" s="9"/>
      <c r="AG158" s="9"/>
      <c r="AH158" s="9"/>
      <c r="AI158" s="9"/>
      <c r="AJ158" s="9"/>
      <c r="AK158" s="9"/>
      <c r="AL158" s="9"/>
      <c r="AM158" s="11"/>
      <c r="AN158" s="11"/>
      <c r="AO158" s="9"/>
      <c r="AP158" s="9"/>
      <c r="AQ158" s="9"/>
    </row>
    <row r="159" spans="1:43" x14ac:dyDescent="0.25">
      <c r="A159" s="9"/>
      <c r="B159" s="10"/>
      <c r="C159" s="9"/>
      <c r="D159" s="9"/>
      <c r="E159" s="9"/>
      <c r="F159" s="9"/>
      <c r="G159" s="9"/>
      <c r="H159" s="9"/>
      <c r="I159" s="11"/>
      <c r="J159" s="11"/>
      <c r="K159" s="10"/>
      <c r="L159" s="9"/>
      <c r="M159" s="9"/>
      <c r="N159" s="9"/>
      <c r="O159" s="9"/>
      <c r="P159" s="9"/>
      <c r="Q159" s="9"/>
      <c r="R159" s="9"/>
      <c r="S159" s="9"/>
      <c r="T159" s="9"/>
      <c r="U159" s="9"/>
      <c r="V159" s="9"/>
      <c r="W159" s="9"/>
      <c r="X159" s="11"/>
      <c r="Y159" s="9"/>
      <c r="Z159" s="10"/>
      <c r="AA159" s="9"/>
      <c r="AB159" s="9"/>
      <c r="AC159" s="10"/>
      <c r="AD159" s="9"/>
      <c r="AE159" s="9"/>
      <c r="AF159" s="9"/>
      <c r="AG159" s="9"/>
      <c r="AH159" s="9"/>
      <c r="AI159" s="9"/>
      <c r="AJ159" s="9"/>
      <c r="AK159" s="9"/>
      <c r="AL159" s="9"/>
      <c r="AM159" s="10"/>
      <c r="AN159" s="11"/>
      <c r="AO159" s="9"/>
      <c r="AP159" s="9"/>
      <c r="AQ159" s="9"/>
    </row>
    <row r="160" spans="1:43" x14ac:dyDescent="0.25">
      <c r="A160" s="9"/>
      <c r="B160" s="10"/>
      <c r="C160" s="9"/>
      <c r="D160" s="9"/>
      <c r="E160" s="9"/>
      <c r="F160" s="9"/>
      <c r="G160" s="9"/>
      <c r="H160" s="9"/>
      <c r="I160" s="11"/>
      <c r="J160" s="11"/>
      <c r="K160" s="11"/>
      <c r="L160" s="9"/>
      <c r="M160" s="9"/>
      <c r="N160" s="9"/>
      <c r="O160" s="9"/>
      <c r="P160" s="9"/>
      <c r="Q160" s="9"/>
      <c r="R160" s="9"/>
      <c r="S160" s="9"/>
      <c r="T160" s="9"/>
      <c r="U160" s="9"/>
      <c r="V160" s="9"/>
      <c r="W160" s="9"/>
      <c r="X160" s="11"/>
      <c r="Y160" s="9"/>
      <c r="Z160" s="10"/>
      <c r="AA160" s="9"/>
      <c r="AB160" s="9"/>
      <c r="AC160" s="10"/>
      <c r="AD160" s="9"/>
      <c r="AE160" s="9"/>
      <c r="AF160" s="9"/>
      <c r="AG160" s="9"/>
      <c r="AH160" s="9"/>
      <c r="AI160" s="9"/>
      <c r="AJ160" s="9"/>
      <c r="AK160" s="9"/>
      <c r="AL160" s="9"/>
      <c r="AM160" s="11"/>
      <c r="AN160" s="11"/>
      <c r="AO160" s="9"/>
      <c r="AP160" s="9"/>
      <c r="AQ160" s="9"/>
    </row>
    <row r="161" spans="1:43" x14ac:dyDescent="0.25">
      <c r="A161" s="9"/>
      <c r="B161" s="10"/>
      <c r="C161" s="9"/>
      <c r="D161" s="9"/>
      <c r="E161" s="9"/>
      <c r="F161" s="9"/>
      <c r="G161" s="9"/>
      <c r="H161" s="9"/>
      <c r="I161" s="11"/>
      <c r="J161" s="11"/>
      <c r="K161" s="11"/>
      <c r="L161" s="9"/>
      <c r="M161" s="9"/>
      <c r="N161" s="9"/>
      <c r="O161" s="9"/>
      <c r="P161" s="9"/>
      <c r="Q161" s="9"/>
      <c r="R161" s="9"/>
      <c r="S161" s="9"/>
      <c r="T161" s="9"/>
      <c r="U161" s="9"/>
      <c r="V161" s="9"/>
      <c r="W161" s="9"/>
      <c r="X161" s="11"/>
      <c r="Y161" s="9"/>
      <c r="Z161" s="10"/>
      <c r="AA161" s="9"/>
      <c r="AB161" s="9"/>
      <c r="AC161" s="10"/>
      <c r="AD161" s="9"/>
      <c r="AE161" s="9"/>
      <c r="AF161" s="9"/>
      <c r="AG161" s="9"/>
      <c r="AH161" s="9"/>
      <c r="AI161" s="9"/>
      <c r="AJ161" s="9"/>
      <c r="AK161" s="9"/>
      <c r="AL161" s="9"/>
      <c r="AM161" s="11"/>
      <c r="AN161" s="11"/>
      <c r="AO161" s="9"/>
      <c r="AP161" s="9"/>
      <c r="AQ161" s="9"/>
    </row>
    <row r="162" spans="1:43" x14ac:dyDescent="0.25">
      <c r="A162" s="9"/>
      <c r="B162" s="10"/>
      <c r="C162" s="9"/>
      <c r="D162" s="9"/>
      <c r="E162" s="9"/>
      <c r="F162" s="9"/>
      <c r="G162" s="9"/>
      <c r="H162" s="9"/>
      <c r="I162" s="11"/>
      <c r="J162" s="11"/>
      <c r="K162" s="11"/>
      <c r="L162" s="9"/>
      <c r="M162" s="9"/>
      <c r="N162" s="9"/>
      <c r="O162" s="9"/>
      <c r="P162" s="9"/>
      <c r="Q162" s="9"/>
      <c r="R162" s="9"/>
      <c r="S162" s="9"/>
      <c r="T162" s="9"/>
      <c r="U162" s="9"/>
      <c r="V162" s="9"/>
      <c r="W162" s="9"/>
      <c r="X162" s="11"/>
      <c r="Y162" s="9"/>
      <c r="Z162" s="10"/>
      <c r="AA162" s="9"/>
      <c r="AB162" s="9"/>
      <c r="AC162" s="10"/>
      <c r="AD162" s="9"/>
      <c r="AE162" s="9"/>
      <c r="AF162" s="9"/>
      <c r="AG162" s="9"/>
      <c r="AH162" s="9"/>
      <c r="AI162" s="9"/>
      <c r="AJ162" s="9"/>
      <c r="AK162" s="9"/>
      <c r="AL162" s="9"/>
      <c r="AM162" s="11"/>
      <c r="AN162" s="11"/>
      <c r="AO162" s="9"/>
      <c r="AP162" s="9"/>
      <c r="AQ162" s="9"/>
    </row>
    <row r="163" spans="1:43" x14ac:dyDescent="0.25">
      <c r="A163" s="9"/>
      <c r="B163" s="10"/>
      <c r="C163" s="9"/>
      <c r="D163" s="9"/>
      <c r="E163" s="9"/>
      <c r="F163" s="9"/>
      <c r="G163" s="9"/>
      <c r="H163" s="9"/>
      <c r="I163" s="11"/>
      <c r="J163" s="11"/>
      <c r="K163" s="11"/>
      <c r="L163" s="9"/>
      <c r="M163" s="9"/>
      <c r="N163" s="9"/>
      <c r="O163" s="9"/>
      <c r="P163" s="9"/>
      <c r="Q163" s="9"/>
      <c r="R163" s="9"/>
      <c r="S163" s="9"/>
      <c r="T163" s="9"/>
      <c r="U163" s="9"/>
      <c r="V163" s="9"/>
      <c r="W163" s="9"/>
      <c r="X163" s="11"/>
      <c r="Y163" s="9"/>
      <c r="Z163" s="10"/>
      <c r="AA163" s="9"/>
      <c r="AB163" s="9"/>
      <c r="AC163" s="11"/>
      <c r="AD163" s="9"/>
      <c r="AE163" s="9"/>
      <c r="AF163" s="9"/>
      <c r="AG163" s="9"/>
      <c r="AH163" s="9"/>
      <c r="AI163" s="9"/>
      <c r="AJ163" s="9"/>
      <c r="AK163" s="9"/>
      <c r="AL163" s="9"/>
      <c r="AM163" s="11"/>
      <c r="AN163" s="11"/>
      <c r="AO163" s="9"/>
      <c r="AP163" s="9"/>
      <c r="AQ163" s="9"/>
    </row>
    <row r="164" spans="1:43" x14ac:dyDescent="0.25">
      <c r="A164" s="9"/>
      <c r="B164" s="10"/>
      <c r="C164" s="9"/>
      <c r="D164" s="9"/>
      <c r="E164" s="9"/>
      <c r="F164" s="9"/>
      <c r="G164" s="9"/>
      <c r="H164" s="9"/>
      <c r="I164" s="11"/>
      <c r="J164" s="11"/>
      <c r="K164" s="11"/>
      <c r="L164" s="9"/>
      <c r="M164" s="9"/>
      <c r="N164" s="9"/>
      <c r="O164" s="9"/>
      <c r="P164" s="9"/>
      <c r="Q164" s="9"/>
      <c r="R164" s="9"/>
      <c r="S164" s="9"/>
      <c r="T164" s="9"/>
      <c r="U164" s="9"/>
      <c r="V164" s="9"/>
      <c r="W164" s="9"/>
      <c r="X164" s="11"/>
      <c r="Y164" s="9"/>
      <c r="Z164" s="10"/>
      <c r="AA164" s="9"/>
      <c r="AB164" s="9"/>
      <c r="AC164" s="10"/>
      <c r="AD164" s="9"/>
      <c r="AE164" s="9"/>
      <c r="AF164" s="9"/>
      <c r="AG164" s="9"/>
      <c r="AH164" s="9"/>
      <c r="AI164" s="9"/>
      <c r="AJ164" s="9"/>
      <c r="AK164" s="9"/>
      <c r="AL164" s="9"/>
      <c r="AM164" s="11"/>
      <c r="AN164" s="11"/>
      <c r="AO164" s="9"/>
      <c r="AP164" s="9"/>
      <c r="AQ164" s="9"/>
    </row>
    <row r="165" spans="1:43" x14ac:dyDescent="0.25">
      <c r="A165" s="9"/>
      <c r="B165" s="10"/>
      <c r="C165" s="9"/>
      <c r="D165" s="9"/>
      <c r="E165" s="9"/>
      <c r="F165" s="9"/>
      <c r="G165" s="9"/>
      <c r="H165" s="9"/>
      <c r="I165" s="11"/>
      <c r="J165" s="11"/>
      <c r="K165" s="11"/>
      <c r="L165" s="9"/>
      <c r="M165" s="9"/>
      <c r="N165" s="9"/>
      <c r="O165" s="9"/>
      <c r="P165" s="9"/>
      <c r="Q165" s="9"/>
      <c r="R165" s="9"/>
      <c r="S165" s="9"/>
      <c r="T165" s="9"/>
      <c r="U165" s="9"/>
      <c r="V165" s="9"/>
      <c r="W165" s="9"/>
      <c r="X165" s="11"/>
      <c r="Y165" s="9"/>
      <c r="Z165" s="10"/>
      <c r="AA165" s="9"/>
      <c r="AB165" s="9"/>
      <c r="AC165" s="11"/>
      <c r="AD165" s="9"/>
      <c r="AE165" s="9"/>
      <c r="AF165" s="9"/>
      <c r="AG165" s="9"/>
      <c r="AH165" s="9"/>
      <c r="AI165" s="9"/>
      <c r="AJ165" s="9"/>
      <c r="AK165" s="9"/>
      <c r="AL165" s="9"/>
      <c r="AM165" s="11"/>
      <c r="AN165" s="11"/>
      <c r="AO165" s="9"/>
      <c r="AP165" s="9"/>
      <c r="AQ165" s="9"/>
    </row>
    <row r="166" spans="1:43" x14ac:dyDescent="0.25">
      <c r="A166" s="9"/>
      <c r="B166" s="10"/>
      <c r="C166" s="9"/>
      <c r="D166" s="9"/>
      <c r="E166" s="9"/>
      <c r="F166" s="9"/>
      <c r="G166" s="9"/>
      <c r="H166" s="9"/>
      <c r="I166" s="11"/>
      <c r="J166" s="11"/>
      <c r="K166" s="11"/>
      <c r="L166" s="9"/>
      <c r="M166" s="9"/>
      <c r="N166" s="9"/>
      <c r="O166" s="9"/>
      <c r="P166" s="9"/>
      <c r="Q166" s="9"/>
      <c r="R166" s="9"/>
      <c r="S166" s="9"/>
      <c r="T166" s="9"/>
      <c r="U166" s="9"/>
      <c r="V166" s="9"/>
      <c r="W166" s="9"/>
      <c r="X166" s="11"/>
      <c r="Y166" s="9"/>
      <c r="Z166" s="10"/>
      <c r="AA166" s="9"/>
      <c r="AB166" s="9"/>
      <c r="AC166" s="11"/>
      <c r="AD166" s="9"/>
      <c r="AE166" s="9"/>
      <c r="AF166" s="9"/>
      <c r="AG166" s="9"/>
      <c r="AH166" s="9"/>
      <c r="AI166" s="9"/>
      <c r="AJ166" s="9"/>
      <c r="AK166" s="9"/>
      <c r="AL166" s="9"/>
      <c r="AM166" s="11"/>
      <c r="AN166" s="11"/>
      <c r="AO166" s="9"/>
      <c r="AP166" s="9"/>
      <c r="AQ166" s="9"/>
    </row>
    <row r="167" spans="1:43" x14ac:dyDescent="0.25">
      <c r="A167" s="9"/>
      <c r="B167" s="10"/>
      <c r="C167" s="9"/>
      <c r="D167" s="9"/>
      <c r="E167" s="9"/>
      <c r="F167" s="9"/>
      <c r="G167" s="9"/>
      <c r="H167" s="9"/>
      <c r="I167" s="11"/>
      <c r="J167" s="11"/>
      <c r="K167" s="11"/>
      <c r="L167" s="9"/>
      <c r="M167" s="9"/>
      <c r="N167" s="9"/>
      <c r="O167" s="9"/>
      <c r="P167" s="9"/>
      <c r="Q167" s="9"/>
      <c r="R167" s="9"/>
      <c r="S167" s="9"/>
      <c r="T167" s="9"/>
      <c r="U167" s="9"/>
      <c r="V167" s="9"/>
      <c r="W167" s="9"/>
      <c r="X167" s="11"/>
      <c r="Y167" s="9"/>
      <c r="Z167" s="10"/>
      <c r="AA167" s="9"/>
      <c r="AB167" s="9"/>
      <c r="AC167" s="11"/>
      <c r="AD167" s="9"/>
      <c r="AE167" s="9"/>
      <c r="AF167" s="9"/>
      <c r="AG167" s="9"/>
      <c r="AH167" s="9"/>
      <c r="AI167" s="9"/>
      <c r="AJ167" s="9"/>
      <c r="AK167" s="9"/>
      <c r="AL167" s="9"/>
      <c r="AM167" s="11"/>
      <c r="AN167" s="11"/>
      <c r="AO167" s="9"/>
      <c r="AP167" s="9"/>
      <c r="AQ167" s="9"/>
    </row>
    <row r="168" spans="1:43" x14ac:dyDescent="0.25">
      <c r="A168" s="9"/>
      <c r="B168" s="10"/>
      <c r="C168" s="9"/>
      <c r="D168" s="9"/>
      <c r="E168" s="9"/>
      <c r="F168" s="9"/>
      <c r="G168" s="9"/>
      <c r="H168" s="9"/>
      <c r="I168" s="11"/>
      <c r="J168" s="11"/>
      <c r="K168" s="11"/>
      <c r="L168" s="9"/>
      <c r="M168" s="9"/>
      <c r="N168" s="9"/>
      <c r="O168" s="9"/>
      <c r="P168" s="9"/>
      <c r="Q168" s="9"/>
      <c r="R168" s="9"/>
      <c r="S168" s="9"/>
      <c r="T168" s="9"/>
      <c r="U168" s="9"/>
      <c r="V168" s="9"/>
      <c r="W168" s="9"/>
      <c r="X168" s="11"/>
      <c r="Y168" s="9"/>
      <c r="Z168" s="10"/>
      <c r="AA168" s="9"/>
      <c r="AB168" s="9"/>
      <c r="AC168" s="11"/>
      <c r="AD168" s="9"/>
      <c r="AE168" s="9"/>
      <c r="AF168" s="9"/>
      <c r="AG168" s="9"/>
      <c r="AH168" s="9"/>
      <c r="AI168" s="9"/>
      <c r="AJ168" s="9"/>
      <c r="AK168" s="9"/>
      <c r="AL168" s="9"/>
      <c r="AM168" s="11"/>
      <c r="AN168" s="11"/>
      <c r="AO168" s="9"/>
      <c r="AP168" s="9"/>
      <c r="AQ168" s="9"/>
    </row>
    <row r="169" spans="1:43" x14ac:dyDescent="0.25">
      <c r="A169" s="9"/>
      <c r="B169" s="10"/>
      <c r="C169" s="9"/>
      <c r="D169" s="9"/>
      <c r="E169" s="9"/>
      <c r="F169" s="9"/>
      <c r="G169" s="9"/>
      <c r="H169" s="9"/>
      <c r="I169" s="11"/>
      <c r="J169" s="11"/>
      <c r="K169" s="11"/>
      <c r="L169" s="9"/>
      <c r="M169" s="9"/>
      <c r="N169" s="9"/>
      <c r="O169" s="9"/>
      <c r="P169" s="9"/>
      <c r="Q169" s="9"/>
      <c r="R169" s="9"/>
      <c r="S169" s="9"/>
      <c r="T169" s="9"/>
      <c r="U169" s="9"/>
      <c r="V169" s="9"/>
      <c r="W169" s="9"/>
      <c r="X169" s="11"/>
      <c r="Y169" s="9"/>
      <c r="Z169" s="10"/>
      <c r="AA169" s="9"/>
      <c r="AB169" s="9"/>
      <c r="AC169" s="11"/>
      <c r="AD169" s="9"/>
      <c r="AE169" s="9"/>
      <c r="AF169" s="9"/>
      <c r="AG169" s="9"/>
      <c r="AH169" s="9"/>
      <c r="AI169" s="9"/>
      <c r="AJ169" s="9"/>
      <c r="AK169" s="9"/>
      <c r="AL169" s="9"/>
      <c r="AM169" s="11"/>
      <c r="AN169" s="11"/>
      <c r="AO169" s="9"/>
      <c r="AP169" s="9"/>
      <c r="AQ169" s="9"/>
    </row>
    <row r="170" spans="1:43" x14ac:dyDescent="0.25">
      <c r="A170" s="9"/>
      <c r="B170" s="10"/>
      <c r="C170" s="9"/>
      <c r="D170" s="9"/>
      <c r="E170" s="9"/>
      <c r="F170" s="9"/>
      <c r="G170" s="9"/>
      <c r="H170" s="9"/>
      <c r="I170" s="11"/>
      <c r="J170" s="11"/>
      <c r="K170" s="10"/>
      <c r="L170" s="9"/>
      <c r="M170" s="9"/>
      <c r="N170" s="9"/>
      <c r="O170" s="9"/>
      <c r="P170" s="9"/>
      <c r="Q170" s="9"/>
      <c r="R170" s="9"/>
      <c r="S170" s="9"/>
      <c r="T170" s="9"/>
      <c r="U170" s="9"/>
      <c r="V170" s="9"/>
      <c r="W170" s="9"/>
      <c r="X170" s="11"/>
      <c r="Y170" s="9"/>
      <c r="Z170" s="10"/>
      <c r="AA170" s="9"/>
      <c r="AB170" s="9"/>
      <c r="AC170" s="10"/>
      <c r="AD170" s="9"/>
      <c r="AE170" s="9"/>
      <c r="AF170" s="9"/>
      <c r="AG170" s="9"/>
      <c r="AH170" s="9"/>
      <c r="AI170" s="9"/>
      <c r="AJ170" s="9"/>
      <c r="AK170" s="9"/>
      <c r="AL170" s="9"/>
      <c r="AM170" s="11"/>
      <c r="AN170" s="11"/>
      <c r="AO170" s="9"/>
      <c r="AP170" s="9"/>
      <c r="AQ170" s="9"/>
    </row>
    <row r="171" spans="1:43" x14ac:dyDescent="0.25">
      <c r="A171" s="9"/>
      <c r="B171" s="10"/>
      <c r="C171" s="9"/>
      <c r="D171" s="9"/>
      <c r="E171" s="9"/>
      <c r="F171" s="9"/>
      <c r="G171" s="9"/>
      <c r="H171" s="9"/>
      <c r="I171" s="11"/>
      <c r="J171" s="11"/>
      <c r="K171" s="11"/>
      <c r="L171" s="9"/>
      <c r="M171" s="9"/>
      <c r="N171" s="9"/>
      <c r="O171" s="9"/>
      <c r="P171" s="9"/>
      <c r="Q171" s="9"/>
      <c r="R171" s="9"/>
      <c r="S171" s="9"/>
      <c r="T171" s="9"/>
      <c r="U171" s="9"/>
      <c r="V171" s="9"/>
      <c r="W171" s="9"/>
      <c r="X171" s="11"/>
      <c r="Y171" s="9"/>
      <c r="Z171" s="10"/>
      <c r="AA171" s="9"/>
      <c r="AB171" s="9"/>
      <c r="AC171" s="10"/>
      <c r="AD171" s="9"/>
      <c r="AE171" s="9"/>
      <c r="AF171" s="9"/>
      <c r="AG171" s="9"/>
      <c r="AH171" s="9"/>
      <c r="AI171" s="9"/>
      <c r="AJ171" s="9"/>
      <c r="AK171" s="9"/>
      <c r="AL171" s="9"/>
      <c r="AM171" s="11"/>
      <c r="AN171" s="11"/>
      <c r="AO171" s="9"/>
      <c r="AP171" s="9"/>
      <c r="AQ171" s="9"/>
    </row>
    <row r="172" spans="1:43" x14ac:dyDescent="0.25">
      <c r="A172" s="9"/>
      <c r="B172" s="10"/>
      <c r="C172" s="9"/>
      <c r="D172" s="9"/>
      <c r="E172" s="9"/>
      <c r="F172" s="9"/>
      <c r="G172" s="9"/>
      <c r="H172" s="9"/>
      <c r="I172" s="11"/>
      <c r="J172" s="11"/>
      <c r="K172" s="11"/>
      <c r="L172" s="9"/>
      <c r="M172" s="9"/>
      <c r="N172" s="9"/>
      <c r="O172" s="9"/>
      <c r="P172" s="9"/>
      <c r="Q172" s="9"/>
      <c r="R172" s="9"/>
      <c r="S172" s="9"/>
      <c r="T172" s="9"/>
      <c r="U172" s="9"/>
      <c r="V172" s="9"/>
      <c r="W172" s="9"/>
      <c r="X172" s="11"/>
      <c r="Y172" s="9"/>
      <c r="Z172" s="10"/>
      <c r="AA172" s="9"/>
      <c r="AB172" s="9"/>
      <c r="AC172" s="11"/>
      <c r="AD172" s="9"/>
      <c r="AE172" s="9"/>
      <c r="AF172" s="9"/>
      <c r="AG172" s="9"/>
      <c r="AH172" s="9"/>
      <c r="AI172" s="9"/>
      <c r="AJ172" s="9"/>
      <c r="AK172" s="9"/>
      <c r="AL172" s="9"/>
      <c r="AM172" s="11"/>
      <c r="AN172" s="11"/>
      <c r="AO172" s="9"/>
      <c r="AP172" s="9"/>
      <c r="AQ172" s="9"/>
    </row>
    <row r="173" spans="1:43" x14ac:dyDescent="0.25">
      <c r="A173" s="9"/>
      <c r="B173" s="10"/>
      <c r="C173" s="9"/>
      <c r="D173" s="9"/>
      <c r="E173" s="9"/>
      <c r="F173" s="9"/>
      <c r="G173" s="9"/>
      <c r="H173" s="9"/>
      <c r="I173" s="11"/>
      <c r="J173" s="11"/>
      <c r="K173" s="10"/>
      <c r="L173" s="9"/>
      <c r="M173" s="9"/>
      <c r="N173" s="9"/>
      <c r="O173" s="9"/>
      <c r="P173" s="9"/>
      <c r="Q173" s="9"/>
      <c r="R173" s="9"/>
      <c r="S173" s="9"/>
      <c r="T173" s="9"/>
      <c r="U173" s="9"/>
      <c r="V173" s="9"/>
      <c r="W173" s="9"/>
      <c r="X173" s="11"/>
      <c r="Y173" s="9"/>
      <c r="Z173" s="10"/>
      <c r="AA173" s="9"/>
      <c r="AB173" s="9"/>
      <c r="AC173" s="10"/>
      <c r="AD173" s="9"/>
      <c r="AE173" s="9"/>
      <c r="AF173" s="9"/>
      <c r="AG173" s="9"/>
      <c r="AH173" s="9"/>
      <c r="AI173" s="9"/>
      <c r="AJ173" s="9"/>
      <c r="AK173" s="9"/>
      <c r="AL173" s="9"/>
      <c r="AM173" s="10"/>
      <c r="AN173" s="11"/>
      <c r="AO173" s="9"/>
      <c r="AP173" s="9"/>
      <c r="AQ173" s="9"/>
    </row>
    <row r="174" spans="1:43" x14ac:dyDescent="0.25">
      <c r="A174" s="9"/>
      <c r="B174" s="10"/>
      <c r="C174" s="9"/>
      <c r="D174" s="9"/>
      <c r="E174" s="9"/>
      <c r="F174" s="9"/>
      <c r="G174" s="9"/>
      <c r="H174" s="9"/>
      <c r="I174" s="11"/>
      <c r="J174" s="11"/>
      <c r="K174" s="11"/>
      <c r="L174" s="9"/>
      <c r="M174" s="9"/>
      <c r="N174" s="9"/>
      <c r="O174" s="9"/>
      <c r="P174" s="9"/>
      <c r="Q174" s="9"/>
      <c r="R174" s="9"/>
      <c r="S174" s="9"/>
      <c r="T174" s="9"/>
      <c r="U174" s="9"/>
      <c r="V174" s="9"/>
      <c r="W174" s="9"/>
      <c r="X174" s="11"/>
      <c r="Y174" s="9"/>
      <c r="Z174" s="10"/>
      <c r="AA174" s="9"/>
      <c r="AB174" s="9"/>
      <c r="AC174" s="11"/>
      <c r="AD174" s="9"/>
      <c r="AE174" s="9"/>
      <c r="AF174" s="9"/>
      <c r="AG174" s="9"/>
      <c r="AH174" s="9"/>
      <c r="AI174" s="9"/>
      <c r="AJ174" s="9"/>
      <c r="AK174" s="9"/>
      <c r="AL174" s="9"/>
      <c r="AM174" s="11"/>
      <c r="AN174" s="11"/>
      <c r="AO174" s="9"/>
      <c r="AP174" s="9"/>
      <c r="AQ174" s="9"/>
    </row>
    <row r="175" spans="1:43" x14ac:dyDescent="0.25">
      <c r="A175" s="9"/>
      <c r="B175" s="10"/>
      <c r="C175" s="9"/>
      <c r="D175" s="9"/>
      <c r="E175" s="9"/>
      <c r="F175" s="9"/>
      <c r="G175" s="9"/>
      <c r="H175" s="9"/>
      <c r="I175" s="11"/>
      <c r="J175" s="11"/>
      <c r="K175" s="11"/>
      <c r="L175" s="9"/>
      <c r="M175" s="9"/>
      <c r="N175" s="9"/>
      <c r="O175" s="9"/>
      <c r="P175" s="9"/>
      <c r="Q175" s="9"/>
      <c r="R175" s="9"/>
      <c r="S175" s="9"/>
      <c r="T175" s="9"/>
      <c r="U175" s="9"/>
      <c r="V175" s="9"/>
      <c r="W175" s="9"/>
      <c r="X175" s="11"/>
      <c r="Y175" s="9"/>
      <c r="Z175" s="10"/>
      <c r="AA175" s="9"/>
      <c r="AB175" s="9"/>
      <c r="AC175" s="10"/>
      <c r="AD175" s="9"/>
      <c r="AE175" s="9"/>
      <c r="AF175" s="9"/>
      <c r="AG175" s="9"/>
      <c r="AH175" s="9"/>
      <c r="AI175" s="9"/>
      <c r="AJ175" s="9"/>
      <c r="AK175" s="9"/>
      <c r="AL175" s="9"/>
      <c r="AM175" s="11"/>
      <c r="AN175" s="11"/>
      <c r="AO175" s="9"/>
      <c r="AP175" s="9"/>
      <c r="AQ175" s="9"/>
    </row>
    <row r="176" spans="1:43" x14ac:dyDescent="0.25">
      <c r="A176" s="9"/>
      <c r="B176" s="10"/>
      <c r="C176" s="9"/>
      <c r="D176" s="9"/>
      <c r="E176" s="9"/>
      <c r="F176" s="9"/>
      <c r="G176" s="9"/>
      <c r="H176" s="9"/>
      <c r="I176" s="11"/>
      <c r="J176" s="11"/>
      <c r="K176" s="11"/>
      <c r="L176" s="9"/>
      <c r="M176" s="9"/>
      <c r="N176" s="9"/>
      <c r="O176" s="9"/>
      <c r="P176" s="9"/>
      <c r="Q176" s="9"/>
      <c r="R176" s="9"/>
      <c r="S176" s="9"/>
      <c r="T176" s="9"/>
      <c r="U176" s="9"/>
      <c r="V176" s="9"/>
      <c r="W176" s="9"/>
      <c r="X176" s="11"/>
      <c r="Y176" s="9"/>
      <c r="Z176" s="10"/>
      <c r="AA176" s="9"/>
      <c r="AB176" s="9"/>
      <c r="AC176" s="10"/>
      <c r="AD176" s="9"/>
      <c r="AE176" s="9"/>
      <c r="AF176" s="9"/>
      <c r="AG176" s="9"/>
      <c r="AH176" s="9"/>
      <c r="AI176" s="9"/>
      <c r="AJ176" s="9"/>
      <c r="AK176" s="9"/>
      <c r="AL176" s="9"/>
      <c r="AM176" s="11"/>
      <c r="AN176" s="11"/>
      <c r="AO176" s="9"/>
      <c r="AP176" s="9"/>
      <c r="AQ176" s="9"/>
    </row>
    <row r="177" spans="1:43" x14ac:dyDescent="0.25">
      <c r="A177" s="9"/>
      <c r="B177" s="10"/>
      <c r="C177" s="9"/>
      <c r="D177" s="9"/>
      <c r="E177" s="9"/>
      <c r="F177" s="9"/>
      <c r="G177" s="9"/>
      <c r="H177" s="9"/>
      <c r="I177" s="11"/>
      <c r="J177" s="11"/>
      <c r="K177" s="11"/>
      <c r="L177" s="9"/>
      <c r="M177" s="9"/>
      <c r="N177" s="9"/>
      <c r="O177" s="9"/>
      <c r="P177" s="9"/>
      <c r="Q177" s="9"/>
      <c r="R177" s="9"/>
      <c r="S177" s="9"/>
      <c r="T177" s="9"/>
      <c r="U177" s="9"/>
      <c r="V177" s="9"/>
      <c r="W177" s="9"/>
      <c r="X177" s="11"/>
      <c r="Y177" s="9"/>
      <c r="Z177" s="10"/>
      <c r="AA177" s="9"/>
      <c r="AB177" s="9"/>
      <c r="AC177" s="11"/>
      <c r="AD177" s="9"/>
      <c r="AE177" s="9"/>
      <c r="AF177" s="9"/>
      <c r="AG177" s="9"/>
      <c r="AH177" s="9"/>
      <c r="AI177" s="9"/>
      <c r="AJ177" s="9"/>
      <c r="AK177" s="9"/>
      <c r="AL177" s="9"/>
      <c r="AM177" s="11"/>
      <c r="AN177" s="11"/>
      <c r="AO177" s="9"/>
      <c r="AP177" s="9"/>
      <c r="AQ177" s="9"/>
    </row>
    <row r="178" spans="1:43" x14ac:dyDescent="0.25">
      <c r="A178" s="9"/>
      <c r="B178" s="10"/>
      <c r="C178" s="9"/>
      <c r="D178" s="9"/>
      <c r="E178" s="9"/>
      <c r="F178" s="9"/>
      <c r="G178" s="9"/>
      <c r="H178" s="9"/>
      <c r="I178" s="11"/>
      <c r="J178" s="11"/>
      <c r="K178" s="11"/>
      <c r="L178" s="9"/>
      <c r="M178" s="9"/>
      <c r="N178" s="9"/>
      <c r="O178" s="9"/>
      <c r="P178" s="9"/>
      <c r="Q178" s="9"/>
      <c r="R178" s="9"/>
      <c r="S178" s="9"/>
      <c r="T178" s="9"/>
      <c r="U178" s="9"/>
      <c r="V178" s="9"/>
      <c r="W178" s="9"/>
      <c r="X178" s="11"/>
      <c r="Y178" s="9"/>
      <c r="Z178" s="10"/>
      <c r="AA178" s="9"/>
      <c r="AB178" s="9"/>
      <c r="AC178" s="10"/>
      <c r="AD178" s="9"/>
      <c r="AE178" s="9"/>
      <c r="AF178" s="9"/>
      <c r="AG178" s="9"/>
      <c r="AH178" s="9"/>
      <c r="AI178" s="9"/>
      <c r="AJ178" s="9"/>
      <c r="AK178" s="9"/>
      <c r="AL178" s="9"/>
      <c r="AM178" s="11"/>
      <c r="AN178" s="11"/>
      <c r="AO178" s="9"/>
      <c r="AP178" s="9"/>
      <c r="AQ178" s="9"/>
    </row>
    <row r="179" spans="1:43" x14ac:dyDescent="0.25">
      <c r="A179" s="9"/>
      <c r="B179" s="10"/>
      <c r="C179" s="9"/>
      <c r="D179" s="9"/>
      <c r="E179" s="9"/>
      <c r="F179" s="9"/>
      <c r="G179" s="9"/>
      <c r="H179" s="9"/>
      <c r="I179" s="11"/>
      <c r="J179" s="11"/>
      <c r="K179" s="10"/>
      <c r="L179" s="9"/>
      <c r="M179" s="9"/>
      <c r="N179" s="9"/>
      <c r="O179" s="9"/>
      <c r="P179" s="9"/>
      <c r="Q179" s="9"/>
      <c r="R179" s="9"/>
      <c r="S179" s="9"/>
      <c r="T179" s="9"/>
      <c r="U179" s="9"/>
      <c r="V179" s="9"/>
      <c r="W179" s="9"/>
      <c r="X179" s="11"/>
      <c r="Y179" s="9"/>
      <c r="Z179" s="10"/>
      <c r="AA179" s="9"/>
      <c r="AB179" s="9"/>
      <c r="AC179" s="10"/>
      <c r="AD179" s="9"/>
      <c r="AE179" s="9"/>
      <c r="AF179" s="9"/>
      <c r="AG179" s="9"/>
      <c r="AH179" s="9"/>
      <c r="AI179" s="9"/>
      <c r="AJ179" s="9"/>
      <c r="AK179" s="9"/>
      <c r="AL179" s="9"/>
      <c r="AM179" s="11"/>
      <c r="AN179" s="11"/>
      <c r="AO179" s="9"/>
      <c r="AP179" s="9"/>
      <c r="AQ179" s="9"/>
    </row>
    <row r="180" spans="1:43" x14ac:dyDescent="0.25">
      <c r="A180" s="9"/>
      <c r="B180" s="10"/>
      <c r="C180" s="9"/>
      <c r="D180" s="9"/>
      <c r="E180" s="9"/>
      <c r="F180" s="9"/>
      <c r="G180" s="9"/>
      <c r="H180" s="9"/>
      <c r="I180" s="11"/>
      <c r="J180" s="11"/>
      <c r="K180" s="11"/>
      <c r="L180" s="9"/>
      <c r="M180" s="9"/>
      <c r="N180" s="9"/>
      <c r="O180" s="9"/>
      <c r="P180" s="9"/>
      <c r="Q180" s="9"/>
      <c r="R180" s="9"/>
      <c r="S180" s="9"/>
      <c r="T180" s="9"/>
      <c r="U180" s="9"/>
      <c r="V180" s="9"/>
      <c r="W180" s="9"/>
      <c r="X180" s="11"/>
      <c r="Y180" s="9"/>
      <c r="Z180" s="10"/>
      <c r="AA180" s="9"/>
      <c r="AB180" s="9"/>
      <c r="AC180" s="11"/>
      <c r="AD180" s="9"/>
      <c r="AE180" s="9"/>
      <c r="AF180" s="9"/>
      <c r="AG180" s="9"/>
      <c r="AH180" s="9"/>
      <c r="AI180" s="9"/>
      <c r="AJ180" s="9"/>
      <c r="AK180" s="9"/>
      <c r="AL180" s="9"/>
      <c r="AM180" s="11"/>
      <c r="AN180" s="11"/>
      <c r="AO180" s="9"/>
      <c r="AP180" s="9"/>
      <c r="AQ180" s="9"/>
    </row>
    <row r="181" spans="1:43" x14ac:dyDescent="0.25">
      <c r="A181" s="9"/>
      <c r="B181" s="10"/>
      <c r="C181" s="9"/>
      <c r="D181" s="9"/>
      <c r="E181" s="9"/>
      <c r="F181" s="9"/>
      <c r="G181" s="9"/>
      <c r="H181" s="9"/>
      <c r="I181" s="11"/>
      <c r="J181" s="11"/>
      <c r="K181" s="10"/>
      <c r="L181" s="9"/>
      <c r="M181" s="9"/>
      <c r="N181" s="9"/>
      <c r="O181" s="9"/>
      <c r="P181" s="9"/>
      <c r="Q181" s="9"/>
      <c r="R181" s="9"/>
      <c r="S181" s="9"/>
      <c r="T181" s="9"/>
      <c r="U181" s="9"/>
      <c r="V181" s="9"/>
      <c r="W181" s="9"/>
      <c r="X181" s="11"/>
      <c r="Y181" s="9"/>
      <c r="Z181" s="10"/>
      <c r="AA181" s="9"/>
      <c r="AB181" s="9"/>
      <c r="AC181" s="10"/>
      <c r="AD181" s="9"/>
      <c r="AE181" s="9"/>
      <c r="AF181" s="9"/>
      <c r="AG181" s="9"/>
      <c r="AH181" s="9"/>
      <c r="AI181" s="9"/>
      <c r="AJ181" s="9"/>
      <c r="AK181" s="9"/>
      <c r="AL181" s="9"/>
      <c r="AM181" s="10"/>
      <c r="AN181" s="11"/>
      <c r="AO181" s="9"/>
      <c r="AP181" s="9"/>
      <c r="AQ181" s="9"/>
    </row>
    <row r="182" spans="1:43" x14ac:dyDescent="0.25">
      <c r="A182" s="9"/>
      <c r="B182" s="10"/>
      <c r="C182" s="9"/>
      <c r="D182" s="9"/>
      <c r="E182" s="9"/>
      <c r="F182" s="9"/>
      <c r="G182" s="9"/>
      <c r="H182" s="9"/>
      <c r="I182" s="11"/>
      <c r="J182" s="11"/>
      <c r="K182" s="10"/>
      <c r="L182" s="9"/>
      <c r="M182" s="9"/>
      <c r="N182" s="9"/>
      <c r="O182" s="9"/>
      <c r="P182" s="9"/>
      <c r="Q182" s="9"/>
      <c r="R182" s="9"/>
      <c r="S182" s="9"/>
      <c r="T182" s="9"/>
      <c r="U182" s="9"/>
      <c r="V182" s="9"/>
      <c r="W182" s="9"/>
      <c r="X182" s="11"/>
      <c r="Y182" s="9"/>
      <c r="Z182" s="10"/>
      <c r="AA182" s="9"/>
      <c r="AB182" s="9"/>
      <c r="AC182" s="10"/>
      <c r="AD182" s="9"/>
      <c r="AE182" s="9"/>
      <c r="AF182" s="9"/>
      <c r="AG182" s="9"/>
      <c r="AH182" s="9"/>
      <c r="AI182" s="9"/>
      <c r="AJ182" s="9"/>
      <c r="AK182" s="9"/>
      <c r="AL182" s="9"/>
      <c r="AM182" s="10"/>
      <c r="AN182" s="11"/>
      <c r="AO182" s="9"/>
      <c r="AP182" s="9"/>
      <c r="AQ182" s="9"/>
    </row>
    <row r="183" spans="1:43" x14ac:dyDescent="0.25">
      <c r="A183" s="9"/>
      <c r="B183" s="10"/>
      <c r="C183" s="9"/>
      <c r="D183" s="9"/>
      <c r="E183" s="9"/>
      <c r="F183" s="9"/>
      <c r="G183" s="9"/>
      <c r="H183" s="9"/>
      <c r="I183" s="11"/>
      <c r="J183" s="11"/>
      <c r="K183" s="11"/>
      <c r="L183" s="9"/>
      <c r="M183" s="9"/>
      <c r="N183" s="9"/>
      <c r="O183" s="9"/>
      <c r="P183" s="9"/>
      <c r="Q183" s="9"/>
      <c r="R183" s="9"/>
      <c r="S183" s="9"/>
      <c r="T183" s="9"/>
      <c r="U183" s="9"/>
      <c r="V183" s="9"/>
      <c r="W183" s="9"/>
      <c r="X183" s="11"/>
      <c r="Y183" s="9"/>
      <c r="Z183" s="10"/>
      <c r="AA183" s="9"/>
      <c r="AB183" s="9"/>
      <c r="AC183" s="11"/>
      <c r="AD183" s="9"/>
      <c r="AE183" s="9"/>
      <c r="AF183" s="9"/>
      <c r="AG183" s="9"/>
      <c r="AH183" s="9"/>
      <c r="AI183" s="9"/>
      <c r="AJ183" s="9"/>
      <c r="AK183" s="9"/>
      <c r="AL183" s="9"/>
      <c r="AM183" s="11"/>
      <c r="AN183" s="11"/>
      <c r="AO183" s="9"/>
      <c r="AP183" s="9"/>
      <c r="AQ183" s="9"/>
    </row>
    <row r="184" spans="1:43" x14ac:dyDescent="0.25">
      <c r="A184" s="9"/>
      <c r="B184" s="10"/>
      <c r="C184" s="9"/>
      <c r="D184" s="9"/>
      <c r="E184" s="9"/>
      <c r="F184" s="9"/>
      <c r="G184" s="9"/>
      <c r="H184" s="9"/>
      <c r="I184" s="11"/>
      <c r="J184" s="11"/>
      <c r="K184" s="11"/>
      <c r="L184" s="9"/>
      <c r="M184" s="9"/>
      <c r="N184" s="9"/>
      <c r="O184" s="9"/>
      <c r="P184" s="9"/>
      <c r="Q184" s="9"/>
      <c r="R184" s="9"/>
      <c r="S184" s="9"/>
      <c r="T184" s="9"/>
      <c r="U184" s="9"/>
      <c r="V184" s="9"/>
      <c r="W184" s="9"/>
      <c r="X184" s="11"/>
      <c r="Y184" s="9"/>
      <c r="Z184" s="10"/>
      <c r="AA184" s="9"/>
      <c r="AB184" s="9"/>
      <c r="AC184" s="10"/>
      <c r="AD184" s="9"/>
      <c r="AE184" s="9"/>
      <c r="AF184" s="9"/>
      <c r="AG184" s="9"/>
      <c r="AH184" s="9"/>
      <c r="AI184" s="9"/>
      <c r="AJ184" s="9"/>
      <c r="AK184" s="9"/>
      <c r="AL184" s="9"/>
      <c r="AM184" s="11"/>
      <c r="AN184" s="11"/>
      <c r="AO184" s="9"/>
      <c r="AP184" s="9"/>
      <c r="AQ184" s="9"/>
    </row>
    <row r="185" spans="1:43" x14ac:dyDescent="0.25">
      <c r="A185" s="9"/>
      <c r="B185" s="10"/>
      <c r="C185" s="9"/>
      <c r="D185" s="9"/>
      <c r="E185" s="9"/>
      <c r="F185" s="9"/>
      <c r="G185" s="9"/>
      <c r="H185" s="9"/>
      <c r="I185" s="11"/>
      <c r="J185" s="11"/>
      <c r="K185" s="10"/>
      <c r="L185" s="9"/>
      <c r="M185" s="9"/>
      <c r="N185" s="9"/>
      <c r="O185" s="9"/>
      <c r="P185" s="9"/>
      <c r="Q185" s="9"/>
      <c r="R185" s="9"/>
      <c r="S185" s="9"/>
      <c r="T185" s="9"/>
      <c r="U185" s="9"/>
      <c r="V185" s="9"/>
      <c r="W185" s="9"/>
      <c r="X185" s="11"/>
      <c r="Y185" s="9"/>
      <c r="Z185" s="10"/>
      <c r="AA185" s="9"/>
      <c r="AB185" s="9"/>
      <c r="AC185" s="10"/>
      <c r="AD185" s="9"/>
      <c r="AE185" s="9"/>
      <c r="AF185" s="9"/>
      <c r="AG185" s="9"/>
      <c r="AH185" s="9"/>
      <c r="AI185" s="9"/>
      <c r="AJ185" s="9"/>
      <c r="AK185" s="9"/>
      <c r="AL185" s="9"/>
      <c r="AM185" s="10"/>
      <c r="AN185" s="11"/>
      <c r="AO185" s="9"/>
      <c r="AP185" s="9"/>
      <c r="AQ185" s="9"/>
    </row>
    <row r="186" spans="1:43" x14ac:dyDescent="0.25">
      <c r="A186" s="9"/>
      <c r="B186" s="10"/>
      <c r="C186" s="9"/>
      <c r="D186" s="9"/>
      <c r="E186" s="9"/>
      <c r="F186" s="9"/>
      <c r="G186" s="9"/>
      <c r="H186" s="9"/>
      <c r="I186" s="11"/>
      <c r="J186" s="11"/>
      <c r="K186" s="11"/>
      <c r="L186" s="9"/>
      <c r="M186" s="9"/>
      <c r="N186" s="9"/>
      <c r="O186" s="9"/>
      <c r="P186" s="9"/>
      <c r="Q186" s="9"/>
      <c r="R186" s="9"/>
      <c r="S186" s="9"/>
      <c r="T186" s="9"/>
      <c r="U186" s="9"/>
      <c r="V186" s="9"/>
      <c r="W186" s="9"/>
      <c r="X186" s="11"/>
      <c r="Y186" s="9"/>
      <c r="Z186" s="10"/>
      <c r="AA186" s="9"/>
      <c r="AB186" s="9"/>
      <c r="AC186" s="10"/>
      <c r="AD186" s="9"/>
      <c r="AE186" s="9"/>
      <c r="AF186" s="9"/>
      <c r="AG186" s="9"/>
      <c r="AH186" s="9"/>
      <c r="AI186" s="9"/>
      <c r="AJ186" s="9"/>
      <c r="AK186" s="9"/>
      <c r="AL186" s="9"/>
      <c r="AM186" s="11"/>
      <c r="AN186" s="11"/>
      <c r="AO186" s="9"/>
      <c r="AP186" s="9"/>
      <c r="AQ186" s="9"/>
    </row>
    <row r="187" spans="1:43" x14ac:dyDescent="0.25">
      <c r="A187" s="9"/>
      <c r="B187" s="10"/>
      <c r="C187" s="9"/>
      <c r="D187" s="9"/>
      <c r="E187" s="9"/>
      <c r="F187" s="9"/>
      <c r="G187" s="9"/>
      <c r="H187" s="9"/>
      <c r="I187" s="11"/>
      <c r="J187" s="11"/>
      <c r="K187" s="11"/>
      <c r="L187" s="9"/>
      <c r="M187" s="9"/>
      <c r="N187" s="9"/>
      <c r="O187" s="9"/>
      <c r="P187" s="9"/>
      <c r="Q187" s="9"/>
      <c r="R187" s="9"/>
      <c r="S187" s="9"/>
      <c r="T187" s="9"/>
      <c r="U187" s="9"/>
      <c r="V187" s="9"/>
      <c r="W187" s="9"/>
      <c r="X187" s="11"/>
      <c r="Y187" s="9"/>
      <c r="Z187" s="10"/>
      <c r="AA187" s="9"/>
      <c r="AB187" s="9"/>
      <c r="AC187" s="10"/>
      <c r="AD187" s="9"/>
      <c r="AE187" s="9"/>
      <c r="AF187" s="9"/>
      <c r="AG187" s="9"/>
      <c r="AH187" s="9"/>
      <c r="AI187" s="9"/>
      <c r="AJ187" s="9"/>
      <c r="AK187" s="9"/>
      <c r="AL187" s="9"/>
      <c r="AM187" s="11"/>
      <c r="AN187" s="11"/>
      <c r="AO187" s="9"/>
      <c r="AP187" s="9"/>
      <c r="AQ187" s="9"/>
    </row>
    <row r="188" spans="1:43" x14ac:dyDescent="0.25">
      <c r="A188" s="9"/>
      <c r="B188" s="10"/>
      <c r="C188" s="9"/>
      <c r="D188" s="9"/>
      <c r="E188" s="9"/>
      <c r="F188" s="9"/>
      <c r="G188" s="9"/>
      <c r="H188" s="9"/>
      <c r="I188" s="11"/>
      <c r="J188" s="11"/>
      <c r="K188" s="11"/>
      <c r="L188" s="9"/>
      <c r="M188" s="9"/>
      <c r="N188" s="9"/>
      <c r="O188" s="9"/>
      <c r="P188" s="9"/>
      <c r="Q188" s="9"/>
      <c r="R188" s="9"/>
      <c r="S188" s="9"/>
      <c r="T188" s="9"/>
      <c r="U188" s="9"/>
      <c r="V188" s="9"/>
      <c r="W188" s="9"/>
      <c r="X188" s="11"/>
      <c r="Y188" s="9"/>
      <c r="Z188" s="10"/>
      <c r="AA188" s="9"/>
      <c r="AB188" s="9"/>
      <c r="AC188" s="10"/>
      <c r="AD188" s="9"/>
      <c r="AE188" s="9"/>
      <c r="AF188" s="9"/>
      <c r="AG188" s="9"/>
      <c r="AH188" s="9"/>
      <c r="AI188" s="9"/>
      <c r="AJ188" s="9"/>
      <c r="AK188" s="9"/>
      <c r="AL188" s="9"/>
      <c r="AM188" s="11"/>
      <c r="AN188" s="11"/>
      <c r="AO188" s="9"/>
      <c r="AP188" s="9"/>
      <c r="AQ188" s="9"/>
    </row>
    <row r="189" spans="1:43" x14ac:dyDescent="0.25">
      <c r="A189" s="9"/>
      <c r="B189" s="10"/>
      <c r="C189" s="9"/>
      <c r="D189" s="9"/>
      <c r="E189" s="9"/>
      <c r="F189" s="9"/>
      <c r="G189" s="9"/>
      <c r="H189" s="9"/>
      <c r="I189" s="11"/>
      <c r="J189" s="11"/>
      <c r="K189" s="11"/>
      <c r="L189" s="9"/>
      <c r="M189" s="9"/>
      <c r="N189" s="9"/>
      <c r="O189" s="9"/>
      <c r="P189" s="9"/>
      <c r="Q189" s="9"/>
      <c r="R189" s="9"/>
      <c r="S189" s="9"/>
      <c r="T189" s="9"/>
      <c r="U189" s="9"/>
      <c r="V189" s="9"/>
      <c r="W189" s="9"/>
      <c r="X189" s="11"/>
      <c r="Y189" s="9"/>
      <c r="Z189" s="10"/>
      <c r="AA189" s="9"/>
      <c r="AB189" s="9"/>
      <c r="AC189" s="11"/>
      <c r="AD189" s="9"/>
      <c r="AE189" s="9"/>
      <c r="AF189" s="9"/>
      <c r="AG189" s="9"/>
      <c r="AH189" s="9"/>
      <c r="AI189" s="9"/>
      <c r="AJ189" s="9"/>
      <c r="AK189" s="9"/>
      <c r="AL189" s="9"/>
      <c r="AM189" s="11"/>
      <c r="AN189" s="11"/>
      <c r="AO189" s="9"/>
      <c r="AP189" s="9"/>
      <c r="AQ189" s="9"/>
    </row>
    <row r="190" spans="1:43" x14ac:dyDescent="0.25">
      <c r="A190" s="9"/>
      <c r="B190" s="10"/>
      <c r="C190" s="9"/>
      <c r="D190" s="9"/>
      <c r="E190" s="9"/>
      <c r="F190" s="9"/>
      <c r="G190" s="9"/>
      <c r="H190" s="9"/>
      <c r="I190" s="11"/>
      <c r="J190" s="11"/>
      <c r="K190" s="10"/>
      <c r="L190" s="9"/>
      <c r="M190" s="9"/>
      <c r="N190" s="9"/>
      <c r="O190" s="9"/>
      <c r="P190" s="9"/>
      <c r="Q190" s="9"/>
      <c r="R190" s="9"/>
      <c r="S190" s="9"/>
      <c r="T190" s="9"/>
      <c r="U190" s="9"/>
      <c r="V190" s="9"/>
      <c r="W190" s="9"/>
      <c r="X190" s="11"/>
      <c r="Y190" s="9"/>
      <c r="Z190" s="10"/>
      <c r="AA190" s="9"/>
      <c r="AB190" s="9"/>
      <c r="AC190" s="10"/>
      <c r="AD190" s="9"/>
      <c r="AE190" s="9"/>
      <c r="AF190" s="9"/>
      <c r="AG190" s="9"/>
      <c r="AH190" s="9"/>
      <c r="AI190" s="9"/>
      <c r="AJ190" s="9"/>
      <c r="AK190" s="9"/>
      <c r="AL190" s="9"/>
      <c r="AM190" s="10"/>
      <c r="AN190" s="11"/>
      <c r="AO190" s="9"/>
      <c r="AP190" s="9"/>
      <c r="AQ190" s="9"/>
    </row>
    <row r="191" spans="1:43" x14ac:dyDescent="0.25">
      <c r="A191" s="9"/>
      <c r="B191" s="10"/>
      <c r="C191" s="9"/>
      <c r="D191" s="9"/>
      <c r="E191" s="9"/>
      <c r="F191" s="9"/>
      <c r="G191" s="9"/>
      <c r="H191" s="9"/>
      <c r="I191" s="11"/>
      <c r="J191" s="11"/>
      <c r="K191" s="11"/>
      <c r="L191" s="9"/>
      <c r="M191" s="9"/>
      <c r="N191" s="9"/>
      <c r="O191" s="9"/>
      <c r="P191" s="9"/>
      <c r="Q191" s="9"/>
      <c r="R191" s="9"/>
      <c r="S191" s="9"/>
      <c r="T191" s="9"/>
      <c r="U191" s="9"/>
      <c r="V191" s="9"/>
      <c r="W191" s="9"/>
      <c r="X191" s="11"/>
      <c r="Y191" s="9"/>
      <c r="Z191" s="10"/>
      <c r="AA191" s="9"/>
      <c r="AB191" s="9"/>
      <c r="AC191" s="10"/>
      <c r="AD191" s="9"/>
      <c r="AE191" s="9"/>
      <c r="AF191" s="9"/>
      <c r="AG191" s="9"/>
      <c r="AH191" s="9"/>
      <c r="AI191" s="9"/>
      <c r="AJ191" s="9"/>
      <c r="AK191" s="9"/>
      <c r="AL191" s="9"/>
      <c r="AM191" s="11"/>
      <c r="AN191" s="11"/>
      <c r="AO191" s="9"/>
      <c r="AP191" s="9"/>
      <c r="AQ191" s="9"/>
    </row>
    <row r="192" spans="1:43" x14ac:dyDescent="0.25">
      <c r="A192" s="9"/>
      <c r="B192" s="10"/>
      <c r="C192" s="9"/>
      <c r="D192" s="9"/>
      <c r="E192" s="9"/>
      <c r="F192" s="9"/>
      <c r="G192" s="9"/>
      <c r="H192" s="9"/>
      <c r="I192" s="11"/>
      <c r="J192" s="11"/>
      <c r="K192" s="11"/>
      <c r="L192" s="9"/>
      <c r="M192" s="9"/>
      <c r="N192" s="9"/>
      <c r="O192" s="9"/>
      <c r="P192" s="9"/>
      <c r="Q192" s="9"/>
      <c r="R192" s="9"/>
      <c r="S192" s="9"/>
      <c r="T192" s="9"/>
      <c r="U192" s="9"/>
      <c r="V192" s="9"/>
      <c r="W192" s="9"/>
      <c r="X192" s="11"/>
      <c r="Y192" s="9"/>
      <c r="Z192" s="10"/>
      <c r="AA192" s="9"/>
      <c r="AB192" s="9"/>
      <c r="AC192" s="11"/>
      <c r="AD192" s="9"/>
      <c r="AE192" s="9"/>
      <c r="AF192" s="9"/>
      <c r="AG192" s="9"/>
      <c r="AH192" s="9"/>
      <c r="AI192" s="9"/>
      <c r="AJ192" s="9"/>
      <c r="AK192" s="9"/>
      <c r="AL192" s="9"/>
      <c r="AM192" s="11"/>
      <c r="AN192" s="11"/>
      <c r="AO192" s="9"/>
      <c r="AP192" s="9"/>
      <c r="AQ192" s="9"/>
    </row>
    <row r="193" spans="1:43" x14ac:dyDescent="0.25">
      <c r="A193" s="9"/>
      <c r="B193" s="10"/>
      <c r="C193" s="9"/>
      <c r="D193" s="9"/>
      <c r="E193" s="9"/>
      <c r="F193" s="9"/>
      <c r="G193" s="9"/>
      <c r="H193" s="9"/>
      <c r="I193" s="11"/>
      <c r="J193" s="11"/>
      <c r="K193" s="11"/>
      <c r="L193" s="9"/>
      <c r="M193" s="9"/>
      <c r="N193" s="9"/>
      <c r="O193" s="9"/>
      <c r="P193" s="9"/>
      <c r="Q193" s="9"/>
      <c r="R193" s="9"/>
      <c r="S193" s="9"/>
      <c r="T193" s="9"/>
      <c r="U193" s="9"/>
      <c r="V193" s="9"/>
      <c r="W193" s="9"/>
      <c r="X193" s="11"/>
      <c r="Y193" s="9"/>
      <c r="Z193" s="10"/>
      <c r="AA193" s="9"/>
      <c r="AB193" s="9"/>
      <c r="AC193" s="11"/>
      <c r="AD193" s="9"/>
      <c r="AE193" s="9"/>
      <c r="AF193" s="9"/>
      <c r="AG193" s="9"/>
      <c r="AH193" s="9"/>
      <c r="AI193" s="9"/>
      <c r="AJ193" s="9"/>
      <c r="AK193" s="9"/>
      <c r="AL193" s="9"/>
      <c r="AM193" s="11"/>
      <c r="AN193" s="11"/>
      <c r="AO193" s="9"/>
      <c r="AP193" s="9"/>
      <c r="AQ193" s="9"/>
    </row>
    <row r="194" spans="1:43" x14ac:dyDescent="0.25">
      <c r="A194" s="9"/>
      <c r="B194" s="10"/>
      <c r="C194" s="9"/>
      <c r="D194" s="9"/>
      <c r="E194" s="9"/>
      <c r="F194" s="9"/>
      <c r="G194" s="9"/>
      <c r="H194" s="9"/>
      <c r="I194" s="11"/>
      <c r="J194" s="11"/>
      <c r="K194" s="11"/>
      <c r="L194" s="9"/>
      <c r="M194" s="9"/>
      <c r="N194" s="9"/>
      <c r="O194" s="9"/>
      <c r="P194" s="9"/>
      <c r="Q194" s="9"/>
      <c r="R194" s="9"/>
      <c r="S194" s="9"/>
      <c r="T194" s="9"/>
      <c r="U194" s="9"/>
      <c r="V194" s="9"/>
      <c r="W194" s="9"/>
      <c r="X194" s="11"/>
      <c r="Y194" s="9"/>
      <c r="Z194" s="10"/>
      <c r="AA194" s="9"/>
      <c r="AB194" s="9"/>
      <c r="AC194" s="11"/>
      <c r="AD194" s="9"/>
      <c r="AE194" s="9"/>
      <c r="AF194" s="9"/>
      <c r="AG194" s="9"/>
      <c r="AH194" s="9"/>
      <c r="AI194" s="9"/>
      <c r="AJ194" s="9"/>
      <c r="AK194" s="9"/>
      <c r="AL194" s="9"/>
      <c r="AM194" s="11"/>
      <c r="AN194" s="11"/>
      <c r="AO194" s="9"/>
      <c r="AP194" s="9"/>
      <c r="AQ194" s="9"/>
    </row>
    <row r="195" spans="1:43" x14ac:dyDescent="0.25">
      <c r="A195" s="9"/>
      <c r="B195" s="10"/>
      <c r="C195" s="9"/>
      <c r="D195" s="9"/>
      <c r="E195" s="9"/>
      <c r="F195" s="9"/>
      <c r="G195" s="9"/>
      <c r="H195" s="9"/>
      <c r="I195" s="11"/>
      <c r="J195" s="11"/>
      <c r="K195" s="11"/>
      <c r="L195" s="9"/>
      <c r="M195" s="9"/>
      <c r="N195" s="9"/>
      <c r="O195" s="9"/>
      <c r="P195" s="9"/>
      <c r="Q195" s="9"/>
      <c r="R195" s="9"/>
      <c r="S195" s="9"/>
      <c r="T195" s="9"/>
      <c r="U195" s="9"/>
      <c r="V195" s="9"/>
      <c r="W195" s="9"/>
      <c r="X195" s="11"/>
      <c r="Y195" s="9"/>
      <c r="Z195" s="10"/>
      <c r="AA195" s="9"/>
      <c r="AB195" s="9"/>
      <c r="AC195" s="10"/>
      <c r="AD195" s="9"/>
      <c r="AE195" s="9"/>
      <c r="AF195" s="9"/>
      <c r="AG195" s="9"/>
      <c r="AH195" s="9"/>
      <c r="AI195" s="9"/>
      <c r="AJ195" s="9"/>
      <c r="AK195" s="9"/>
      <c r="AL195" s="9"/>
      <c r="AM195" s="11"/>
      <c r="AN195" s="11"/>
      <c r="AO195" s="9"/>
      <c r="AP195" s="9"/>
      <c r="AQ195" s="9"/>
    </row>
    <row r="196" spans="1:43" x14ac:dyDescent="0.25">
      <c r="A196" s="9"/>
      <c r="B196" s="10"/>
      <c r="C196" s="9"/>
      <c r="D196" s="9"/>
      <c r="E196" s="9"/>
      <c r="F196" s="9"/>
      <c r="G196" s="9"/>
      <c r="H196" s="9"/>
      <c r="I196" s="11"/>
      <c r="J196" s="11"/>
      <c r="K196" s="11"/>
      <c r="L196" s="9"/>
      <c r="M196" s="9"/>
      <c r="N196" s="9"/>
      <c r="O196" s="9"/>
      <c r="P196" s="9"/>
      <c r="Q196" s="9"/>
      <c r="R196" s="9"/>
      <c r="S196" s="9"/>
      <c r="T196" s="9"/>
      <c r="U196" s="9"/>
      <c r="V196" s="9"/>
      <c r="W196" s="9"/>
      <c r="X196" s="11"/>
      <c r="Y196" s="9"/>
      <c r="Z196" s="10"/>
      <c r="AA196" s="9"/>
      <c r="AB196" s="9"/>
      <c r="AC196" s="11"/>
      <c r="AD196" s="9"/>
      <c r="AE196" s="9"/>
      <c r="AF196" s="9"/>
      <c r="AG196" s="9"/>
      <c r="AH196" s="9"/>
      <c r="AI196" s="9"/>
      <c r="AJ196" s="9"/>
      <c r="AK196" s="9"/>
      <c r="AL196" s="9"/>
      <c r="AM196" s="11"/>
      <c r="AN196" s="11"/>
      <c r="AO196" s="9"/>
      <c r="AP196" s="9"/>
      <c r="AQ196" s="9"/>
    </row>
    <row r="197" spans="1:43" x14ac:dyDescent="0.25">
      <c r="A197" s="9"/>
      <c r="B197" s="10"/>
      <c r="C197" s="9"/>
      <c r="D197" s="9"/>
      <c r="E197" s="9"/>
      <c r="F197" s="9"/>
      <c r="G197" s="9"/>
      <c r="H197" s="9"/>
      <c r="I197" s="11"/>
      <c r="J197" s="11"/>
      <c r="K197" s="10"/>
      <c r="L197" s="9"/>
      <c r="M197" s="9"/>
      <c r="N197" s="9"/>
      <c r="O197" s="9"/>
      <c r="P197" s="9"/>
      <c r="Q197" s="9"/>
      <c r="R197" s="9"/>
      <c r="S197" s="9"/>
      <c r="T197" s="9"/>
      <c r="U197" s="9"/>
      <c r="V197" s="9"/>
      <c r="W197" s="9"/>
      <c r="X197" s="11"/>
      <c r="Y197" s="9"/>
      <c r="Z197" s="10"/>
      <c r="AA197" s="9"/>
      <c r="AB197" s="9"/>
      <c r="AC197" s="10"/>
      <c r="AD197" s="9"/>
      <c r="AE197" s="9"/>
      <c r="AF197" s="9"/>
      <c r="AG197" s="9"/>
      <c r="AH197" s="9"/>
      <c r="AI197" s="9"/>
      <c r="AJ197" s="9"/>
      <c r="AK197" s="9"/>
      <c r="AL197" s="9"/>
      <c r="AM197" s="10"/>
      <c r="AN197" s="11"/>
      <c r="AO197" s="9"/>
      <c r="AP197" s="9"/>
      <c r="AQ197" s="9"/>
    </row>
    <row r="198" spans="1:43" x14ac:dyDescent="0.25">
      <c r="A198" s="9"/>
      <c r="B198" s="10"/>
      <c r="C198" s="9"/>
      <c r="D198" s="9"/>
      <c r="E198" s="9"/>
      <c r="F198" s="9"/>
      <c r="G198" s="9"/>
      <c r="H198" s="9"/>
      <c r="I198" s="11"/>
      <c r="J198" s="11"/>
      <c r="K198" s="10"/>
      <c r="L198" s="9"/>
      <c r="M198" s="9"/>
      <c r="N198" s="9"/>
      <c r="O198" s="9"/>
      <c r="P198" s="9"/>
      <c r="Q198" s="9"/>
      <c r="R198" s="9"/>
      <c r="S198" s="9"/>
      <c r="T198" s="9"/>
      <c r="U198" s="9"/>
      <c r="V198" s="9"/>
      <c r="W198" s="9"/>
      <c r="X198" s="11"/>
      <c r="Y198" s="9"/>
      <c r="Z198" s="10"/>
      <c r="AA198" s="9"/>
      <c r="AB198" s="9"/>
      <c r="AC198" s="10"/>
      <c r="AD198" s="9"/>
      <c r="AE198" s="9"/>
      <c r="AF198" s="9"/>
      <c r="AG198" s="9"/>
      <c r="AH198" s="9"/>
      <c r="AI198" s="9"/>
      <c r="AJ198" s="9"/>
      <c r="AK198" s="9"/>
      <c r="AL198" s="9"/>
      <c r="AM198" s="10"/>
      <c r="AN198" s="11"/>
      <c r="AO198" s="9"/>
      <c r="AP198" s="9"/>
      <c r="AQ198" s="9"/>
    </row>
    <row r="199" spans="1:43" x14ac:dyDescent="0.25">
      <c r="A199" s="9"/>
      <c r="B199" s="10"/>
      <c r="C199" s="9"/>
      <c r="D199" s="9"/>
      <c r="E199" s="9"/>
      <c r="F199" s="9"/>
      <c r="G199" s="9"/>
      <c r="H199" s="9"/>
      <c r="I199" s="11"/>
      <c r="J199" s="11"/>
      <c r="K199" s="11"/>
      <c r="L199" s="9"/>
      <c r="M199" s="9"/>
      <c r="N199" s="9"/>
      <c r="O199" s="9"/>
      <c r="P199" s="9"/>
      <c r="Q199" s="9"/>
      <c r="R199" s="9"/>
      <c r="S199" s="9"/>
      <c r="T199" s="9"/>
      <c r="U199" s="9"/>
      <c r="V199" s="9"/>
      <c r="W199" s="9"/>
      <c r="X199" s="11"/>
      <c r="Y199" s="9"/>
      <c r="Z199" s="10"/>
      <c r="AA199" s="9"/>
      <c r="AB199" s="9"/>
      <c r="AC199" s="10"/>
      <c r="AD199" s="9"/>
      <c r="AE199" s="9"/>
      <c r="AF199" s="9"/>
      <c r="AG199" s="9"/>
      <c r="AH199" s="9"/>
      <c r="AI199" s="9"/>
      <c r="AJ199" s="9"/>
      <c r="AK199" s="9"/>
      <c r="AL199" s="9"/>
      <c r="AM199" s="11"/>
      <c r="AN199" s="11"/>
      <c r="AO199" s="9"/>
      <c r="AP199" s="9"/>
      <c r="AQ199" s="9"/>
    </row>
    <row r="200" spans="1:43" x14ac:dyDescent="0.25">
      <c r="A200" s="9"/>
      <c r="B200" s="10"/>
      <c r="C200" s="9"/>
      <c r="D200" s="9"/>
      <c r="E200" s="9"/>
      <c r="F200" s="9"/>
      <c r="G200" s="9"/>
      <c r="H200" s="9"/>
      <c r="I200" s="11"/>
      <c r="J200" s="11"/>
      <c r="K200" s="10"/>
      <c r="L200" s="9"/>
      <c r="M200" s="9"/>
      <c r="N200" s="9"/>
      <c r="O200" s="9"/>
      <c r="P200" s="9"/>
      <c r="Q200" s="9"/>
      <c r="R200" s="9"/>
      <c r="S200" s="9"/>
      <c r="T200" s="9"/>
      <c r="U200" s="9"/>
      <c r="V200" s="9"/>
      <c r="W200" s="9"/>
      <c r="X200" s="11"/>
      <c r="Y200" s="9"/>
      <c r="Z200" s="10"/>
      <c r="AA200" s="9"/>
      <c r="AB200" s="9"/>
      <c r="AC200" s="10"/>
      <c r="AD200" s="9"/>
      <c r="AE200" s="9"/>
      <c r="AF200" s="9"/>
      <c r="AG200" s="9"/>
      <c r="AH200" s="9"/>
      <c r="AI200" s="9"/>
      <c r="AJ200" s="9"/>
      <c r="AK200" s="9"/>
      <c r="AL200" s="9"/>
      <c r="AM200" s="11"/>
      <c r="AN200" s="11"/>
      <c r="AO200" s="9"/>
      <c r="AP200" s="9"/>
      <c r="AQ200" s="9"/>
    </row>
    <row r="201" spans="1:43" x14ac:dyDescent="0.25">
      <c r="A201" s="9"/>
      <c r="B201" s="10"/>
      <c r="C201" s="9"/>
      <c r="D201" s="9"/>
      <c r="E201" s="9"/>
      <c r="F201" s="9"/>
      <c r="G201" s="9"/>
      <c r="H201" s="9"/>
      <c r="I201" s="11"/>
      <c r="J201" s="11"/>
      <c r="K201" s="11"/>
      <c r="L201" s="9"/>
      <c r="M201" s="9"/>
      <c r="N201" s="9"/>
      <c r="O201" s="9"/>
      <c r="P201" s="9"/>
      <c r="Q201" s="9"/>
      <c r="R201" s="9"/>
      <c r="S201" s="9"/>
      <c r="T201" s="9"/>
      <c r="U201" s="9"/>
      <c r="V201" s="9"/>
      <c r="W201" s="9"/>
      <c r="X201" s="11"/>
      <c r="Y201" s="9"/>
      <c r="Z201" s="10"/>
      <c r="AA201" s="9"/>
      <c r="AB201" s="9"/>
      <c r="AC201" s="11"/>
      <c r="AD201" s="9"/>
      <c r="AE201" s="9"/>
      <c r="AF201" s="9"/>
      <c r="AG201" s="9"/>
      <c r="AH201" s="9"/>
      <c r="AI201" s="9"/>
      <c r="AJ201" s="9"/>
      <c r="AK201" s="9"/>
      <c r="AL201" s="9"/>
      <c r="AM201" s="11"/>
      <c r="AN201" s="11"/>
      <c r="AO201" s="9"/>
      <c r="AP201" s="9"/>
      <c r="AQ201" s="9"/>
    </row>
    <row r="202" spans="1:43" x14ac:dyDescent="0.25">
      <c r="A202" s="9"/>
      <c r="B202" s="10"/>
      <c r="C202" s="9"/>
      <c r="D202" s="9"/>
      <c r="E202" s="9"/>
      <c r="F202" s="9"/>
      <c r="G202" s="9"/>
      <c r="H202" s="9"/>
      <c r="I202" s="11"/>
      <c r="J202" s="11"/>
      <c r="K202" s="11"/>
      <c r="L202" s="9"/>
      <c r="M202" s="9"/>
      <c r="N202" s="9"/>
      <c r="O202" s="9"/>
      <c r="P202" s="9"/>
      <c r="Q202" s="9"/>
      <c r="R202" s="9"/>
      <c r="S202" s="9"/>
      <c r="T202" s="9"/>
      <c r="U202" s="9"/>
      <c r="V202" s="9"/>
      <c r="W202" s="9"/>
      <c r="X202" s="11"/>
      <c r="Y202" s="9"/>
      <c r="Z202" s="10"/>
      <c r="AA202" s="9"/>
      <c r="AB202" s="9"/>
      <c r="AC202" s="10"/>
      <c r="AD202" s="9"/>
      <c r="AE202" s="9"/>
      <c r="AF202" s="9"/>
      <c r="AG202" s="9"/>
      <c r="AH202" s="9"/>
      <c r="AI202" s="9"/>
      <c r="AJ202" s="9"/>
      <c r="AK202" s="9"/>
      <c r="AL202" s="9"/>
      <c r="AM202" s="11"/>
      <c r="AN202" s="11"/>
      <c r="AO202" s="9"/>
      <c r="AP202" s="9"/>
      <c r="AQ202" s="9"/>
    </row>
    <row r="203" spans="1:43" x14ac:dyDescent="0.25">
      <c r="A203" s="9"/>
      <c r="B203" s="10"/>
      <c r="C203" s="9"/>
      <c r="D203" s="9"/>
      <c r="E203" s="9"/>
      <c r="F203" s="9"/>
      <c r="G203" s="9"/>
      <c r="H203" s="9"/>
      <c r="I203" s="11"/>
      <c r="J203" s="11"/>
      <c r="K203" s="11"/>
      <c r="L203" s="9"/>
      <c r="M203" s="9"/>
      <c r="N203" s="9"/>
      <c r="O203" s="9"/>
      <c r="P203" s="9"/>
      <c r="Q203" s="9"/>
      <c r="R203" s="9"/>
      <c r="S203" s="9"/>
      <c r="T203" s="9"/>
      <c r="U203" s="9"/>
      <c r="V203" s="9"/>
      <c r="W203" s="9"/>
      <c r="X203" s="11"/>
      <c r="Y203" s="9"/>
      <c r="Z203" s="10"/>
      <c r="AA203" s="9"/>
      <c r="AB203" s="9"/>
      <c r="AC203" s="11"/>
      <c r="AD203" s="9"/>
      <c r="AE203" s="9"/>
      <c r="AF203" s="9"/>
      <c r="AG203" s="9"/>
      <c r="AH203" s="9"/>
      <c r="AI203" s="9"/>
      <c r="AJ203" s="9"/>
      <c r="AK203" s="9"/>
      <c r="AL203" s="9"/>
      <c r="AM203" s="11"/>
      <c r="AN203" s="11"/>
      <c r="AO203" s="9"/>
      <c r="AP203" s="9"/>
      <c r="AQ203" s="9"/>
    </row>
    <row r="204" spans="1:43" x14ac:dyDescent="0.25">
      <c r="A204" s="9"/>
      <c r="B204" s="10"/>
      <c r="C204" s="9"/>
      <c r="D204" s="9"/>
      <c r="E204" s="9"/>
      <c r="F204" s="9"/>
      <c r="G204" s="9"/>
      <c r="H204" s="9"/>
      <c r="I204" s="11"/>
      <c r="J204" s="11"/>
      <c r="K204" s="10"/>
      <c r="L204" s="9"/>
      <c r="M204" s="9"/>
      <c r="N204" s="9"/>
      <c r="O204" s="9"/>
      <c r="P204" s="9"/>
      <c r="Q204" s="9"/>
      <c r="R204" s="9"/>
      <c r="S204" s="9"/>
      <c r="T204" s="9"/>
      <c r="U204" s="9"/>
      <c r="V204" s="9"/>
      <c r="W204" s="9"/>
      <c r="X204" s="11"/>
      <c r="Y204" s="9"/>
      <c r="Z204" s="10"/>
      <c r="AA204" s="9"/>
      <c r="AB204" s="9"/>
      <c r="AC204" s="10"/>
      <c r="AD204" s="9"/>
      <c r="AE204" s="9"/>
      <c r="AF204" s="9"/>
      <c r="AG204" s="9"/>
      <c r="AH204" s="9"/>
      <c r="AI204" s="9"/>
      <c r="AJ204" s="9"/>
      <c r="AK204" s="9"/>
      <c r="AL204" s="9"/>
      <c r="AM204" s="11"/>
      <c r="AN204" s="11"/>
      <c r="AO204" s="9"/>
      <c r="AP204" s="9"/>
      <c r="AQ204" s="9"/>
    </row>
    <row r="205" spans="1:43" x14ac:dyDescent="0.25">
      <c r="A205" s="9"/>
      <c r="B205" s="10"/>
      <c r="C205" s="9"/>
      <c r="D205" s="9"/>
      <c r="E205" s="9"/>
      <c r="F205" s="9"/>
      <c r="G205" s="9"/>
      <c r="H205" s="9"/>
      <c r="I205" s="11"/>
      <c r="J205" s="11"/>
      <c r="K205" s="11"/>
      <c r="L205" s="9"/>
      <c r="M205" s="9"/>
      <c r="N205" s="9"/>
      <c r="O205" s="9"/>
      <c r="P205" s="9"/>
      <c r="Q205" s="9"/>
      <c r="R205" s="9"/>
      <c r="S205" s="9"/>
      <c r="T205" s="9"/>
      <c r="U205" s="9"/>
      <c r="V205" s="9"/>
      <c r="W205" s="9"/>
      <c r="X205" s="11"/>
      <c r="Y205" s="9"/>
      <c r="Z205" s="10"/>
      <c r="AA205" s="9"/>
      <c r="AB205" s="9"/>
      <c r="AC205" s="10"/>
      <c r="AD205" s="9"/>
      <c r="AE205" s="9"/>
      <c r="AF205" s="9"/>
      <c r="AG205" s="9"/>
      <c r="AH205" s="9"/>
      <c r="AI205" s="9"/>
      <c r="AJ205" s="9"/>
      <c r="AK205" s="9"/>
      <c r="AL205" s="9"/>
      <c r="AM205" s="11"/>
      <c r="AN205" s="11"/>
      <c r="AO205" s="9"/>
      <c r="AP205" s="9"/>
      <c r="AQ205" s="9"/>
    </row>
    <row r="206" spans="1:43" x14ac:dyDescent="0.25">
      <c r="A206" s="9"/>
      <c r="B206" s="10"/>
      <c r="C206" s="9"/>
      <c r="D206" s="9"/>
      <c r="E206" s="9"/>
      <c r="F206" s="9"/>
      <c r="G206" s="9"/>
      <c r="H206" s="9"/>
      <c r="I206" s="11"/>
      <c r="J206" s="11"/>
      <c r="K206" s="10"/>
      <c r="L206" s="9"/>
      <c r="M206" s="9"/>
      <c r="N206" s="9"/>
      <c r="O206" s="9"/>
      <c r="P206" s="9"/>
      <c r="Q206" s="9"/>
      <c r="R206" s="9"/>
      <c r="S206" s="9"/>
      <c r="T206" s="9"/>
      <c r="U206" s="9"/>
      <c r="V206" s="9"/>
      <c r="W206" s="9"/>
      <c r="X206" s="11"/>
      <c r="Y206" s="9"/>
      <c r="Z206" s="10"/>
      <c r="AA206" s="9"/>
      <c r="AB206" s="9"/>
      <c r="AC206" s="10"/>
      <c r="AD206" s="9"/>
      <c r="AE206" s="9"/>
      <c r="AF206" s="9"/>
      <c r="AG206" s="9"/>
      <c r="AH206" s="9"/>
      <c r="AI206" s="9"/>
      <c r="AJ206" s="9"/>
      <c r="AK206" s="9"/>
      <c r="AL206" s="9"/>
      <c r="AM206" s="10"/>
      <c r="AN206" s="11"/>
      <c r="AO206" s="9"/>
      <c r="AP206" s="9"/>
      <c r="AQ206" s="9"/>
    </row>
    <row r="207" spans="1:43" x14ac:dyDescent="0.25">
      <c r="A207" s="9"/>
      <c r="B207" s="10"/>
      <c r="C207" s="9"/>
      <c r="D207" s="9"/>
      <c r="E207" s="9"/>
      <c r="F207" s="9"/>
      <c r="G207" s="9"/>
      <c r="H207" s="9"/>
      <c r="I207" s="11"/>
      <c r="J207" s="11"/>
      <c r="K207" s="10"/>
      <c r="L207" s="9"/>
      <c r="M207" s="9"/>
      <c r="N207" s="9"/>
      <c r="O207" s="9"/>
      <c r="P207" s="9"/>
      <c r="Q207" s="9"/>
      <c r="R207" s="9"/>
      <c r="S207" s="9"/>
      <c r="T207" s="9"/>
      <c r="U207" s="9"/>
      <c r="V207" s="9"/>
      <c r="W207" s="9"/>
      <c r="X207" s="11"/>
      <c r="Y207" s="9"/>
      <c r="Z207" s="10"/>
      <c r="AA207" s="9"/>
      <c r="AB207" s="9"/>
      <c r="AC207" s="10"/>
      <c r="AD207" s="9"/>
      <c r="AE207" s="9"/>
      <c r="AF207" s="9"/>
      <c r="AG207" s="9"/>
      <c r="AH207" s="9"/>
      <c r="AI207" s="9"/>
      <c r="AJ207" s="9"/>
      <c r="AK207" s="9"/>
      <c r="AL207" s="9"/>
      <c r="AM207" s="11"/>
      <c r="AN207" s="11"/>
      <c r="AO207" s="9"/>
      <c r="AP207" s="9"/>
      <c r="AQ207" s="9"/>
    </row>
    <row r="208" spans="1:43" x14ac:dyDescent="0.25">
      <c r="A208" s="9"/>
      <c r="B208" s="10"/>
      <c r="C208" s="9"/>
      <c r="D208" s="9"/>
      <c r="E208" s="9"/>
      <c r="F208" s="9"/>
      <c r="G208" s="9"/>
      <c r="H208" s="9"/>
      <c r="I208" s="11"/>
      <c r="J208" s="11"/>
      <c r="K208" s="11"/>
      <c r="L208" s="9"/>
      <c r="M208" s="9"/>
      <c r="N208" s="9"/>
      <c r="O208" s="9"/>
      <c r="P208" s="9"/>
      <c r="Q208" s="9"/>
      <c r="R208" s="9"/>
      <c r="S208" s="9"/>
      <c r="T208" s="9"/>
      <c r="U208" s="9"/>
      <c r="V208" s="9"/>
      <c r="W208" s="9"/>
      <c r="X208" s="11"/>
      <c r="Y208" s="9"/>
      <c r="Z208" s="10"/>
      <c r="AA208" s="9"/>
      <c r="AB208" s="9"/>
      <c r="AC208" s="10"/>
      <c r="AD208" s="9"/>
      <c r="AE208" s="9"/>
      <c r="AF208" s="9"/>
      <c r="AG208" s="9"/>
      <c r="AH208" s="9"/>
      <c r="AI208" s="9"/>
      <c r="AJ208" s="9"/>
      <c r="AK208" s="9"/>
      <c r="AL208" s="9"/>
      <c r="AM208" s="11"/>
      <c r="AN208" s="11"/>
      <c r="AO208" s="9"/>
      <c r="AP208" s="9"/>
      <c r="AQ208" s="9"/>
    </row>
    <row r="209" spans="1:43" x14ac:dyDescent="0.25">
      <c r="A209" s="9"/>
      <c r="B209" s="10"/>
      <c r="C209" s="9"/>
      <c r="D209" s="9"/>
      <c r="E209" s="9"/>
      <c r="F209" s="9"/>
      <c r="G209" s="9"/>
      <c r="H209" s="9"/>
      <c r="I209" s="11"/>
      <c r="J209" s="11"/>
      <c r="K209" s="11"/>
      <c r="L209" s="9"/>
      <c r="M209" s="9"/>
      <c r="N209" s="9"/>
      <c r="O209" s="9"/>
      <c r="P209" s="9"/>
      <c r="Q209" s="9"/>
      <c r="R209" s="9"/>
      <c r="S209" s="9"/>
      <c r="T209" s="9"/>
      <c r="U209" s="9"/>
      <c r="V209" s="9"/>
      <c r="W209" s="9"/>
      <c r="X209" s="11"/>
      <c r="Y209" s="9"/>
      <c r="Z209" s="10"/>
      <c r="AA209" s="9"/>
      <c r="AB209" s="9"/>
      <c r="AC209" s="10"/>
      <c r="AD209" s="9"/>
      <c r="AE209" s="9"/>
      <c r="AF209" s="9"/>
      <c r="AG209" s="9"/>
      <c r="AH209" s="9"/>
      <c r="AI209" s="9"/>
      <c r="AJ209" s="9"/>
      <c r="AK209" s="9"/>
      <c r="AL209" s="9"/>
      <c r="AM209" s="11"/>
      <c r="AN209" s="11"/>
      <c r="AO209" s="9"/>
      <c r="AP209" s="9"/>
      <c r="AQ209" s="9"/>
    </row>
    <row r="210" spans="1:43" x14ac:dyDescent="0.25">
      <c r="A210" s="9"/>
      <c r="B210" s="10"/>
      <c r="C210" s="9"/>
      <c r="D210" s="9"/>
      <c r="E210" s="9"/>
      <c r="F210" s="9"/>
      <c r="G210" s="9"/>
      <c r="H210" s="9"/>
      <c r="I210" s="11"/>
      <c r="J210" s="11"/>
      <c r="K210" s="10"/>
      <c r="L210" s="9"/>
      <c r="M210" s="9"/>
      <c r="N210" s="9"/>
      <c r="O210" s="9"/>
      <c r="P210" s="9"/>
      <c r="Q210" s="9"/>
      <c r="R210" s="9"/>
      <c r="S210" s="9"/>
      <c r="T210" s="9"/>
      <c r="U210" s="9"/>
      <c r="V210" s="9"/>
      <c r="W210" s="9"/>
      <c r="X210" s="11"/>
      <c r="Y210" s="9"/>
      <c r="Z210" s="10"/>
      <c r="AA210" s="9"/>
      <c r="AB210" s="9"/>
      <c r="AC210" s="10"/>
      <c r="AD210" s="9"/>
      <c r="AE210" s="9"/>
      <c r="AF210" s="9"/>
      <c r="AG210" s="9"/>
      <c r="AH210" s="9"/>
      <c r="AI210" s="9"/>
      <c r="AJ210" s="9"/>
      <c r="AK210" s="9"/>
      <c r="AL210" s="9"/>
      <c r="AM210" s="10"/>
      <c r="AN210" s="11"/>
      <c r="AO210" s="9"/>
      <c r="AP210" s="9"/>
      <c r="AQ210" s="9"/>
    </row>
    <row r="211" spans="1:43" x14ac:dyDescent="0.25">
      <c r="A211" s="9"/>
      <c r="B211" s="10"/>
      <c r="C211" s="9"/>
      <c r="D211" s="9"/>
      <c r="E211" s="9"/>
      <c r="F211" s="9"/>
      <c r="G211" s="9"/>
      <c r="H211" s="9"/>
      <c r="I211" s="11"/>
      <c r="J211" s="11"/>
      <c r="K211" s="10"/>
      <c r="L211" s="9"/>
      <c r="M211" s="9"/>
      <c r="N211" s="9"/>
      <c r="O211" s="9"/>
      <c r="P211" s="9"/>
      <c r="Q211" s="9"/>
      <c r="R211" s="9"/>
      <c r="S211" s="9"/>
      <c r="T211" s="9"/>
      <c r="U211" s="9"/>
      <c r="V211" s="9"/>
      <c r="W211" s="9"/>
      <c r="X211" s="11"/>
      <c r="Y211" s="9"/>
      <c r="Z211" s="10"/>
      <c r="AA211" s="9"/>
      <c r="AB211" s="9"/>
      <c r="AC211" s="10"/>
      <c r="AD211" s="9"/>
      <c r="AE211" s="9"/>
      <c r="AF211" s="9"/>
      <c r="AG211" s="9"/>
      <c r="AH211" s="9"/>
      <c r="AI211" s="9"/>
      <c r="AJ211" s="9"/>
      <c r="AK211" s="9"/>
      <c r="AL211" s="9"/>
      <c r="AM211" s="11"/>
      <c r="AN211" s="11"/>
      <c r="AO211" s="9"/>
      <c r="AP211" s="9"/>
      <c r="AQ211" s="9"/>
    </row>
    <row r="212" spans="1:43" x14ac:dyDescent="0.25">
      <c r="A212" s="9"/>
      <c r="B212" s="10"/>
      <c r="C212" s="9"/>
      <c r="D212" s="9"/>
      <c r="E212" s="9"/>
      <c r="F212" s="9"/>
      <c r="G212" s="9"/>
      <c r="H212" s="9"/>
      <c r="I212" s="11"/>
      <c r="J212" s="11"/>
      <c r="K212" s="10"/>
      <c r="L212" s="9"/>
      <c r="M212" s="9"/>
      <c r="N212" s="9"/>
      <c r="O212" s="9"/>
      <c r="P212" s="9"/>
      <c r="Q212" s="9"/>
      <c r="R212" s="9"/>
      <c r="S212" s="9"/>
      <c r="T212" s="9"/>
      <c r="U212" s="9"/>
      <c r="V212" s="9"/>
      <c r="W212" s="9"/>
      <c r="X212" s="11"/>
      <c r="Y212" s="9"/>
      <c r="Z212" s="10"/>
      <c r="AA212" s="9"/>
      <c r="AB212" s="9"/>
      <c r="AC212" s="10"/>
      <c r="AD212" s="9"/>
      <c r="AE212" s="9"/>
      <c r="AF212" s="9"/>
      <c r="AG212" s="9"/>
      <c r="AH212" s="9"/>
      <c r="AI212" s="9"/>
      <c r="AJ212" s="9"/>
      <c r="AK212" s="9"/>
      <c r="AL212" s="9"/>
      <c r="AM212" s="11"/>
      <c r="AN212" s="11"/>
      <c r="AO212" s="9"/>
      <c r="AP212" s="9"/>
      <c r="AQ212" s="9"/>
    </row>
    <row r="213" spans="1:43" x14ac:dyDescent="0.25">
      <c r="A213" s="9"/>
      <c r="B213" s="10"/>
      <c r="C213" s="9"/>
      <c r="D213" s="9"/>
      <c r="E213" s="9"/>
      <c r="F213" s="9"/>
      <c r="G213" s="9"/>
      <c r="H213" s="9"/>
      <c r="I213" s="11"/>
      <c r="J213" s="11"/>
      <c r="K213" s="11"/>
      <c r="L213" s="9"/>
      <c r="M213" s="9"/>
      <c r="N213" s="9"/>
      <c r="O213" s="9"/>
      <c r="P213" s="9"/>
      <c r="Q213" s="9"/>
      <c r="R213" s="9"/>
      <c r="S213" s="9"/>
      <c r="T213" s="9"/>
      <c r="U213" s="9"/>
      <c r="V213" s="9"/>
      <c r="W213" s="9"/>
      <c r="X213" s="11"/>
      <c r="Y213" s="9"/>
      <c r="Z213" s="10"/>
      <c r="AA213" s="9"/>
      <c r="AB213" s="9"/>
      <c r="AC213" s="10"/>
      <c r="AD213" s="9"/>
      <c r="AE213" s="9"/>
      <c r="AF213" s="9"/>
      <c r="AG213" s="9"/>
      <c r="AH213" s="9"/>
      <c r="AI213" s="9"/>
      <c r="AJ213" s="9"/>
      <c r="AK213" s="9"/>
      <c r="AL213" s="9"/>
      <c r="AM213" s="11"/>
      <c r="AN213" s="11"/>
      <c r="AO213" s="9"/>
      <c r="AP213" s="9"/>
      <c r="AQ213" s="9"/>
    </row>
    <row r="214" spans="1:43" x14ac:dyDescent="0.25">
      <c r="A214" s="9"/>
      <c r="B214" s="10"/>
      <c r="C214" s="9"/>
      <c r="D214" s="9"/>
      <c r="E214" s="9"/>
      <c r="F214" s="9"/>
      <c r="G214" s="9"/>
      <c r="H214" s="9"/>
      <c r="I214" s="11"/>
      <c r="J214" s="11"/>
      <c r="K214" s="10"/>
      <c r="L214" s="9"/>
      <c r="M214" s="9"/>
      <c r="N214" s="9"/>
      <c r="O214" s="9"/>
      <c r="P214" s="9"/>
      <c r="Q214" s="9"/>
      <c r="R214" s="9"/>
      <c r="S214" s="9"/>
      <c r="T214" s="9"/>
      <c r="U214" s="9"/>
      <c r="V214" s="9"/>
      <c r="W214" s="9"/>
      <c r="X214" s="11"/>
      <c r="Y214" s="9"/>
      <c r="Z214" s="10"/>
      <c r="AA214" s="9"/>
      <c r="AB214" s="9"/>
      <c r="AC214" s="10"/>
      <c r="AD214" s="9"/>
      <c r="AE214" s="9"/>
      <c r="AF214" s="9"/>
      <c r="AG214" s="9"/>
      <c r="AH214" s="9"/>
      <c r="AI214" s="9"/>
      <c r="AJ214" s="9"/>
      <c r="AK214" s="9"/>
      <c r="AL214" s="9"/>
      <c r="AM214" s="11"/>
      <c r="AN214" s="11"/>
      <c r="AO214" s="9"/>
      <c r="AP214" s="9"/>
      <c r="AQ214" s="9"/>
    </row>
    <row r="215" spans="1:43" x14ac:dyDescent="0.25">
      <c r="A215" s="9"/>
      <c r="B215" s="10"/>
      <c r="C215" s="9"/>
      <c r="D215" s="9"/>
      <c r="E215" s="9"/>
      <c r="F215" s="9"/>
      <c r="G215" s="9"/>
      <c r="H215" s="9"/>
      <c r="I215" s="11"/>
      <c r="J215" s="11"/>
      <c r="K215" s="11"/>
      <c r="L215" s="9"/>
      <c r="M215" s="9"/>
      <c r="N215" s="9"/>
      <c r="O215" s="9"/>
      <c r="P215" s="9"/>
      <c r="Q215" s="9"/>
      <c r="R215" s="9"/>
      <c r="S215" s="9"/>
      <c r="T215" s="9"/>
      <c r="U215" s="9"/>
      <c r="V215" s="9"/>
      <c r="W215" s="9"/>
      <c r="X215" s="11"/>
      <c r="Y215" s="9"/>
      <c r="Z215" s="10"/>
      <c r="AA215" s="9"/>
      <c r="AB215" s="9"/>
      <c r="AC215" s="11"/>
      <c r="AD215" s="9"/>
      <c r="AE215" s="9"/>
      <c r="AF215" s="9"/>
      <c r="AG215" s="9"/>
      <c r="AH215" s="9"/>
      <c r="AI215" s="9"/>
      <c r="AJ215" s="9"/>
      <c r="AK215" s="9"/>
      <c r="AL215" s="9"/>
      <c r="AM215" s="11"/>
      <c r="AN215" s="11"/>
      <c r="AO215" s="9"/>
      <c r="AP215" s="9"/>
      <c r="AQ215" s="9"/>
    </row>
    <row r="216" spans="1:43" x14ac:dyDescent="0.25">
      <c r="A216" s="9"/>
      <c r="B216" s="10"/>
      <c r="C216" s="9"/>
      <c r="D216" s="9"/>
      <c r="E216" s="9"/>
      <c r="F216" s="9"/>
      <c r="G216" s="9"/>
      <c r="H216" s="9"/>
      <c r="I216" s="11"/>
      <c r="J216" s="11"/>
      <c r="K216" s="11"/>
      <c r="L216" s="9"/>
      <c r="M216" s="9"/>
      <c r="N216" s="9"/>
      <c r="O216" s="9"/>
      <c r="P216" s="9"/>
      <c r="Q216" s="9"/>
      <c r="R216" s="9"/>
      <c r="S216" s="9"/>
      <c r="T216" s="9"/>
      <c r="U216" s="9"/>
      <c r="V216" s="9"/>
      <c r="W216" s="9"/>
      <c r="X216" s="11"/>
      <c r="Y216" s="9"/>
      <c r="Z216" s="10"/>
      <c r="AA216" s="9"/>
      <c r="AB216" s="9"/>
      <c r="AC216" s="10"/>
      <c r="AD216" s="9"/>
      <c r="AE216" s="9"/>
      <c r="AF216" s="9"/>
      <c r="AG216" s="9"/>
      <c r="AH216" s="9"/>
      <c r="AI216" s="9"/>
      <c r="AJ216" s="9"/>
      <c r="AK216" s="9"/>
      <c r="AL216" s="9"/>
      <c r="AM216" s="11"/>
      <c r="AN216" s="11"/>
      <c r="AO216" s="9"/>
      <c r="AP216" s="9"/>
      <c r="AQ216" s="9"/>
    </row>
    <row r="217" spans="1:43" x14ac:dyDescent="0.25">
      <c r="A217" s="9"/>
      <c r="B217" s="10"/>
      <c r="C217" s="9"/>
      <c r="D217" s="9"/>
      <c r="E217" s="9"/>
      <c r="F217" s="9"/>
      <c r="G217" s="9"/>
      <c r="H217" s="9"/>
      <c r="I217" s="11"/>
      <c r="J217" s="11"/>
      <c r="K217" s="11"/>
      <c r="L217" s="9"/>
      <c r="M217" s="9"/>
      <c r="N217" s="9"/>
      <c r="O217" s="9"/>
      <c r="P217" s="9"/>
      <c r="Q217" s="9"/>
      <c r="R217" s="9"/>
      <c r="S217" s="9"/>
      <c r="T217" s="9"/>
      <c r="U217" s="9"/>
      <c r="V217" s="9"/>
      <c r="W217" s="9"/>
      <c r="X217" s="11"/>
      <c r="Y217" s="9"/>
      <c r="Z217" s="10"/>
      <c r="AA217" s="9"/>
      <c r="AB217" s="9"/>
      <c r="AC217" s="11"/>
      <c r="AD217" s="9"/>
      <c r="AE217" s="9"/>
      <c r="AF217" s="9"/>
      <c r="AG217" s="9"/>
      <c r="AH217" s="9"/>
      <c r="AI217" s="9"/>
      <c r="AJ217" s="9"/>
      <c r="AK217" s="9"/>
      <c r="AL217" s="9"/>
      <c r="AM217" s="11"/>
      <c r="AN217" s="11"/>
      <c r="AO217" s="9"/>
      <c r="AP217" s="9"/>
      <c r="AQ217" s="9"/>
    </row>
    <row r="218" spans="1:43" x14ac:dyDescent="0.25">
      <c r="A218" s="9"/>
      <c r="B218" s="10"/>
      <c r="C218" s="9"/>
      <c r="D218" s="9"/>
      <c r="E218" s="9"/>
      <c r="F218" s="9"/>
      <c r="G218" s="9"/>
      <c r="H218" s="9"/>
      <c r="I218" s="11"/>
      <c r="J218" s="11"/>
      <c r="K218" s="11"/>
      <c r="L218" s="9"/>
      <c r="M218" s="9"/>
      <c r="N218" s="9"/>
      <c r="O218" s="9"/>
      <c r="P218" s="9"/>
      <c r="Q218" s="9"/>
      <c r="R218" s="9"/>
      <c r="S218" s="9"/>
      <c r="T218" s="9"/>
      <c r="U218" s="9"/>
      <c r="V218" s="9"/>
      <c r="W218" s="9"/>
      <c r="X218" s="11"/>
      <c r="Y218" s="9"/>
      <c r="Z218" s="10"/>
      <c r="AA218" s="9"/>
      <c r="AB218" s="9"/>
      <c r="AC218" s="11"/>
      <c r="AD218" s="9"/>
      <c r="AE218" s="9"/>
      <c r="AF218" s="9"/>
      <c r="AG218" s="9"/>
      <c r="AH218" s="9"/>
      <c r="AI218" s="9"/>
      <c r="AJ218" s="9"/>
      <c r="AK218" s="9"/>
      <c r="AL218" s="9"/>
      <c r="AM218" s="11"/>
      <c r="AN218" s="11"/>
      <c r="AO218" s="9"/>
      <c r="AP218" s="9"/>
      <c r="AQ218" s="9"/>
    </row>
    <row r="219" spans="1:43" x14ac:dyDescent="0.25">
      <c r="A219" s="9"/>
      <c r="B219" s="10"/>
      <c r="C219" s="9"/>
      <c r="D219" s="9"/>
      <c r="E219" s="9"/>
      <c r="F219" s="9"/>
      <c r="G219" s="9"/>
      <c r="H219" s="9"/>
      <c r="I219" s="11"/>
      <c r="J219" s="11"/>
      <c r="K219" s="10"/>
      <c r="L219" s="9"/>
      <c r="M219" s="9"/>
      <c r="N219" s="9"/>
      <c r="O219" s="9"/>
      <c r="P219" s="9"/>
      <c r="Q219" s="9"/>
      <c r="R219" s="9"/>
      <c r="S219" s="9"/>
      <c r="T219" s="9"/>
      <c r="U219" s="9"/>
      <c r="V219" s="9"/>
      <c r="W219" s="9"/>
      <c r="X219" s="11"/>
      <c r="Y219" s="9"/>
      <c r="Z219" s="10"/>
      <c r="AA219" s="9"/>
      <c r="AB219" s="9"/>
      <c r="AC219" s="10"/>
      <c r="AD219" s="9"/>
      <c r="AE219" s="9"/>
      <c r="AF219" s="9"/>
      <c r="AG219" s="9"/>
      <c r="AH219" s="9"/>
      <c r="AI219" s="9"/>
      <c r="AJ219" s="9"/>
      <c r="AK219" s="9"/>
      <c r="AL219" s="9"/>
      <c r="AM219" s="11"/>
      <c r="AN219" s="11"/>
      <c r="AO219" s="9"/>
      <c r="AP219" s="9"/>
      <c r="AQ219" s="9"/>
    </row>
    <row r="220" spans="1:43" x14ac:dyDescent="0.25">
      <c r="A220" s="9"/>
      <c r="B220" s="10"/>
      <c r="C220" s="9"/>
      <c r="D220" s="9"/>
      <c r="E220" s="9"/>
      <c r="F220" s="9"/>
      <c r="G220" s="9"/>
      <c r="H220" s="9"/>
      <c r="I220" s="11"/>
      <c r="J220" s="11"/>
      <c r="K220" s="10"/>
      <c r="L220" s="9"/>
      <c r="M220" s="9"/>
      <c r="N220" s="9"/>
      <c r="O220" s="9"/>
      <c r="P220" s="9"/>
      <c r="Q220" s="9"/>
      <c r="R220" s="9"/>
      <c r="S220" s="9"/>
      <c r="T220" s="9"/>
      <c r="U220" s="9"/>
      <c r="V220" s="9"/>
      <c r="W220" s="9"/>
      <c r="X220" s="11"/>
      <c r="Y220" s="9"/>
      <c r="Z220" s="10"/>
      <c r="AA220" s="9"/>
      <c r="AB220" s="9"/>
      <c r="AC220" s="10"/>
      <c r="AD220" s="9"/>
      <c r="AE220" s="9"/>
      <c r="AF220" s="9"/>
      <c r="AG220" s="9"/>
      <c r="AH220" s="9"/>
      <c r="AI220" s="9"/>
      <c r="AJ220" s="9"/>
      <c r="AK220" s="9"/>
      <c r="AL220" s="9"/>
      <c r="AM220" s="11"/>
      <c r="AN220" s="11"/>
      <c r="AO220" s="9"/>
      <c r="AP220" s="9"/>
      <c r="AQ220" s="9"/>
    </row>
    <row r="221" spans="1:43" x14ac:dyDescent="0.25">
      <c r="A221" s="9"/>
      <c r="B221" s="10"/>
      <c r="C221" s="9"/>
      <c r="D221" s="9"/>
      <c r="E221" s="9"/>
      <c r="F221" s="9"/>
      <c r="G221" s="9"/>
      <c r="H221" s="9"/>
      <c r="I221" s="11"/>
      <c r="J221" s="11"/>
      <c r="K221" s="11"/>
      <c r="L221" s="9"/>
      <c r="M221" s="9"/>
      <c r="N221" s="9"/>
      <c r="O221" s="9"/>
      <c r="P221" s="9"/>
      <c r="Q221" s="9"/>
      <c r="R221" s="9"/>
      <c r="S221" s="9"/>
      <c r="T221" s="9"/>
      <c r="U221" s="9"/>
      <c r="V221" s="9"/>
      <c r="W221" s="9"/>
      <c r="X221" s="11"/>
      <c r="Y221" s="9"/>
      <c r="Z221" s="10"/>
      <c r="AA221" s="9"/>
      <c r="AB221" s="9"/>
      <c r="AC221" s="11"/>
      <c r="AD221" s="9"/>
      <c r="AE221" s="9"/>
      <c r="AF221" s="9"/>
      <c r="AG221" s="9"/>
      <c r="AH221" s="9"/>
      <c r="AI221" s="9"/>
      <c r="AJ221" s="9"/>
      <c r="AK221" s="9"/>
      <c r="AL221" s="9"/>
      <c r="AM221" s="11"/>
      <c r="AN221" s="11"/>
      <c r="AO221" s="9"/>
      <c r="AP221" s="9"/>
      <c r="AQ221" s="9"/>
    </row>
    <row r="222" spans="1:43" x14ac:dyDescent="0.25">
      <c r="A222" s="9"/>
      <c r="B222" s="10"/>
      <c r="C222" s="9"/>
      <c r="D222" s="9"/>
      <c r="E222" s="9"/>
      <c r="F222" s="9"/>
      <c r="G222" s="9"/>
      <c r="H222" s="9"/>
      <c r="I222" s="11"/>
      <c r="J222" s="11"/>
      <c r="K222" s="11"/>
      <c r="L222" s="9"/>
      <c r="M222" s="9"/>
      <c r="N222" s="9"/>
      <c r="O222" s="9"/>
      <c r="P222" s="9"/>
      <c r="Q222" s="9"/>
      <c r="R222" s="9"/>
      <c r="S222" s="9"/>
      <c r="T222" s="9"/>
      <c r="U222" s="9"/>
      <c r="V222" s="9"/>
      <c r="W222" s="9"/>
      <c r="X222" s="11"/>
      <c r="Y222" s="9"/>
      <c r="Z222" s="10"/>
      <c r="AA222" s="9"/>
      <c r="AB222" s="9"/>
      <c r="AC222" s="11"/>
      <c r="AD222" s="9"/>
      <c r="AE222" s="9"/>
      <c r="AF222" s="9"/>
      <c r="AG222" s="9"/>
      <c r="AH222" s="9"/>
      <c r="AI222" s="9"/>
      <c r="AJ222" s="9"/>
      <c r="AK222" s="9"/>
      <c r="AL222" s="9"/>
      <c r="AM222" s="11"/>
      <c r="AN222" s="11"/>
      <c r="AO222" s="9"/>
      <c r="AP222" s="9"/>
      <c r="AQ222" s="9"/>
    </row>
    <row r="223" spans="1:43" x14ac:dyDescent="0.25">
      <c r="A223" s="9"/>
      <c r="B223" s="10"/>
      <c r="C223" s="9"/>
      <c r="D223" s="9"/>
      <c r="E223" s="9"/>
      <c r="F223" s="9"/>
      <c r="G223" s="9"/>
      <c r="H223" s="9"/>
      <c r="I223" s="11"/>
      <c r="J223" s="11"/>
      <c r="K223" s="11"/>
      <c r="L223" s="9"/>
      <c r="M223" s="9"/>
      <c r="N223" s="9"/>
      <c r="O223" s="9"/>
      <c r="P223" s="9"/>
      <c r="Q223" s="9"/>
      <c r="R223" s="9"/>
      <c r="S223" s="9"/>
      <c r="T223" s="9"/>
      <c r="U223" s="9"/>
      <c r="V223" s="9"/>
      <c r="W223" s="9"/>
      <c r="X223" s="11"/>
      <c r="Y223" s="9"/>
      <c r="Z223" s="10"/>
      <c r="AA223" s="9"/>
      <c r="AB223" s="9"/>
      <c r="AC223" s="11"/>
      <c r="AD223" s="9"/>
      <c r="AE223" s="9"/>
      <c r="AF223" s="9"/>
      <c r="AG223" s="9"/>
      <c r="AH223" s="9"/>
      <c r="AI223" s="9"/>
      <c r="AJ223" s="9"/>
      <c r="AK223" s="9"/>
      <c r="AL223" s="9"/>
      <c r="AM223" s="11"/>
      <c r="AN223" s="11"/>
      <c r="AO223" s="9"/>
      <c r="AP223" s="9"/>
      <c r="AQ223" s="9"/>
    </row>
    <row r="224" spans="1:43" x14ac:dyDescent="0.25">
      <c r="A224" s="9"/>
      <c r="B224" s="10"/>
      <c r="C224" s="9"/>
      <c r="D224" s="9"/>
      <c r="E224" s="9"/>
      <c r="F224" s="9"/>
      <c r="G224" s="9"/>
      <c r="H224" s="9"/>
      <c r="I224" s="11"/>
      <c r="J224" s="11"/>
      <c r="K224" s="11"/>
      <c r="L224" s="9"/>
      <c r="M224" s="9"/>
      <c r="N224" s="9"/>
      <c r="O224" s="9"/>
      <c r="P224" s="9"/>
      <c r="Q224" s="9"/>
      <c r="R224" s="9"/>
      <c r="S224" s="9"/>
      <c r="T224" s="9"/>
      <c r="U224" s="9"/>
      <c r="V224" s="9"/>
      <c r="W224" s="9"/>
      <c r="X224" s="11"/>
      <c r="Y224" s="9"/>
      <c r="Z224" s="10"/>
      <c r="AA224" s="9"/>
      <c r="AB224" s="9"/>
      <c r="AC224" s="10"/>
      <c r="AD224" s="9"/>
      <c r="AE224" s="9"/>
      <c r="AF224" s="9"/>
      <c r="AG224" s="9"/>
      <c r="AH224" s="9"/>
      <c r="AI224" s="9"/>
      <c r="AJ224" s="9"/>
      <c r="AK224" s="9"/>
      <c r="AL224" s="9"/>
      <c r="AM224" s="11"/>
      <c r="AN224" s="11"/>
      <c r="AO224" s="9"/>
      <c r="AP224" s="9"/>
      <c r="AQ224" s="9"/>
    </row>
    <row r="225" spans="1:43" x14ac:dyDescent="0.25">
      <c r="A225" s="9"/>
      <c r="B225" s="10"/>
      <c r="C225" s="9"/>
      <c r="D225" s="9"/>
      <c r="E225" s="9"/>
      <c r="F225" s="9"/>
      <c r="G225" s="9"/>
      <c r="H225" s="9"/>
      <c r="I225" s="11"/>
      <c r="J225" s="11"/>
      <c r="K225" s="11"/>
      <c r="L225" s="9"/>
      <c r="M225" s="9"/>
      <c r="N225" s="9"/>
      <c r="O225" s="9"/>
      <c r="P225" s="9"/>
      <c r="Q225" s="9"/>
      <c r="R225" s="9"/>
      <c r="S225" s="9"/>
      <c r="T225" s="9"/>
      <c r="U225" s="9"/>
      <c r="V225" s="9"/>
      <c r="W225" s="9"/>
      <c r="X225" s="11"/>
      <c r="Y225" s="9"/>
      <c r="Z225" s="10"/>
      <c r="AA225" s="9"/>
      <c r="AB225" s="9"/>
      <c r="AC225" s="10"/>
      <c r="AD225" s="9"/>
      <c r="AE225" s="9"/>
      <c r="AF225" s="9"/>
      <c r="AG225" s="9"/>
      <c r="AH225" s="9"/>
      <c r="AI225" s="9"/>
      <c r="AJ225" s="9"/>
      <c r="AK225" s="9"/>
      <c r="AL225" s="9"/>
      <c r="AM225" s="11"/>
      <c r="AN225" s="11"/>
      <c r="AO225" s="9"/>
      <c r="AP225" s="9"/>
      <c r="AQ225" s="9"/>
    </row>
    <row r="226" spans="1:43" x14ac:dyDescent="0.25">
      <c r="A226" s="9"/>
      <c r="B226" s="10"/>
      <c r="C226" s="9"/>
      <c r="D226" s="9"/>
      <c r="E226" s="9"/>
      <c r="F226" s="9"/>
      <c r="G226" s="9"/>
      <c r="H226" s="9"/>
      <c r="I226" s="11"/>
      <c r="J226" s="11"/>
      <c r="K226" s="11"/>
      <c r="L226" s="9"/>
      <c r="M226" s="9"/>
      <c r="N226" s="9"/>
      <c r="O226" s="9"/>
      <c r="P226" s="9"/>
      <c r="Q226" s="9"/>
      <c r="R226" s="9"/>
      <c r="S226" s="9"/>
      <c r="T226" s="9"/>
      <c r="U226" s="9"/>
      <c r="V226" s="9"/>
      <c r="W226" s="9"/>
      <c r="X226" s="11"/>
      <c r="Y226" s="9"/>
      <c r="Z226" s="10"/>
      <c r="AA226" s="9"/>
      <c r="AB226" s="9"/>
      <c r="AC226" s="10"/>
      <c r="AD226" s="9"/>
      <c r="AE226" s="9"/>
      <c r="AF226" s="9"/>
      <c r="AG226" s="9"/>
      <c r="AH226" s="9"/>
      <c r="AI226" s="9"/>
      <c r="AJ226" s="9"/>
      <c r="AK226" s="9"/>
      <c r="AL226" s="9"/>
      <c r="AM226" s="11"/>
      <c r="AN226" s="11"/>
      <c r="AO226" s="9"/>
      <c r="AP226" s="9"/>
      <c r="AQ226" s="9"/>
    </row>
    <row r="227" spans="1:43" x14ac:dyDescent="0.25">
      <c r="A227" s="9"/>
      <c r="B227" s="10"/>
      <c r="C227" s="9"/>
      <c r="D227" s="9"/>
      <c r="E227" s="9"/>
      <c r="F227" s="9"/>
      <c r="G227" s="9"/>
      <c r="H227" s="9"/>
      <c r="I227" s="11"/>
      <c r="J227" s="11"/>
      <c r="K227" s="11"/>
      <c r="L227" s="9"/>
      <c r="M227" s="9"/>
      <c r="N227" s="9"/>
      <c r="O227" s="9"/>
      <c r="P227" s="9"/>
      <c r="Q227" s="9"/>
      <c r="R227" s="9"/>
      <c r="S227" s="9"/>
      <c r="T227" s="9"/>
      <c r="U227" s="9"/>
      <c r="V227" s="9"/>
      <c r="W227" s="9"/>
      <c r="X227" s="11"/>
      <c r="Y227" s="9"/>
      <c r="Z227" s="10"/>
      <c r="AA227" s="9"/>
      <c r="AB227" s="9"/>
      <c r="AC227" s="10"/>
      <c r="AD227" s="9"/>
      <c r="AE227" s="9"/>
      <c r="AF227" s="9"/>
      <c r="AG227" s="9"/>
      <c r="AH227" s="9"/>
      <c r="AI227" s="9"/>
      <c r="AJ227" s="9"/>
      <c r="AK227" s="9"/>
      <c r="AL227" s="9"/>
      <c r="AM227" s="11"/>
      <c r="AN227" s="11"/>
      <c r="AO227" s="9"/>
      <c r="AP227" s="9"/>
      <c r="AQ227" s="9"/>
    </row>
    <row r="228" spans="1:43" x14ac:dyDescent="0.25">
      <c r="A228" s="9"/>
      <c r="B228" s="10"/>
      <c r="C228" s="9"/>
      <c r="D228" s="9"/>
      <c r="E228" s="9"/>
      <c r="F228" s="9"/>
      <c r="G228" s="9"/>
      <c r="H228" s="9"/>
      <c r="I228" s="11"/>
      <c r="J228" s="11"/>
      <c r="K228" s="10"/>
      <c r="L228" s="9"/>
      <c r="M228" s="9"/>
      <c r="N228" s="9"/>
      <c r="O228" s="9"/>
      <c r="P228" s="9"/>
      <c r="Q228" s="9"/>
      <c r="R228" s="9"/>
      <c r="S228" s="9"/>
      <c r="T228" s="9"/>
      <c r="U228" s="9"/>
      <c r="V228" s="9"/>
      <c r="W228" s="9"/>
      <c r="X228" s="11"/>
      <c r="Y228" s="9"/>
      <c r="Z228" s="10"/>
      <c r="AA228" s="9"/>
      <c r="AB228" s="9"/>
      <c r="AC228" s="10"/>
      <c r="AD228" s="9"/>
      <c r="AE228" s="9"/>
      <c r="AF228" s="9"/>
      <c r="AG228" s="9"/>
      <c r="AH228" s="9"/>
      <c r="AI228" s="9"/>
      <c r="AJ228" s="9"/>
      <c r="AK228" s="9"/>
      <c r="AL228" s="9"/>
      <c r="AM228" s="11"/>
      <c r="AN228" s="11"/>
      <c r="AO228" s="9"/>
      <c r="AP228" s="9"/>
      <c r="AQ228" s="9"/>
    </row>
    <row r="229" spans="1:43" x14ac:dyDescent="0.25">
      <c r="A229" s="9"/>
      <c r="B229" s="10"/>
      <c r="C229" s="9"/>
      <c r="D229" s="9"/>
      <c r="E229" s="9"/>
      <c r="F229" s="9"/>
      <c r="G229" s="9"/>
      <c r="H229" s="9"/>
      <c r="I229" s="11"/>
      <c r="J229" s="11"/>
      <c r="K229" s="11"/>
      <c r="L229" s="9"/>
      <c r="M229" s="9"/>
      <c r="N229" s="9"/>
      <c r="O229" s="9"/>
      <c r="P229" s="9"/>
      <c r="Q229" s="9"/>
      <c r="R229" s="9"/>
      <c r="S229" s="9"/>
      <c r="T229" s="9"/>
      <c r="U229" s="9"/>
      <c r="V229" s="9"/>
      <c r="W229" s="9"/>
      <c r="X229" s="11"/>
      <c r="Y229" s="9"/>
      <c r="Z229" s="10"/>
      <c r="AA229" s="9"/>
      <c r="AB229" s="9"/>
      <c r="AC229" s="10"/>
      <c r="AD229" s="9"/>
      <c r="AE229" s="9"/>
      <c r="AF229" s="9"/>
      <c r="AG229" s="9"/>
      <c r="AH229" s="9"/>
      <c r="AI229" s="9"/>
      <c r="AJ229" s="9"/>
      <c r="AK229" s="9"/>
      <c r="AL229" s="9"/>
      <c r="AM229" s="11"/>
      <c r="AN229" s="11"/>
      <c r="AO229" s="9"/>
      <c r="AP229" s="9"/>
      <c r="AQ229" s="9"/>
    </row>
    <row r="230" spans="1:43" x14ac:dyDescent="0.25">
      <c r="A230" s="9"/>
      <c r="B230" s="10"/>
      <c r="C230" s="9"/>
      <c r="D230" s="9"/>
      <c r="E230" s="9"/>
      <c r="F230" s="9"/>
      <c r="G230" s="9"/>
      <c r="H230" s="9"/>
      <c r="I230" s="11"/>
      <c r="J230" s="11"/>
      <c r="K230" s="11"/>
      <c r="L230" s="9"/>
      <c r="M230" s="9"/>
      <c r="N230" s="9"/>
      <c r="O230" s="9"/>
      <c r="P230" s="9"/>
      <c r="Q230" s="9"/>
      <c r="R230" s="9"/>
      <c r="S230" s="9"/>
      <c r="T230" s="9"/>
      <c r="U230" s="9"/>
      <c r="V230" s="9"/>
      <c r="W230" s="9"/>
      <c r="X230" s="11"/>
      <c r="Y230" s="9"/>
      <c r="Z230" s="10"/>
      <c r="AA230" s="9"/>
      <c r="AB230" s="9"/>
      <c r="AC230" s="10"/>
      <c r="AD230" s="9"/>
      <c r="AE230" s="9"/>
      <c r="AF230" s="9"/>
      <c r="AG230" s="9"/>
      <c r="AH230" s="9"/>
      <c r="AI230" s="9"/>
      <c r="AJ230" s="9"/>
      <c r="AK230" s="9"/>
      <c r="AL230" s="9"/>
      <c r="AM230" s="11"/>
      <c r="AN230" s="11"/>
      <c r="AO230" s="9"/>
      <c r="AP230" s="9"/>
      <c r="AQ230" s="9"/>
    </row>
    <row r="231" spans="1:43" x14ac:dyDescent="0.25">
      <c r="A231" s="9"/>
      <c r="B231" s="10"/>
      <c r="C231" s="9"/>
      <c r="D231" s="9"/>
      <c r="E231" s="9"/>
      <c r="F231" s="9"/>
      <c r="G231" s="9"/>
      <c r="H231" s="9"/>
      <c r="I231" s="11"/>
      <c r="J231" s="11"/>
      <c r="K231" s="10"/>
      <c r="L231" s="9"/>
      <c r="M231" s="9"/>
      <c r="N231" s="9"/>
      <c r="O231" s="9"/>
      <c r="P231" s="9"/>
      <c r="Q231" s="9"/>
      <c r="R231" s="9"/>
      <c r="S231" s="9"/>
      <c r="T231" s="9"/>
      <c r="U231" s="9"/>
      <c r="V231" s="9"/>
      <c r="W231" s="9"/>
      <c r="X231" s="11"/>
      <c r="Y231" s="9"/>
      <c r="Z231" s="10"/>
      <c r="AA231" s="9"/>
      <c r="AB231" s="9"/>
      <c r="AC231" s="10"/>
      <c r="AD231" s="9"/>
      <c r="AE231" s="9"/>
      <c r="AF231" s="9"/>
      <c r="AG231" s="9"/>
      <c r="AH231" s="9"/>
      <c r="AI231" s="9"/>
      <c r="AJ231" s="9"/>
      <c r="AK231" s="9"/>
      <c r="AL231" s="9"/>
      <c r="AM231" s="11"/>
      <c r="AN231" s="11"/>
      <c r="AO231" s="9"/>
      <c r="AP231" s="9"/>
      <c r="AQ231" s="9"/>
    </row>
    <row r="232" spans="1:43" x14ac:dyDescent="0.25">
      <c r="A232" s="9"/>
      <c r="B232" s="10"/>
      <c r="C232" s="9"/>
      <c r="D232" s="9"/>
      <c r="E232" s="9"/>
      <c r="F232" s="9"/>
      <c r="G232" s="9"/>
      <c r="H232" s="9"/>
      <c r="I232" s="11"/>
      <c r="J232" s="11"/>
      <c r="K232" s="11"/>
      <c r="L232" s="9"/>
      <c r="M232" s="9"/>
      <c r="N232" s="9"/>
      <c r="O232" s="9"/>
      <c r="P232" s="9"/>
      <c r="Q232" s="9"/>
      <c r="R232" s="9"/>
      <c r="S232" s="9"/>
      <c r="T232" s="9"/>
      <c r="U232" s="9"/>
      <c r="V232" s="9"/>
      <c r="W232" s="9"/>
      <c r="X232" s="11"/>
      <c r="Y232" s="9"/>
      <c r="Z232" s="10"/>
      <c r="AA232" s="9"/>
      <c r="AB232" s="9"/>
      <c r="AC232" s="10"/>
      <c r="AD232" s="9"/>
      <c r="AE232" s="9"/>
      <c r="AF232" s="9"/>
      <c r="AG232" s="9"/>
      <c r="AH232" s="9"/>
      <c r="AI232" s="9"/>
      <c r="AJ232" s="9"/>
      <c r="AK232" s="9"/>
      <c r="AL232" s="9"/>
      <c r="AM232" s="11"/>
      <c r="AN232" s="11"/>
      <c r="AO232" s="9"/>
      <c r="AP232" s="9"/>
      <c r="AQ232" s="9"/>
    </row>
    <row r="233" spans="1:43" x14ac:dyDescent="0.25">
      <c r="A233" s="9"/>
      <c r="B233" s="10"/>
      <c r="C233" s="9"/>
      <c r="D233" s="9"/>
      <c r="E233" s="9"/>
      <c r="F233" s="9"/>
      <c r="G233" s="9"/>
      <c r="H233" s="9"/>
      <c r="I233" s="11"/>
      <c r="J233" s="11"/>
      <c r="K233" s="11"/>
      <c r="L233" s="9"/>
      <c r="M233" s="9"/>
      <c r="N233" s="9"/>
      <c r="O233" s="9"/>
      <c r="P233" s="9"/>
      <c r="Q233" s="9"/>
      <c r="R233" s="9"/>
      <c r="S233" s="9"/>
      <c r="T233" s="9"/>
      <c r="U233" s="9"/>
      <c r="V233" s="9"/>
      <c r="W233" s="9"/>
      <c r="X233" s="11"/>
      <c r="Y233" s="9"/>
      <c r="Z233" s="10"/>
      <c r="AA233" s="9"/>
      <c r="AB233" s="9"/>
      <c r="AC233" s="11"/>
      <c r="AD233" s="9"/>
      <c r="AE233" s="9"/>
      <c r="AF233" s="9"/>
      <c r="AG233" s="9"/>
      <c r="AH233" s="9"/>
      <c r="AI233" s="9"/>
      <c r="AJ233" s="9"/>
      <c r="AK233" s="9"/>
      <c r="AL233" s="9"/>
      <c r="AM233" s="11"/>
      <c r="AN233" s="11"/>
      <c r="AO233" s="9"/>
      <c r="AP233" s="9"/>
      <c r="AQ233" s="9"/>
    </row>
    <row r="234" spans="1:43" x14ac:dyDescent="0.25">
      <c r="A234" s="9"/>
      <c r="B234" s="10"/>
      <c r="C234" s="9"/>
      <c r="D234" s="9"/>
      <c r="E234" s="9"/>
      <c r="F234" s="9"/>
      <c r="G234" s="9"/>
      <c r="H234" s="9"/>
      <c r="I234" s="11"/>
      <c r="J234" s="11"/>
      <c r="K234" s="10"/>
      <c r="L234" s="9"/>
      <c r="M234" s="9"/>
      <c r="N234" s="9"/>
      <c r="O234" s="9"/>
      <c r="P234" s="9"/>
      <c r="Q234" s="9"/>
      <c r="R234" s="9"/>
      <c r="S234" s="9"/>
      <c r="T234" s="9"/>
      <c r="U234" s="9"/>
      <c r="V234" s="9"/>
      <c r="W234" s="9"/>
      <c r="X234" s="11"/>
      <c r="Y234" s="9"/>
      <c r="Z234" s="10"/>
      <c r="AA234" s="9"/>
      <c r="AB234" s="9"/>
      <c r="AC234" s="10"/>
      <c r="AD234" s="9"/>
      <c r="AE234" s="9"/>
      <c r="AF234" s="9"/>
      <c r="AG234" s="9"/>
      <c r="AH234" s="9"/>
      <c r="AI234" s="9"/>
      <c r="AJ234" s="9"/>
      <c r="AK234" s="9"/>
      <c r="AL234" s="9"/>
      <c r="AM234" s="10"/>
      <c r="AN234" s="11"/>
      <c r="AO234" s="9"/>
      <c r="AP234" s="9"/>
      <c r="AQ234" s="9"/>
    </row>
    <row r="235" spans="1:43" x14ac:dyDescent="0.25">
      <c r="A235" s="9"/>
      <c r="B235" s="10"/>
      <c r="C235" s="9"/>
      <c r="D235" s="9"/>
      <c r="E235" s="9"/>
      <c r="F235" s="9"/>
      <c r="G235" s="9"/>
      <c r="H235" s="9"/>
      <c r="I235" s="11"/>
      <c r="J235" s="11"/>
      <c r="K235" s="10"/>
      <c r="L235" s="9"/>
      <c r="M235" s="9"/>
      <c r="N235" s="9"/>
      <c r="O235" s="9"/>
      <c r="P235" s="9"/>
      <c r="Q235" s="9"/>
      <c r="R235" s="9"/>
      <c r="S235" s="9"/>
      <c r="T235" s="9"/>
      <c r="U235" s="9"/>
      <c r="V235" s="9"/>
      <c r="W235" s="9"/>
      <c r="X235" s="11"/>
      <c r="Y235" s="9"/>
      <c r="Z235" s="10"/>
      <c r="AA235" s="9"/>
      <c r="AB235" s="9"/>
      <c r="AC235" s="10"/>
      <c r="AD235" s="9"/>
      <c r="AE235" s="9"/>
      <c r="AF235" s="9"/>
      <c r="AG235" s="9"/>
      <c r="AH235" s="9"/>
      <c r="AI235" s="9"/>
      <c r="AJ235" s="9"/>
      <c r="AK235" s="9"/>
      <c r="AL235" s="9"/>
      <c r="AM235" s="10"/>
      <c r="AN235" s="11"/>
      <c r="AO235" s="9"/>
      <c r="AP235" s="9"/>
      <c r="AQ235" s="9"/>
    </row>
    <row r="236" spans="1:43" x14ac:dyDescent="0.25">
      <c r="A236" s="9"/>
      <c r="B236" s="10"/>
      <c r="C236" s="9"/>
      <c r="D236" s="9"/>
      <c r="E236" s="9"/>
      <c r="F236" s="9"/>
      <c r="G236" s="9"/>
      <c r="H236" s="9"/>
      <c r="I236" s="11"/>
      <c r="J236" s="11"/>
      <c r="K236" s="11"/>
      <c r="L236" s="9"/>
      <c r="M236" s="9"/>
      <c r="N236" s="9"/>
      <c r="O236" s="9"/>
      <c r="P236" s="9"/>
      <c r="Q236" s="9"/>
      <c r="R236" s="9"/>
      <c r="S236" s="9"/>
      <c r="T236" s="9"/>
      <c r="U236" s="9"/>
      <c r="V236" s="9"/>
      <c r="W236" s="9"/>
      <c r="X236" s="11"/>
      <c r="Y236" s="9"/>
      <c r="Z236" s="10"/>
      <c r="AA236" s="9"/>
      <c r="AB236" s="9"/>
      <c r="AC236" s="11"/>
      <c r="AD236" s="9"/>
      <c r="AE236" s="9"/>
      <c r="AF236" s="9"/>
      <c r="AG236" s="9"/>
      <c r="AH236" s="9"/>
      <c r="AI236" s="9"/>
      <c r="AJ236" s="9"/>
      <c r="AK236" s="9"/>
      <c r="AL236" s="9"/>
      <c r="AM236" s="11"/>
      <c r="AN236" s="11"/>
      <c r="AO236" s="9"/>
      <c r="AP236" s="9"/>
      <c r="AQ236" s="9"/>
    </row>
    <row r="237" spans="1:43" x14ac:dyDescent="0.25">
      <c r="A237" s="9"/>
      <c r="B237" s="10"/>
      <c r="C237" s="9"/>
      <c r="D237" s="9"/>
      <c r="E237" s="9"/>
      <c r="F237" s="9"/>
      <c r="G237" s="9"/>
      <c r="H237" s="9"/>
      <c r="I237" s="11"/>
      <c r="J237" s="11"/>
      <c r="K237" s="11"/>
      <c r="L237" s="9"/>
      <c r="M237" s="9"/>
      <c r="N237" s="9"/>
      <c r="O237" s="9"/>
      <c r="P237" s="9"/>
      <c r="Q237" s="9"/>
      <c r="R237" s="9"/>
      <c r="S237" s="9"/>
      <c r="T237" s="9"/>
      <c r="U237" s="9"/>
      <c r="V237" s="9"/>
      <c r="W237" s="9"/>
      <c r="X237" s="10"/>
      <c r="Y237" s="9"/>
      <c r="Z237" s="11"/>
      <c r="AA237" s="9"/>
      <c r="AB237" s="9"/>
      <c r="AC237" s="10"/>
      <c r="AD237" s="9"/>
      <c r="AE237" s="9"/>
      <c r="AF237" s="9"/>
      <c r="AG237" s="9"/>
      <c r="AH237" s="9"/>
      <c r="AI237" s="9"/>
      <c r="AJ237" s="9"/>
      <c r="AK237" s="9"/>
      <c r="AL237" s="9"/>
      <c r="AM237" s="11"/>
      <c r="AN237" s="11"/>
      <c r="AO237" s="9"/>
      <c r="AP237" s="9"/>
      <c r="AQ237" s="9"/>
    </row>
    <row r="238" spans="1:43" x14ac:dyDescent="0.25">
      <c r="A238" s="9"/>
      <c r="B238" s="10"/>
      <c r="C238" s="9"/>
      <c r="D238" s="9"/>
      <c r="E238" s="9"/>
      <c r="F238" s="9"/>
      <c r="G238" s="9"/>
      <c r="H238" s="9"/>
      <c r="I238" s="11"/>
      <c r="J238" s="11"/>
      <c r="K238" s="11"/>
      <c r="L238" s="9"/>
      <c r="M238" s="9"/>
      <c r="N238" s="9"/>
      <c r="O238" s="9"/>
      <c r="P238" s="9"/>
      <c r="Q238" s="9"/>
      <c r="R238" s="9"/>
      <c r="S238" s="9"/>
      <c r="T238" s="9"/>
      <c r="U238" s="9"/>
      <c r="V238" s="9"/>
      <c r="W238" s="9"/>
      <c r="X238" s="11"/>
      <c r="Y238" s="9"/>
      <c r="Z238" s="11"/>
      <c r="AA238" s="9"/>
      <c r="AB238" s="9"/>
      <c r="AC238" s="11"/>
      <c r="AD238" s="9"/>
      <c r="AE238" s="9"/>
      <c r="AF238" s="9"/>
      <c r="AG238" s="9"/>
      <c r="AH238" s="9"/>
      <c r="AI238" s="9"/>
      <c r="AJ238" s="9"/>
      <c r="AK238" s="9"/>
      <c r="AL238" s="9"/>
      <c r="AM238" s="11"/>
      <c r="AN238" s="11"/>
      <c r="AO238" s="9"/>
      <c r="AP238" s="9"/>
      <c r="AQ238" s="9"/>
    </row>
    <row r="239" spans="1:43" x14ac:dyDescent="0.25">
      <c r="A239" s="9"/>
      <c r="B239" s="10"/>
      <c r="C239" s="9"/>
      <c r="D239" s="9"/>
      <c r="E239" s="9"/>
      <c r="F239" s="9"/>
      <c r="G239" s="9"/>
      <c r="H239" s="9"/>
      <c r="I239" s="11"/>
      <c r="J239" s="11"/>
      <c r="K239" s="11"/>
      <c r="L239" s="9"/>
      <c r="M239" s="9"/>
      <c r="N239" s="9"/>
      <c r="O239" s="9"/>
      <c r="P239" s="9"/>
      <c r="Q239" s="9"/>
      <c r="R239" s="9"/>
      <c r="S239" s="9"/>
      <c r="T239" s="9"/>
      <c r="U239" s="9"/>
      <c r="V239" s="9"/>
      <c r="W239" s="9"/>
      <c r="X239" s="10"/>
      <c r="Y239" s="9"/>
      <c r="Z239" s="11"/>
      <c r="AA239" s="9"/>
      <c r="AB239" s="9"/>
      <c r="AC239" s="10"/>
      <c r="AD239" s="9"/>
      <c r="AE239" s="9"/>
      <c r="AF239" s="9"/>
      <c r="AG239" s="9"/>
      <c r="AH239" s="9"/>
      <c r="AI239" s="9"/>
      <c r="AJ239" s="9"/>
      <c r="AK239" s="9"/>
      <c r="AL239" s="9"/>
      <c r="AM239" s="11"/>
      <c r="AN239" s="11"/>
      <c r="AO239" s="9"/>
      <c r="AP239" s="9"/>
      <c r="AQ239" s="9"/>
    </row>
    <row r="240" spans="1:43" x14ac:dyDescent="0.25">
      <c r="A240" s="9"/>
      <c r="B240" s="10"/>
      <c r="C240" s="9"/>
      <c r="D240" s="9"/>
      <c r="E240" s="9"/>
      <c r="F240" s="9"/>
      <c r="G240" s="9"/>
      <c r="H240" s="9"/>
      <c r="I240" s="11"/>
      <c r="J240" s="10"/>
      <c r="K240" s="11"/>
      <c r="L240" s="9"/>
      <c r="M240" s="9"/>
      <c r="N240" s="9"/>
      <c r="O240" s="9"/>
      <c r="P240" s="9"/>
      <c r="Q240" s="9"/>
      <c r="R240" s="9"/>
      <c r="S240" s="9"/>
      <c r="T240" s="9"/>
      <c r="U240" s="9"/>
      <c r="V240" s="9"/>
      <c r="W240" s="9"/>
      <c r="X240" s="10"/>
      <c r="Y240" s="9"/>
      <c r="Z240" s="11"/>
      <c r="AA240" s="9"/>
      <c r="AB240" s="9"/>
      <c r="AC240" s="10"/>
      <c r="AD240" s="9"/>
      <c r="AE240" s="9"/>
      <c r="AF240" s="9"/>
      <c r="AG240" s="9"/>
      <c r="AH240" s="9"/>
      <c r="AI240" s="9"/>
      <c r="AJ240" s="9"/>
      <c r="AK240" s="9"/>
      <c r="AL240" s="9"/>
      <c r="AM240" s="11"/>
      <c r="AN240" s="11"/>
      <c r="AO240" s="9"/>
      <c r="AP240" s="9"/>
      <c r="AQ240" s="9"/>
    </row>
    <row r="241" spans="1:43" x14ac:dyDescent="0.25">
      <c r="A241" s="9"/>
      <c r="B241" s="10"/>
      <c r="C241" s="9"/>
      <c r="D241" s="9"/>
      <c r="E241" s="9"/>
      <c r="F241" s="9"/>
      <c r="G241" s="9"/>
      <c r="H241" s="9"/>
      <c r="I241" s="11"/>
      <c r="J241" s="10"/>
      <c r="K241" s="11"/>
      <c r="L241" s="9"/>
      <c r="M241" s="9"/>
      <c r="N241" s="9"/>
      <c r="O241" s="9"/>
      <c r="P241" s="9"/>
      <c r="Q241" s="9"/>
      <c r="R241" s="9"/>
      <c r="S241" s="9"/>
      <c r="T241" s="9"/>
      <c r="U241" s="9"/>
      <c r="V241" s="9"/>
      <c r="W241" s="9"/>
      <c r="X241" s="10"/>
      <c r="Y241" s="9"/>
      <c r="Z241" s="11"/>
      <c r="AA241" s="9"/>
      <c r="AB241" s="9"/>
      <c r="AC241" s="10"/>
      <c r="AD241" s="9"/>
      <c r="AE241" s="9"/>
      <c r="AF241" s="9"/>
      <c r="AG241" s="9"/>
      <c r="AH241" s="9"/>
      <c r="AI241" s="9"/>
      <c r="AJ241" s="9"/>
      <c r="AK241" s="9"/>
      <c r="AL241" s="9"/>
      <c r="AM241" s="11"/>
      <c r="AN241" s="11"/>
      <c r="AO241" s="9"/>
      <c r="AP241" s="9"/>
      <c r="AQ241" s="9"/>
    </row>
    <row r="242" spans="1:43" x14ac:dyDescent="0.25">
      <c r="A242" s="9"/>
      <c r="B242" s="10"/>
      <c r="C242" s="9"/>
      <c r="D242" s="9"/>
      <c r="E242" s="9"/>
      <c r="F242" s="9"/>
      <c r="G242" s="9"/>
      <c r="H242" s="9"/>
      <c r="I242" s="11"/>
      <c r="J242" s="11"/>
      <c r="K242" s="11"/>
      <c r="L242" s="9"/>
      <c r="M242" s="9"/>
      <c r="N242" s="9"/>
      <c r="O242" s="9"/>
      <c r="P242" s="9"/>
      <c r="Q242" s="9"/>
      <c r="R242" s="9"/>
      <c r="S242" s="9"/>
      <c r="T242" s="9"/>
      <c r="U242" s="9"/>
      <c r="V242" s="9"/>
      <c r="W242" s="9"/>
      <c r="X242" s="10"/>
      <c r="Y242" s="9"/>
      <c r="Z242" s="11"/>
      <c r="AA242" s="9"/>
      <c r="AB242" s="9"/>
      <c r="AC242" s="10"/>
      <c r="AD242" s="9"/>
      <c r="AE242" s="9"/>
      <c r="AF242" s="9"/>
      <c r="AG242" s="9"/>
      <c r="AH242" s="9"/>
      <c r="AI242" s="9"/>
      <c r="AJ242" s="9"/>
      <c r="AK242" s="9"/>
      <c r="AL242" s="9"/>
      <c r="AM242" s="11"/>
      <c r="AN242" s="11"/>
      <c r="AO242" s="9"/>
      <c r="AP242" s="9"/>
      <c r="AQ242" s="9"/>
    </row>
    <row r="243" spans="1:43" x14ac:dyDescent="0.25">
      <c r="A243" s="9"/>
      <c r="B243" s="10"/>
      <c r="C243" s="9"/>
      <c r="D243" s="9"/>
      <c r="E243" s="9"/>
      <c r="F243" s="9"/>
      <c r="G243" s="9"/>
      <c r="H243" s="9"/>
      <c r="I243" s="11"/>
      <c r="J243" s="11"/>
      <c r="K243" s="11"/>
      <c r="L243" s="9"/>
      <c r="M243" s="9"/>
      <c r="N243" s="9"/>
      <c r="O243" s="9"/>
      <c r="P243" s="9"/>
      <c r="Q243" s="9"/>
      <c r="R243" s="9"/>
      <c r="S243" s="9"/>
      <c r="T243" s="9"/>
      <c r="U243" s="9"/>
      <c r="V243" s="9"/>
      <c r="W243" s="9"/>
      <c r="X243" s="10"/>
      <c r="Y243" s="9"/>
      <c r="Z243" s="11"/>
      <c r="AA243" s="9"/>
      <c r="AB243" s="9"/>
      <c r="AC243" s="10"/>
      <c r="AD243" s="9"/>
      <c r="AE243" s="9"/>
      <c r="AF243" s="9"/>
      <c r="AG243" s="9"/>
      <c r="AH243" s="9"/>
      <c r="AI243" s="9"/>
      <c r="AJ243" s="9"/>
      <c r="AK243" s="9"/>
      <c r="AL243" s="9"/>
      <c r="AM243" s="11"/>
      <c r="AN243" s="11"/>
      <c r="AO243" s="9"/>
      <c r="AP243" s="9"/>
      <c r="AQ243" s="9"/>
    </row>
    <row r="244" spans="1:43" x14ac:dyDescent="0.25">
      <c r="A244" s="9"/>
      <c r="B244" s="10"/>
      <c r="C244" s="9"/>
      <c r="D244" s="9"/>
      <c r="E244" s="9"/>
      <c r="F244" s="9"/>
      <c r="G244" s="9"/>
      <c r="H244" s="9"/>
      <c r="I244" s="11"/>
      <c r="J244" s="10"/>
      <c r="K244" s="11"/>
      <c r="L244" s="9"/>
      <c r="M244" s="9"/>
      <c r="N244" s="9"/>
      <c r="O244" s="9"/>
      <c r="P244" s="9"/>
      <c r="Q244" s="9"/>
      <c r="R244" s="9"/>
      <c r="S244" s="9"/>
      <c r="T244" s="9"/>
      <c r="U244" s="9"/>
      <c r="V244" s="9"/>
      <c r="W244" s="9"/>
      <c r="X244" s="10"/>
      <c r="Y244" s="9"/>
      <c r="Z244" s="11"/>
      <c r="AA244" s="9"/>
      <c r="AB244" s="9"/>
      <c r="AC244" s="10"/>
      <c r="AD244" s="9"/>
      <c r="AE244" s="9"/>
      <c r="AF244" s="9"/>
      <c r="AG244" s="9"/>
      <c r="AH244" s="9"/>
      <c r="AI244" s="9"/>
      <c r="AJ244" s="9"/>
      <c r="AK244" s="9"/>
      <c r="AL244" s="9"/>
      <c r="AM244" s="11"/>
      <c r="AN244" s="11"/>
      <c r="AO244" s="9"/>
      <c r="AP244" s="9"/>
      <c r="AQ244" s="9"/>
    </row>
    <row r="245" spans="1:43" x14ac:dyDescent="0.25">
      <c r="A245" s="9"/>
      <c r="B245" s="10"/>
      <c r="C245" s="9"/>
      <c r="D245" s="9"/>
      <c r="E245" s="9"/>
      <c r="F245" s="9"/>
      <c r="G245" s="9"/>
      <c r="H245" s="9"/>
      <c r="I245" s="11"/>
      <c r="J245" s="10"/>
      <c r="K245" s="11"/>
      <c r="L245" s="9"/>
      <c r="M245" s="9"/>
      <c r="N245" s="9"/>
      <c r="O245" s="9"/>
      <c r="P245" s="9"/>
      <c r="Q245" s="9"/>
      <c r="R245" s="9"/>
      <c r="S245" s="9"/>
      <c r="T245" s="9"/>
      <c r="U245" s="9"/>
      <c r="V245" s="9"/>
      <c r="W245" s="9"/>
      <c r="X245" s="10"/>
      <c r="Y245" s="9"/>
      <c r="Z245" s="11"/>
      <c r="AA245" s="9"/>
      <c r="AB245" s="9"/>
      <c r="AC245" s="10"/>
      <c r="AD245" s="9"/>
      <c r="AE245" s="9"/>
      <c r="AF245" s="9"/>
      <c r="AG245" s="9"/>
      <c r="AH245" s="9"/>
      <c r="AI245" s="9"/>
      <c r="AJ245" s="9"/>
      <c r="AK245" s="9"/>
      <c r="AL245" s="9"/>
      <c r="AM245" s="11"/>
      <c r="AN245" s="11"/>
      <c r="AO245" s="9"/>
      <c r="AP245" s="9"/>
      <c r="AQ245" s="9"/>
    </row>
    <row r="246" spans="1:43" x14ac:dyDescent="0.25">
      <c r="A246" s="9"/>
      <c r="B246" s="10"/>
      <c r="C246" s="9"/>
      <c r="D246" s="9"/>
      <c r="E246" s="9"/>
      <c r="F246" s="9"/>
      <c r="G246" s="9"/>
      <c r="H246" s="9"/>
      <c r="I246" s="11"/>
      <c r="J246" s="10"/>
      <c r="K246" s="11"/>
      <c r="L246" s="9"/>
      <c r="M246" s="9"/>
      <c r="N246" s="9"/>
      <c r="O246" s="9"/>
      <c r="P246" s="9"/>
      <c r="Q246" s="9"/>
      <c r="R246" s="9"/>
      <c r="S246" s="9"/>
      <c r="T246" s="9"/>
      <c r="U246" s="9"/>
      <c r="V246" s="9"/>
      <c r="W246" s="9"/>
      <c r="X246" s="10"/>
      <c r="Y246" s="9"/>
      <c r="Z246" s="11"/>
      <c r="AA246" s="9"/>
      <c r="AB246" s="9"/>
      <c r="AC246" s="10"/>
      <c r="AD246" s="9"/>
      <c r="AE246" s="9"/>
      <c r="AF246" s="9"/>
      <c r="AG246" s="9"/>
      <c r="AH246" s="9"/>
      <c r="AI246" s="9"/>
      <c r="AJ246" s="9"/>
      <c r="AK246" s="9"/>
      <c r="AL246" s="9"/>
      <c r="AM246" s="11"/>
      <c r="AN246" s="11"/>
      <c r="AO246" s="9"/>
      <c r="AP246" s="9"/>
      <c r="AQ246" s="9"/>
    </row>
    <row r="247" spans="1:43" x14ac:dyDescent="0.25">
      <c r="A247" s="9"/>
      <c r="B247" s="10"/>
      <c r="C247" s="9"/>
      <c r="D247" s="9"/>
      <c r="E247" s="9"/>
      <c r="F247" s="9"/>
      <c r="G247" s="9"/>
      <c r="H247" s="9"/>
      <c r="I247" s="11"/>
      <c r="J247" s="10"/>
      <c r="K247" s="11"/>
      <c r="L247" s="9"/>
      <c r="M247" s="9"/>
      <c r="N247" s="9"/>
      <c r="O247" s="9"/>
      <c r="P247" s="9"/>
      <c r="Q247" s="9"/>
      <c r="R247" s="9"/>
      <c r="S247" s="9"/>
      <c r="T247" s="9"/>
      <c r="U247" s="9"/>
      <c r="V247" s="9"/>
      <c r="W247" s="9"/>
      <c r="X247" s="10"/>
      <c r="Y247" s="9"/>
      <c r="Z247" s="11"/>
      <c r="AA247" s="9"/>
      <c r="AB247" s="9"/>
      <c r="AC247" s="10"/>
      <c r="AD247" s="9"/>
      <c r="AE247" s="9"/>
      <c r="AF247" s="9"/>
      <c r="AG247" s="9"/>
      <c r="AH247" s="9"/>
      <c r="AI247" s="9"/>
      <c r="AJ247" s="9"/>
      <c r="AK247" s="9"/>
      <c r="AL247" s="9"/>
      <c r="AM247" s="11"/>
      <c r="AN247" s="10"/>
      <c r="AO247" s="9"/>
      <c r="AP247" s="9"/>
      <c r="AQ247" s="9"/>
    </row>
    <row r="248" spans="1:43" x14ac:dyDescent="0.25">
      <c r="A248" s="9"/>
      <c r="B248" s="10"/>
      <c r="C248" s="9"/>
      <c r="D248" s="9"/>
      <c r="E248" s="9"/>
      <c r="F248" s="9"/>
      <c r="G248" s="9"/>
      <c r="H248" s="9"/>
      <c r="I248" s="11"/>
      <c r="J248" s="11"/>
      <c r="K248" s="11"/>
      <c r="L248" s="9"/>
      <c r="M248" s="9"/>
      <c r="N248" s="9"/>
      <c r="O248" s="9"/>
      <c r="P248" s="9"/>
      <c r="Q248" s="9"/>
      <c r="R248" s="9"/>
      <c r="S248" s="9"/>
      <c r="T248" s="9"/>
      <c r="U248" s="9"/>
      <c r="V248" s="9"/>
      <c r="W248" s="9"/>
      <c r="X248" s="10"/>
      <c r="Y248" s="9"/>
      <c r="Z248" s="11"/>
      <c r="AA248" s="9"/>
      <c r="AB248" s="9"/>
      <c r="AC248" s="10"/>
      <c r="AD248" s="9"/>
      <c r="AE248" s="9"/>
      <c r="AF248" s="9"/>
      <c r="AG248" s="9"/>
      <c r="AH248" s="9"/>
      <c r="AI248" s="9"/>
      <c r="AJ248" s="9"/>
      <c r="AK248" s="9"/>
      <c r="AL248" s="9"/>
      <c r="AM248" s="11"/>
      <c r="AN248" s="11"/>
      <c r="AO248" s="9"/>
      <c r="AP248" s="9"/>
      <c r="AQ248" s="9"/>
    </row>
    <row r="249" spans="1:43" x14ac:dyDescent="0.25">
      <c r="A249" s="9"/>
      <c r="B249" s="10"/>
      <c r="C249" s="9"/>
      <c r="D249" s="9"/>
      <c r="E249" s="9"/>
      <c r="F249" s="9"/>
      <c r="G249" s="9"/>
      <c r="H249" s="9"/>
      <c r="I249" s="11"/>
      <c r="J249" s="11"/>
      <c r="K249" s="11"/>
      <c r="L249" s="9"/>
      <c r="M249" s="9"/>
      <c r="N249" s="9"/>
      <c r="O249" s="9"/>
      <c r="P249" s="9"/>
      <c r="Q249" s="9"/>
      <c r="R249" s="9"/>
      <c r="S249" s="9"/>
      <c r="T249" s="9"/>
      <c r="U249" s="9"/>
      <c r="V249" s="9"/>
      <c r="W249" s="9"/>
      <c r="X249" s="10"/>
      <c r="Y249" s="9"/>
      <c r="Z249" s="11"/>
      <c r="AA249" s="9"/>
      <c r="AB249" s="9"/>
      <c r="AC249" s="10"/>
      <c r="AD249" s="9"/>
      <c r="AE249" s="9"/>
      <c r="AF249" s="9"/>
      <c r="AG249" s="9"/>
      <c r="AH249" s="9"/>
      <c r="AI249" s="9"/>
      <c r="AJ249" s="9"/>
      <c r="AK249" s="9"/>
      <c r="AL249" s="9"/>
      <c r="AM249" s="11"/>
      <c r="AN249" s="11"/>
      <c r="AO249" s="9"/>
      <c r="AP249" s="9"/>
      <c r="AQ249" s="9"/>
    </row>
    <row r="250" spans="1:43" x14ac:dyDescent="0.25">
      <c r="A250" s="9"/>
      <c r="B250" s="10"/>
      <c r="C250" s="9"/>
      <c r="D250" s="9"/>
      <c r="E250" s="9"/>
      <c r="F250" s="9"/>
      <c r="G250" s="9"/>
      <c r="H250" s="9"/>
      <c r="I250" s="11"/>
      <c r="J250" s="10"/>
      <c r="K250" s="10"/>
      <c r="L250" s="9"/>
      <c r="M250" s="9"/>
      <c r="N250" s="9"/>
      <c r="O250" s="9"/>
      <c r="P250" s="9"/>
      <c r="Q250" s="9"/>
      <c r="R250" s="9"/>
      <c r="S250" s="9"/>
      <c r="T250" s="9"/>
      <c r="U250" s="9"/>
      <c r="V250" s="9"/>
      <c r="W250" s="9"/>
      <c r="X250" s="10"/>
      <c r="Y250" s="9"/>
      <c r="Z250" s="10"/>
      <c r="AA250" s="9"/>
      <c r="AB250" s="9"/>
      <c r="AC250" s="10"/>
      <c r="AD250" s="9"/>
      <c r="AE250" s="9"/>
      <c r="AF250" s="9"/>
      <c r="AG250" s="9"/>
      <c r="AH250" s="9"/>
      <c r="AI250" s="9"/>
      <c r="AJ250" s="9"/>
      <c r="AK250" s="9"/>
      <c r="AL250" s="9"/>
      <c r="AM250" s="11"/>
      <c r="AN250" s="11"/>
      <c r="AO250" s="9"/>
      <c r="AP250" s="9"/>
      <c r="AQ250" s="9"/>
    </row>
    <row r="251" spans="1:43" x14ac:dyDescent="0.25">
      <c r="A251" s="9"/>
      <c r="B251" s="10"/>
      <c r="C251" s="9"/>
      <c r="D251" s="9"/>
      <c r="E251" s="9"/>
      <c r="F251" s="9"/>
      <c r="G251" s="9"/>
      <c r="H251" s="9"/>
      <c r="I251" s="11"/>
      <c r="J251" s="11"/>
      <c r="K251" s="11"/>
      <c r="L251" s="9"/>
      <c r="M251" s="9"/>
      <c r="N251" s="9"/>
      <c r="O251" s="9"/>
      <c r="P251" s="9"/>
      <c r="Q251" s="9"/>
      <c r="R251" s="9"/>
      <c r="S251" s="9"/>
      <c r="T251" s="9"/>
      <c r="U251" s="9"/>
      <c r="V251" s="9"/>
      <c r="W251" s="9"/>
      <c r="X251" s="10"/>
      <c r="Y251" s="9"/>
      <c r="Z251" s="11"/>
      <c r="AA251" s="9"/>
      <c r="AB251" s="9"/>
      <c r="AC251" s="10"/>
      <c r="AD251" s="9"/>
      <c r="AE251" s="9"/>
      <c r="AF251" s="9"/>
      <c r="AG251" s="9"/>
      <c r="AH251" s="9"/>
      <c r="AI251" s="9"/>
      <c r="AJ251" s="9"/>
      <c r="AK251" s="9"/>
      <c r="AL251" s="9"/>
      <c r="AM251" s="11"/>
      <c r="AN251" s="11"/>
      <c r="AO251" s="9"/>
      <c r="AP251" s="9"/>
      <c r="AQ251" s="9"/>
    </row>
    <row r="252" spans="1:43" x14ac:dyDescent="0.25">
      <c r="A252" s="9"/>
      <c r="B252" s="10"/>
      <c r="C252" s="9"/>
      <c r="D252" s="9"/>
      <c r="E252" s="9"/>
      <c r="F252" s="9"/>
      <c r="G252" s="9"/>
      <c r="H252" s="9"/>
      <c r="I252" s="11"/>
      <c r="J252" s="11"/>
      <c r="K252" s="11"/>
      <c r="L252" s="9"/>
      <c r="M252" s="9"/>
      <c r="N252" s="9"/>
      <c r="O252" s="9"/>
      <c r="P252" s="9"/>
      <c r="Q252" s="9"/>
      <c r="R252" s="9"/>
      <c r="S252" s="9"/>
      <c r="T252" s="9"/>
      <c r="U252" s="9"/>
      <c r="V252" s="9"/>
      <c r="W252" s="9"/>
      <c r="X252" s="10"/>
      <c r="Y252" s="9"/>
      <c r="Z252" s="11"/>
      <c r="AA252" s="9"/>
      <c r="AB252" s="9"/>
      <c r="AC252" s="10"/>
      <c r="AD252" s="9"/>
      <c r="AE252" s="9"/>
      <c r="AF252" s="9"/>
      <c r="AG252" s="9"/>
      <c r="AH252" s="9"/>
      <c r="AI252" s="9"/>
      <c r="AJ252" s="9"/>
      <c r="AK252" s="9"/>
      <c r="AL252" s="9"/>
      <c r="AM252" s="11"/>
      <c r="AN252" s="11"/>
      <c r="AO252" s="9"/>
      <c r="AP252" s="9"/>
      <c r="AQ252" s="9"/>
    </row>
    <row r="253" spans="1:43" x14ac:dyDescent="0.25">
      <c r="A253" s="9"/>
      <c r="B253" s="10"/>
      <c r="C253" s="9"/>
      <c r="D253" s="9"/>
      <c r="E253" s="9"/>
      <c r="F253" s="9"/>
      <c r="G253" s="9"/>
      <c r="H253" s="9"/>
      <c r="I253" s="11"/>
      <c r="J253" s="11"/>
      <c r="K253" s="11"/>
      <c r="L253" s="9"/>
      <c r="M253" s="9"/>
      <c r="N253" s="9"/>
      <c r="O253" s="9"/>
      <c r="P253" s="9"/>
      <c r="Q253" s="9"/>
      <c r="R253" s="9"/>
      <c r="S253" s="9"/>
      <c r="T253" s="9"/>
      <c r="U253" s="9"/>
      <c r="V253" s="9"/>
      <c r="W253" s="9"/>
      <c r="X253" s="10"/>
      <c r="Y253" s="9"/>
      <c r="Z253" s="11"/>
      <c r="AA253" s="9"/>
      <c r="AB253" s="9"/>
      <c r="AC253" s="10"/>
      <c r="AD253" s="9"/>
      <c r="AE253" s="9"/>
      <c r="AF253" s="9"/>
      <c r="AG253" s="9"/>
      <c r="AH253" s="9"/>
      <c r="AI253" s="9"/>
      <c r="AJ253" s="9"/>
      <c r="AK253" s="9"/>
      <c r="AL253" s="9"/>
      <c r="AM253" s="11"/>
      <c r="AN253" s="11"/>
      <c r="AO253" s="9"/>
      <c r="AP253" s="9"/>
      <c r="AQ253" s="9"/>
    </row>
    <row r="254" spans="1:43" x14ac:dyDescent="0.25">
      <c r="A254" s="9"/>
      <c r="B254" s="10"/>
      <c r="C254" s="9"/>
      <c r="D254" s="9"/>
      <c r="E254" s="9"/>
      <c r="F254" s="9"/>
      <c r="G254" s="9"/>
      <c r="H254" s="9"/>
      <c r="I254" s="11"/>
      <c r="J254" s="11"/>
      <c r="K254" s="11"/>
      <c r="L254" s="9"/>
      <c r="M254" s="9"/>
      <c r="N254" s="9"/>
      <c r="O254" s="9"/>
      <c r="P254" s="9"/>
      <c r="Q254" s="9"/>
      <c r="R254" s="9"/>
      <c r="S254" s="9"/>
      <c r="T254" s="9"/>
      <c r="U254" s="9"/>
      <c r="V254" s="9"/>
      <c r="W254" s="9"/>
      <c r="X254" s="10"/>
      <c r="Y254" s="9"/>
      <c r="Z254" s="11"/>
      <c r="AA254" s="9"/>
      <c r="AB254" s="9"/>
      <c r="AC254" s="10"/>
      <c r="AD254" s="9"/>
      <c r="AE254" s="9"/>
      <c r="AF254" s="9"/>
      <c r="AG254" s="9"/>
      <c r="AH254" s="9"/>
      <c r="AI254" s="9"/>
      <c r="AJ254" s="9"/>
      <c r="AK254" s="9"/>
      <c r="AL254" s="9"/>
      <c r="AM254" s="11"/>
      <c r="AN254" s="11"/>
      <c r="AO254" s="9"/>
      <c r="AP254" s="9"/>
      <c r="AQ254" s="9"/>
    </row>
    <row r="255" spans="1:43" x14ac:dyDescent="0.25">
      <c r="A255" s="9"/>
      <c r="B255" s="10"/>
      <c r="C255" s="9"/>
      <c r="D255" s="9"/>
      <c r="E255" s="9"/>
      <c r="F255" s="9"/>
      <c r="G255" s="9"/>
      <c r="H255" s="9"/>
      <c r="I255" s="11"/>
      <c r="J255" s="11"/>
      <c r="K255" s="11"/>
      <c r="L255" s="9"/>
      <c r="M255" s="9"/>
      <c r="N255" s="9"/>
      <c r="O255" s="9"/>
      <c r="P255" s="9"/>
      <c r="Q255" s="9"/>
      <c r="R255" s="9"/>
      <c r="S255" s="9"/>
      <c r="T255" s="9"/>
      <c r="U255" s="9"/>
      <c r="V255" s="9"/>
      <c r="W255" s="9"/>
      <c r="X255" s="10"/>
      <c r="Y255" s="9"/>
      <c r="Z255" s="11"/>
      <c r="AA255" s="9"/>
      <c r="AB255" s="9"/>
      <c r="AC255" s="10"/>
      <c r="AD255" s="9"/>
      <c r="AE255" s="9"/>
      <c r="AF255" s="9"/>
      <c r="AG255" s="9"/>
      <c r="AH255" s="9"/>
      <c r="AI255" s="9"/>
      <c r="AJ255" s="9"/>
      <c r="AK255" s="9"/>
      <c r="AL255" s="9"/>
      <c r="AM255" s="11"/>
      <c r="AN255" s="11"/>
      <c r="AO255" s="9"/>
      <c r="AP255" s="9"/>
      <c r="AQ255" s="9"/>
    </row>
    <row r="256" spans="1:43" x14ac:dyDescent="0.25">
      <c r="A256" s="9"/>
      <c r="B256" s="10"/>
      <c r="C256" s="9"/>
      <c r="D256" s="9"/>
      <c r="E256" s="9"/>
      <c r="F256" s="9"/>
      <c r="G256" s="9"/>
      <c r="H256" s="9"/>
      <c r="I256" s="11"/>
      <c r="J256" s="11"/>
      <c r="K256" s="11"/>
      <c r="L256" s="9"/>
      <c r="M256" s="9"/>
      <c r="N256" s="9"/>
      <c r="O256" s="9"/>
      <c r="P256" s="9"/>
      <c r="Q256" s="9"/>
      <c r="R256" s="9"/>
      <c r="S256" s="9"/>
      <c r="T256" s="9"/>
      <c r="U256" s="9"/>
      <c r="V256" s="9"/>
      <c r="W256" s="9"/>
      <c r="X256" s="10"/>
      <c r="Y256" s="9"/>
      <c r="Z256" s="11"/>
      <c r="AA256" s="9"/>
      <c r="AB256" s="9"/>
      <c r="AC256" s="10"/>
      <c r="AD256" s="9"/>
      <c r="AE256" s="9"/>
      <c r="AF256" s="9"/>
      <c r="AG256" s="9"/>
      <c r="AH256" s="9"/>
      <c r="AI256" s="9"/>
      <c r="AJ256" s="9"/>
      <c r="AK256" s="9"/>
      <c r="AL256" s="9"/>
      <c r="AM256" s="11"/>
      <c r="AN256" s="11"/>
      <c r="AO256" s="9"/>
      <c r="AP256" s="9"/>
      <c r="AQ256" s="9"/>
    </row>
    <row r="257" spans="1:43" x14ac:dyDescent="0.25">
      <c r="A257" s="9"/>
      <c r="B257" s="10"/>
      <c r="C257" s="9"/>
      <c r="D257" s="9"/>
      <c r="E257" s="9"/>
      <c r="F257" s="9"/>
      <c r="G257" s="9"/>
      <c r="H257" s="9"/>
      <c r="I257" s="11"/>
      <c r="J257" s="11"/>
      <c r="K257" s="11"/>
      <c r="L257" s="9"/>
      <c r="M257" s="9"/>
      <c r="N257" s="9"/>
      <c r="O257" s="9"/>
      <c r="P257" s="9"/>
      <c r="Q257" s="9"/>
      <c r="R257" s="9"/>
      <c r="S257" s="9"/>
      <c r="T257" s="9"/>
      <c r="U257" s="9"/>
      <c r="V257" s="9"/>
      <c r="W257" s="9"/>
      <c r="X257" s="10"/>
      <c r="Y257" s="9"/>
      <c r="Z257" s="11"/>
      <c r="AA257" s="9"/>
      <c r="AB257" s="9"/>
      <c r="AC257" s="11"/>
      <c r="AD257" s="9"/>
      <c r="AE257" s="9"/>
      <c r="AF257" s="9"/>
      <c r="AG257" s="9"/>
      <c r="AH257" s="9"/>
      <c r="AI257" s="9"/>
      <c r="AJ257" s="9"/>
      <c r="AK257" s="9"/>
      <c r="AL257" s="9"/>
      <c r="AM257" s="11"/>
      <c r="AN257" s="11"/>
      <c r="AO257" s="9"/>
      <c r="AP257" s="9"/>
      <c r="AQ257" s="9"/>
    </row>
    <row r="258" spans="1:43" x14ac:dyDescent="0.25">
      <c r="A258" s="9"/>
      <c r="B258" s="10"/>
      <c r="C258" s="9"/>
      <c r="D258" s="9"/>
      <c r="E258" s="9"/>
      <c r="F258" s="9"/>
      <c r="G258" s="9"/>
      <c r="H258" s="9"/>
      <c r="I258" s="11"/>
      <c r="J258" s="11"/>
      <c r="K258" s="11"/>
      <c r="L258" s="9"/>
      <c r="M258" s="9"/>
      <c r="N258" s="9"/>
      <c r="O258" s="9"/>
      <c r="P258" s="9"/>
      <c r="Q258" s="9"/>
      <c r="R258" s="9"/>
      <c r="S258" s="9"/>
      <c r="T258" s="9"/>
      <c r="U258" s="9"/>
      <c r="V258" s="9"/>
      <c r="W258" s="9"/>
      <c r="X258" s="10"/>
      <c r="Y258" s="9"/>
      <c r="Z258" s="11"/>
      <c r="AA258" s="9"/>
      <c r="AB258" s="9"/>
      <c r="AC258" s="10"/>
      <c r="AD258" s="9"/>
      <c r="AE258" s="9"/>
      <c r="AF258" s="9"/>
      <c r="AG258" s="9"/>
      <c r="AH258" s="9"/>
      <c r="AI258" s="9"/>
      <c r="AJ258" s="9"/>
      <c r="AK258" s="9"/>
      <c r="AL258" s="9"/>
      <c r="AM258" s="11"/>
      <c r="AN258" s="11"/>
      <c r="AO258" s="9"/>
      <c r="AP258" s="9"/>
      <c r="AQ258" s="9"/>
    </row>
    <row r="259" spans="1:43" x14ac:dyDescent="0.25">
      <c r="A259" s="9"/>
      <c r="B259" s="10"/>
      <c r="C259" s="9"/>
      <c r="D259" s="9"/>
      <c r="E259" s="9"/>
      <c r="F259" s="9"/>
      <c r="G259" s="9"/>
      <c r="H259" s="9"/>
      <c r="I259" s="11"/>
      <c r="J259" s="10"/>
      <c r="K259" s="11"/>
      <c r="L259" s="9"/>
      <c r="M259" s="9"/>
      <c r="N259" s="9"/>
      <c r="O259" s="9"/>
      <c r="P259" s="9"/>
      <c r="Q259" s="9"/>
      <c r="R259" s="9"/>
      <c r="S259" s="9"/>
      <c r="T259" s="9"/>
      <c r="U259" s="9"/>
      <c r="V259" s="9"/>
      <c r="W259" s="9"/>
      <c r="X259" s="10"/>
      <c r="Y259" s="9"/>
      <c r="Z259" s="11"/>
      <c r="AA259" s="9"/>
      <c r="AB259" s="9"/>
      <c r="AC259" s="10"/>
      <c r="AD259" s="9"/>
      <c r="AE259" s="9"/>
      <c r="AF259" s="9"/>
      <c r="AG259" s="9"/>
      <c r="AH259" s="9"/>
      <c r="AI259" s="9"/>
      <c r="AJ259" s="9"/>
      <c r="AK259" s="9"/>
      <c r="AL259" s="9"/>
      <c r="AM259" s="11"/>
      <c r="AN259" s="11"/>
      <c r="AO259" s="9"/>
      <c r="AP259" s="9"/>
      <c r="AQ259" s="9"/>
    </row>
    <row r="260" spans="1:43" x14ac:dyDescent="0.25">
      <c r="A260" s="9"/>
      <c r="B260" s="10"/>
      <c r="C260" s="9"/>
      <c r="D260" s="9"/>
      <c r="E260" s="9"/>
      <c r="F260" s="9"/>
      <c r="G260" s="9"/>
      <c r="H260" s="9"/>
      <c r="I260" s="11"/>
      <c r="J260" s="10"/>
      <c r="K260" s="11"/>
      <c r="L260" s="9"/>
      <c r="M260" s="9"/>
      <c r="N260" s="9"/>
      <c r="O260" s="9"/>
      <c r="P260" s="9"/>
      <c r="Q260" s="9"/>
      <c r="R260" s="9"/>
      <c r="S260" s="9"/>
      <c r="T260" s="9"/>
      <c r="U260" s="9"/>
      <c r="V260" s="9"/>
      <c r="W260" s="9"/>
      <c r="X260" s="10"/>
      <c r="Y260" s="9"/>
      <c r="Z260" s="11"/>
      <c r="AA260" s="9"/>
      <c r="AB260" s="9"/>
      <c r="AC260" s="10"/>
      <c r="AD260" s="9"/>
      <c r="AE260" s="9"/>
      <c r="AF260" s="9"/>
      <c r="AG260" s="9"/>
      <c r="AH260" s="9"/>
      <c r="AI260" s="9"/>
      <c r="AJ260" s="9"/>
      <c r="AK260" s="9"/>
      <c r="AL260" s="9"/>
      <c r="AM260" s="11"/>
      <c r="AN260" s="10"/>
      <c r="AO260" s="9"/>
      <c r="AP260" s="9"/>
      <c r="AQ260" s="9"/>
    </row>
    <row r="261" spans="1:43" x14ac:dyDescent="0.25">
      <c r="A261" s="9"/>
      <c r="B261" s="10"/>
      <c r="C261" s="9"/>
      <c r="D261" s="9"/>
      <c r="E261" s="9"/>
      <c r="F261" s="9"/>
      <c r="G261" s="9"/>
      <c r="H261" s="9"/>
      <c r="I261" s="11"/>
      <c r="J261" s="11"/>
      <c r="K261" s="11"/>
      <c r="L261" s="9"/>
      <c r="M261" s="9"/>
      <c r="N261" s="9"/>
      <c r="O261" s="9"/>
      <c r="P261" s="9"/>
      <c r="Q261" s="9"/>
      <c r="R261" s="9"/>
      <c r="S261" s="9"/>
      <c r="T261" s="9"/>
      <c r="U261" s="9"/>
      <c r="V261" s="9"/>
      <c r="W261" s="9"/>
      <c r="X261" s="10"/>
      <c r="Y261" s="9"/>
      <c r="Z261" s="11"/>
      <c r="AA261" s="9"/>
      <c r="AB261" s="9"/>
      <c r="AC261" s="10"/>
      <c r="AD261" s="9"/>
      <c r="AE261" s="9"/>
      <c r="AF261" s="9"/>
      <c r="AG261" s="9"/>
      <c r="AH261" s="9"/>
      <c r="AI261" s="9"/>
      <c r="AJ261" s="9"/>
      <c r="AK261" s="9"/>
      <c r="AL261" s="9"/>
      <c r="AM261" s="11"/>
      <c r="AN261" s="11"/>
      <c r="AO261" s="9"/>
      <c r="AP261" s="9"/>
      <c r="AQ261" s="9"/>
    </row>
    <row r="262" spans="1:43" x14ac:dyDescent="0.25">
      <c r="A262" s="9"/>
      <c r="B262" s="10"/>
      <c r="C262" s="9"/>
      <c r="D262" s="9"/>
      <c r="E262" s="9"/>
      <c r="F262" s="9"/>
      <c r="G262" s="9"/>
      <c r="H262" s="9"/>
      <c r="I262" s="11"/>
      <c r="J262" s="10"/>
      <c r="K262" s="11"/>
      <c r="L262" s="9"/>
      <c r="M262" s="9"/>
      <c r="N262" s="9"/>
      <c r="O262" s="9"/>
      <c r="P262" s="9"/>
      <c r="Q262" s="9"/>
      <c r="R262" s="9"/>
      <c r="S262" s="9"/>
      <c r="T262" s="9"/>
      <c r="U262" s="9"/>
      <c r="V262" s="9"/>
      <c r="W262" s="9"/>
      <c r="X262" s="11"/>
      <c r="Y262" s="9"/>
      <c r="Z262" s="11"/>
      <c r="AA262" s="9"/>
      <c r="AB262" s="9"/>
      <c r="AC262" s="10"/>
      <c r="AD262" s="9"/>
      <c r="AE262" s="9"/>
      <c r="AF262" s="9"/>
      <c r="AG262" s="9"/>
      <c r="AH262" s="9"/>
      <c r="AI262" s="9"/>
      <c r="AJ262" s="9"/>
      <c r="AK262" s="9"/>
      <c r="AL262" s="9"/>
      <c r="AM262" s="11"/>
      <c r="AN262" s="10"/>
      <c r="AO262" s="9"/>
      <c r="AP262" s="9"/>
      <c r="AQ262" s="9"/>
    </row>
    <row r="263" spans="1:43" x14ac:dyDescent="0.25">
      <c r="A263" s="9"/>
      <c r="B263" s="10"/>
      <c r="C263" s="9"/>
      <c r="D263" s="9"/>
      <c r="E263" s="9"/>
      <c r="F263" s="9"/>
      <c r="G263" s="9"/>
      <c r="H263" s="9"/>
      <c r="I263" s="11"/>
      <c r="J263" s="11"/>
      <c r="K263" s="11"/>
      <c r="L263" s="9"/>
      <c r="M263" s="9"/>
      <c r="N263" s="9"/>
      <c r="O263" s="9"/>
      <c r="P263" s="9"/>
      <c r="Q263" s="9"/>
      <c r="R263" s="9"/>
      <c r="S263" s="9"/>
      <c r="T263" s="9"/>
      <c r="U263" s="9"/>
      <c r="V263" s="9"/>
      <c r="W263" s="9"/>
      <c r="X263" s="10"/>
      <c r="Y263" s="9"/>
      <c r="Z263" s="11"/>
      <c r="AA263" s="9"/>
      <c r="AB263" s="9"/>
      <c r="AC263" s="10"/>
      <c r="AD263" s="9"/>
      <c r="AE263" s="9"/>
      <c r="AF263" s="9"/>
      <c r="AG263" s="9"/>
      <c r="AH263" s="9"/>
      <c r="AI263" s="9"/>
      <c r="AJ263" s="9"/>
      <c r="AK263" s="9"/>
      <c r="AL263" s="9"/>
      <c r="AM263" s="11"/>
      <c r="AN263" s="11"/>
      <c r="AO263" s="9"/>
      <c r="AP263" s="9"/>
      <c r="AQ263" s="9"/>
    </row>
    <row r="264" spans="1:43" x14ac:dyDescent="0.25">
      <c r="A264" s="9"/>
      <c r="B264" s="10"/>
      <c r="C264" s="9"/>
      <c r="D264" s="9"/>
      <c r="E264" s="9"/>
      <c r="F264" s="9"/>
      <c r="G264" s="9"/>
      <c r="H264" s="9"/>
      <c r="I264" s="11"/>
      <c r="J264" s="11"/>
      <c r="K264" s="11"/>
      <c r="L264" s="9"/>
      <c r="M264" s="9"/>
      <c r="N264" s="9"/>
      <c r="O264" s="9"/>
      <c r="P264" s="9"/>
      <c r="Q264" s="9"/>
      <c r="R264" s="9"/>
      <c r="S264" s="9"/>
      <c r="T264" s="9"/>
      <c r="U264" s="9"/>
      <c r="V264" s="9"/>
      <c r="W264" s="9"/>
      <c r="X264" s="10"/>
      <c r="Y264" s="9"/>
      <c r="Z264" s="11"/>
      <c r="AA264" s="9"/>
      <c r="AB264" s="9"/>
      <c r="AC264" s="10"/>
      <c r="AD264" s="9"/>
      <c r="AE264" s="9"/>
      <c r="AF264" s="9"/>
      <c r="AG264" s="9"/>
      <c r="AH264" s="9"/>
      <c r="AI264" s="9"/>
      <c r="AJ264" s="9"/>
      <c r="AK264" s="9"/>
      <c r="AL264" s="9"/>
      <c r="AM264" s="11"/>
      <c r="AN264" s="11"/>
      <c r="AO264" s="9"/>
      <c r="AP264" s="9"/>
      <c r="AQ264" s="9"/>
    </row>
    <row r="265" spans="1:43" x14ac:dyDescent="0.25">
      <c r="A265" s="9"/>
      <c r="B265" s="10"/>
      <c r="C265" s="9"/>
      <c r="D265" s="9"/>
      <c r="E265" s="9"/>
      <c r="F265" s="9"/>
      <c r="G265" s="9"/>
      <c r="H265" s="9"/>
      <c r="I265" s="11"/>
      <c r="J265" s="11"/>
      <c r="K265" s="11"/>
      <c r="L265" s="9"/>
      <c r="M265" s="9"/>
      <c r="N265" s="9"/>
      <c r="O265" s="9"/>
      <c r="P265" s="9"/>
      <c r="Q265" s="9"/>
      <c r="R265" s="9"/>
      <c r="S265" s="9"/>
      <c r="T265" s="9"/>
      <c r="U265" s="9"/>
      <c r="V265" s="9"/>
      <c r="W265" s="9"/>
      <c r="X265" s="10"/>
      <c r="Y265" s="9"/>
      <c r="Z265" s="11"/>
      <c r="AA265" s="9"/>
      <c r="AB265" s="9"/>
      <c r="AC265" s="10"/>
      <c r="AD265" s="9"/>
      <c r="AE265" s="9"/>
      <c r="AF265" s="9"/>
      <c r="AG265" s="9"/>
      <c r="AH265" s="9"/>
      <c r="AI265" s="9"/>
      <c r="AJ265" s="9"/>
      <c r="AK265" s="9"/>
      <c r="AL265" s="9"/>
      <c r="AM265" s="11"/>
      <c r="AN265" s="11"/>
      <c r="AO265" s="9"/>
      <c r="AP265" s="9"/>
      <c r="AQ265" s="9"/>
    </row>
    <row r="266" spans="1:43" x14ac:dyDescent="0.25">
      <c r="A266" s="9"/>
      <c r="B266" s="10"/>
      <c r="C266" s="9"/>
      <c r="D266" s="9"/>
      <c r="E266" s="9"/>
      <c r="F266" s="9"/>
      <c r="G266" s="9"/>
      <c r="H266" s="9"/>
      <c r="I266" s="11"/>
      <c r="J266" s="11"/>
      <c r="K266" s="11"/>
      <c r="L266" s="9"/>
      <c r="M266" s="9"/>
      <c r="N266" s="9"/>
      <c r="O266" s="9"/>
      <c r="P266" s="9"/>
      <c r="Q266" s="9"/>
      <c r="R266" s="9"/>
      <c r="S266" s="9"/>
      <c r="T266" s="9"/>
      <c r="U266" s="9"/>
      <c r="V266" s="9"/>
      <c r="W266" s="9"/>
      <c r="X266" s="10"/>
      <c r="Y266" s="9"/>
      <c r="Z266" s="11"/>
      <c r="AA266" s="9"/>
      <c r="AB266" s="9"/>
      <c r="AC266" s="10"/>
      <c r="AD266" s="9"/>
      <c r="AE266" s="9"/>
      <c r="AF266" s="9"/>
      <c r="AG266" s="9"/>
      <c r="AH266" s="9"/>
      <c r="AI266" s="9"/>
      <c r="AJ266" s="9"/>
      <c r="AK266" s="9"/>
      <c r="AL266" s="9"/>
      <c r="AM266" s="11"/>
      <c r="AN266" s="11"/>
      <c r="AO266" s="9"/>
      <c r="AP266" s="9"/>
      <c r="AQ266" s="9"/>
    </row>
    <row r="267" spans="1:43" x14ac:dyDescent="0.25">
      <c r="A267" s="9"/>
      <c r="B267" s="10"/>
      <c r="C267" s="9"/>
      <c r="D267" s="9"/>
      <c r="E267" s="9"/>
      <c r="F267" s="9"/>
      <c r="G267" s="9"/>
      <c r="H267" s="9"/>
      <c r="I267" s="11"/>
      <c r="J267" s="10"/>
      <c r="K267" s="11"/>
      <c r="L267" s="9"/>
      <c r="M267" s="9"/>
      <c r="N267" s="9"/>
      <c r="O267" s="9"/>
      <c r="P267" s="9"/>
      <c r="Q267" s="9"/>
      <c r="R267" s="9"/>
      <c r="S267" s="9"/>
      <c r="T267" s="9"/>
      <c r="U267" s="9"/>
      <c r="V267" s="9"/>
      <c r="W267" s="9"/>
      <c r="X267" s="10"/>
      <c r="Y267" s="9"/>
      <c r="Z267" s="11"/>
      <c r="AA267" s="9"/>
      <c r="AB267" s="9"/>
      <c r="AC267" s="10"/>
      <c r="AD267" s="9"/>
      <c r="AE267" s="9"/>
      <c r="AF267" s="9"/>
      <c r="AG267" s="9"/>
      <c r="AH267" s="9"/>
      <c r="AI267" s="9"/>
      <c r="AJ267" s="9"/>
      <c r="AK267" s="9"/>
      <c r="AL267" s="9"/>
      <c r="AM267" s="11"/>
      <c r="AN267" s="11"/>
      <c r="AO267" s="9"/>
      <c r="AP267" s="9"/>
      <c r="AQ267" s="9"/>
    </row>
    <row r="268" spans="1:43" x14ac:dyDescent="0.25">
      <c r="A268" s="9"/>
      <c r="B268" s="10"/>
      <c r="C268" s="9"/>
      <c r="D268" s="9"/>
      <c r="E268" s="9"/>
      <c r="F268" s="9"/>
      <c r="G268" s="9"/>
      <c r="H268" s="9"/>
      <c r="I268" s="11"/>
      <c r="J268" s="11"/>
      <c r="K268" s="11"/>
      <c r="L268" s="9"/>
      <c r="M268" s="9"/>
      <c r="N268" s="9"/>
      <c r="O268" s="9"/>
      <c r="P268" s="9"/>
      <c r="Q268" s="9"/>
      <c r="R268" s="9"/>
      <c r="S268" s="9"/>
      <c r="T268" s="9"/>
      <c r="U268" s="9"/>
      <c r="V268" s="9"/>
      <c r="W268" s="9"/>
      <c r="X268" s="10"/>
      <c r="Y268" s="9"/>
      <c r="Z268" s="11"/>
      <c r="AA268" s="9"/>
      <c r="AB268" s="9"/>
      <c r="AC268" s="10"/>
      <c r="AD268" s="9"/>
      <c r="AE268" s="9"/>
      <c r="AF268" s="9"/>
      <c r="AG268" s="9"/>
      <c r="AH268" s="9"/>
      <c r="AI268" s="9"/>
      <c r="AJ268" s="9"/>
      <c r="AK268" s="9"/>
      <c r="AL268" s="9"/>
      <c r="AM268" s="11"/>
      <c r="AN268" s="11"/>
      <c r="AO268" s="9"/>
      <c r="AP268" s="9"/>
      <c r="AQ268" s="9"/>
    </row>
    <row r="269" spans="1:43" x14ac:dyDescent="0.25">
      <c r="A269" s="9"/>
      <c r="B269" s="10"/>
      <c r="C269" s="9"/>
      <c r="D269" s="9"/>
      <c r="E269" s="9"/>
      <c r="F269" s="9"/>
      <c r="G269" s="9"/>
      <c r="H269" s="9"/>
      <c r="I269" s="11"/>
      <c r="J269" s="10"/>
      <c r="K269" s="11"/>
      <c r="L269" s="9"/>
      <c r="M269" s="9"/>
      <c r="N269" s="9"/>
      <c r="O269" s="9"/>
      <c r="P269" s="9"/>
      <c r="Q269" s="9"/>
      <c r="R269" s="9"/>
      <c r="S269" s="9"/>
      <c r="T269" s="9"/>
      <c r="U269" s="9"/>
      <c r="V269" s="9"/>
      <c r="W269" s="9"/>
      <c r="X269" s="10"/>
      <c r="Y269" s="9"/>
      <c r="Z269" s="11"/>
      <c r="AA269" s="9"/>
      <c r="AB269" s="9"/>
      <c r="AC269" s="10"/>
      <c r="AD269" s="9"/>
      <c r="AE269" s="9"/>
      <c r="AF269" s="9"/>
      <c r="AG269" s="9"/>
      <c r="AH269" s="9"/>
      <c r="AI269" s="9"/>
      <c r="AJ269" s="9"/>
      <c r="AK269" s="9"/>
      <c r="AL269" s="9"/>
      <c r="AM269" s="11"/>
      <c r="AN269" s="11"/>
      <c r="AO269" s="9"/>
      <c r="AP269" s="9"/>
      <c r="AQ269" s="9"/>
    </row>
    <row r="270" spans="1:43" x14ac:dyDescent="0.25">
      <c r="A270" s="9"/>
      <c r="B270" s="10"/>
      <c r="C270" s="9"/>
      <c r="D270" s="9"/>
      <c r="E270" s="9"/>
      <c r="F270" s="9"/>
      <c r="G270" s="9"/>
      <c r="H270" s="9"/>
      <c r="I270" s="11"/>
      <c r="J270" s="11"/>
      <c r="K270" s="11"/>
      <c r="L270" s="9"/>
      <c r="M270" s="9"/>
      <c r="N270" s="9"/>
      <c r="O270" s="9"/>
      <c r="P270" s="9"/>
      <c r="Q270" s="9"/>
      <c r="R270" s="9"/>
      <c r="S270" s="9"/>
      <c r="T270" s="9"/>
      <c r="U270" s="9"/>
      <c r="V270" s="9"/>
      <c r="W270" s="9"/>
      <c r="X270" s="10"/>
      <c r="Y270" s="9"/>
      <c r="Z270" s="11"/>
      <c r="AA270" s="9"/>
      <c r="AB270" s="9"/>
      <c r="AC270" s="10"/>
      <c r="AD270" s="9"/>
      <c r="AE270" s="9"/>
      <c r="AF270" s="9"/>
      <c r="AG270" s="9"/>
      <c r="AH270" s="9"/>
      <c r="AI270" s="9"/>
      <c r="AJ270" s="9"/>
      <c r="AK270" s="9"/>
      <c r="AL270" s="9"/>
      <c r="AM270" s="11"/>
      <c r="AN270" s="11"/>
      <c r="AO270" s="9"/>
      <c r="AP270" s="9"/>
      <c r="AQ270" s="9"/>
    </row>
    <row r="271" spans="1:43" x14ac:dyDescent="0.25">
      <c r="A271" s="9"/>
      <c r="B271" s="10"/>
      <c r="C271" s="9"/>
      <c r="D271" s="9"/>
      <c r="E271" s="9"/>
      <c r="F271" s="9"/>
      <c r="G271" s="9"/>
      <c r="H271" s="9"/>
      <c r="I271" s="11"/>
      <c r="J271" s="10"/>
      <c r="K271" s="11"/>
      <c r="L271" s="9"/>
      <c r="M271" s="9"/>
      <c r="N271" s="9"/>
      <c r="O271" s="9"/>
      <c r="P271" s="9"/>
      <c r="Q271" s="9"/>
      <c r="R271" s="9"/>
      <c r="S271" s="9"/>
      <c r="T271" s="9"/>
      <c r="U271" s="9"/>
      <c r="V271" s="9"/>
      <c r="W271" s="9"/>
      <c r="X271" s="10"/>
      <c r="Y271" s="9"/>
      <c r="Z271" s="11"/>
      <c r="AA271" s="9"/>
      <c r="AB271" s="9"/>
      <c r="AC271" s="10"/>
      <c r="AD271" s="9"/>
      <c r="AE271" s="9"/>
      <c r="AF271" s="9"/>
      <c r="AG271" s="9"/>
      <c r="AH271" s="9"/>
      <c r="AI271" s="9"/>
      <c r="AJ271" s="9"/>
      <c r="AK271" s="9"/>
      <c r="AL271" s="9"/>
      <c r="AM271" s="11"/>
      <c r="AN271" s="11"/>
      <c r="AO271" s="9"/>
      <c r="AP271" s="9"/>
      <c r="AQ271" s="9"/>
    </row>
    <row r="272" spans="1:43" x14ac:dyDescent="0.25">
      <c r="A272" s="9"/>
      <c r="B272" s="10"/>
      <c r="C272" s="9"/>
      <c r="D272" s="9"/>
      <c r="E272" s="9"/>
      <c r="F272" s="9"/>
      <c r="G272" s="9"/>
      <c r="H272" s="9"/>
      <c r="I272" s="11"/>
      <c r="J272" s="11"/>
      <c r="K272" s="11"/>
      <c r="L272" s="9"/>
      <c r="M272" s="9"/>
      <c r="N272" s="9"/>
      <c r="O272" s="9"/>
      <c r="P272" s="9"/>
      <c r="Q272" s="9"/>
      <c r="R272" s="9"/>
      <c r="S272" s="9"/>
      <c r="T272" s="9"/>
      <c r="U272" s="9"/>
      <c r="V272" s="9"/>
      <c r="W272" s="9"/>
      <c r="X272" s="11"/>
      <c r="Y272" s="9"/>
      <c r="Z272" s="11"/>
      <c r="AA272" s="9"/>
      <c r="AB272" s="9"/>
      <c r="AC272" s="11"/>
      <c r="AD272" s="9"/>
      <c r="AE272" s="9"/>
      <c r="AF272" s="9"/>
      <c r="AG272" s="9"/>
      <c r="AH272" s="9"/>
      <c r="AI272" s="9"/>
      <c r="AJ272" s="9"/>
      <c r="AK272" s="9"/>
      <c r="AL272" s="9"/>
      <c r="AM272" s="11"/>
      <c r="AN272" s="11"/>
      <c r="AO272" s="9"/>
      <c r="AP272" s="9"/>
      <c r="AQ272" s="9"/>
    </row>
    <row r="273" spans="1:43" x14ac:dyDescent="0.25">
      <c r="A273" s="9"/>
      <c r="B273" s="10"/>
      <c r="C273" s="9"/>
      <c r="D273" s="9"/>
      <c r="E273" s="9"/>
      <c r="F273" s="9"/>
      <c r="G273" s="9"/>
      <c r="H273" s="9"/>
      <c r="I273" s="11"/>
      <c r="J273" s="10"/>
      <c r="K273" s="11"/>
      <c r="L273" s="9"/>
      <c r="M273" s="9"/>
      <c r="N273" s="9"/>
      <c r="O273" s="9"/>
      <c r="P273" s="9"/>
      <c r="Q273" s="9"/>
      <c r="R273" s="9"/>
      <c r="S273" s="9"/>
      <c r="T273" s="9"/>
      <c r="U273" s="9"/>
      <c r="V273" s="9"/>
      <c r="W273" s="9"/>
      <c r="X273" s="10"/>
      <c r="Y273" s="9"/>
      <c r="Z273" s="11"/>
      <c r="AA273" s="9"/>
      <c r="AB273" s="9"/>
      <c r="AC273" s="10"/>
      <c r="AD273" s="9"/>
      <c r="AE273" s="9"/>
      <c r="AF273" s="9"/>
      <c r="AG273" s="9"/>
      <c r="AH273" s="9"/>
      <c r="AI273" s="9"/>
      <c r="AJ273" s="9"/>
      <c r="AK273" s="9"/>
      <c r="AL273" s="9"/>
      <c r="AM273" s="11"/>
      <c r="AN273" s="10"/>
      <c r="AO273" s="9"/>
      <c r="AP273" s="9"/>
      <c r="AQ273" s="9"/>
    </row>
    <row r="274" spans="1:43" x14ac:dyDescent="0.25">
      <c r="A274" s="9"/>
      <c r="B274" s="10"/>
      <c r="C274" s="9"/>
      <c r="D274" s="9"/>
      <c r="E274" s="9"/>
      <c r="F274" s="9"/>
      <c r="G274" s="9"/>
      <c r="H274" s="9"/>
      <c r="I274" s="11"/>
      <c r="J274" s="10"/>
      <c r="K274" s="11"/>
      <c r="L274" s="9"/>
      <c r="M274" s="9"/>
      <c r="N274" s="9"/>
      <c r="O274" s="9"/>
      <c r="P274" s="9"/>
      <c r="Q274" s="9"/>
      <c r="R274" s="9"/>
      <c r="S274" s="9"/>
      <c r="T274" s="9"/>
      <c r="U274" s="9"/>
      <c r="V274" s="9"/>
      <c r="W274" s="9"/>
      <c r="X274" s="10"/>
      <c r="Y274" s="9"/>
      <c r="Z274" s="11"/>
      <c r="AA274" s="9"/>
      <c r="AB274" s="9"/>
      <c r="AC274" s="10"/>
      <c r="AD274" s="9"/>
      <c r="AE274" s="9"/>
      <c r="AF274" s="9"/>
      <c r="AG274" s="9"/>
      <c r="AH274" s="9"/>
      <c r="AI274" s="9"/>
      <c r="AJ274" s="9"/>
      <c r="AK274" s="9"/>
      <c r="AL274" s="9"/>
      <c r="AM274" s="11"/>
      <c r="AN274" s="11"/>
      <c r="AO274" s="9"/>
      <c r="AP274" s="9"/>
      <c r="AQ274" s="9"/>
    </row>
    <row r="275" spans="1:43" x14ac:dyDescent="0.25">
      <c r="A275" s="9"/>
      <c r="B275" s="10"/>
      <c r="C275" s="9"/>
      <c r="D275" s="9"/>
      <c r="E275" s="9"/>
      <c r="F275" s="9"/>
      <c r="G275" s="9"/>
      <c r="H275" s="9"/>
      <c r="I275" s="11"/>
      <c r="J275" s="10"/>
      <c r="K275" s="11"/>
      <c r="L275" s="9"/>
      <c r="M275" s="9"/>
      <c r="N275" s="9"/>
      <c r="O275" s="9"/>
      <c r="P275" s="9"/>
      <c r="Q275" s="9"/>
      <c r="R275" s="9"/>
      <c r="S275" s="9"/>
      <c r="T275" s="9"/>
      <c r="U275" s="9"/>
      <c r="V275" s="9"/>
      <c r="W275" s="9"/>
      <c r="X275" s="10"/>
      <c r="Y275" s="9"/>
      <c r="Z275" s="11"/>
      <c r="AA275" s="9"/>
      <c r="AB275" s="9"/>
      <c r="AC275" s="10"/>
      <c r="AD275" s="9"/>
      <c r="AE275" s="9"/>
      <c r="AF275" s="9"/>
      <c r="AG275" s="9"/>
      <c r="AH275" s="9"/>
      <c r="AI275" s="9"/>
      <c r="AJ275" s="9"/>
      <c r="AK275" s="9"/>
      <c r="AL275" s="9"/>
      <c r="AM275" s="11"/>
      <c r="AN275" s="11"/>
      <c r="AO275" s="9"/>
      <c r="AP275" s="9"/>
      <c r="AQ275" s="9"/>
    </row>
    <row r="276" spans="1:43" x14ac:dyDescent="0.25">
      <c r="A276" s="9"/>
      <c r="B276" s="10"/>
      <c r="C276" s="9"/>
      <c r="D276" s="9"/>
      <c r="E276" s="9"/>
      <c r="F276" s="9"/>
      <c r="G276" s="9"/>
      <c r="H276" s="9"/>
      <c r="I276" s="11"/>
      <c r="J276" s="10"/>
      <c r="K276" s="11"/>
      <c r="L276" s="9"/>
      <c r="M276" s="9"/>
      <c r="N276" s="9"/>
      <c r="O276" s="9"/>
      <c r="P276" s="9"/>
      <c r="Q276" s="9"/>
      <c r="R276" s="9"/>
      <c r="S276" s="9"/>
      <c r="T276" s="9"/>
      <c r="U276" s="9"/>
      <c r="V276" s="9"/>
      <c r="W276" s="9"/>
      <c r="X276" s="10"/>
      <c r="Y276" s="9"/>
      <c r="Z276" s="11"/>
      <c r="AA276" s="9"/>
      <c r="AB276" s="9"/>
      <c r="AC276" s="10"/>
      <c r="AD276" s="9"/>
      <c r="AE276" s="9"/>
      <c r="AF276" s="9"/>
      <c r="AG276" s="9"/>
      <c r="AH276" s="9"/>
      <c r="AI276" s="9"/>
      <c r="AJ276" s="9"/>
      <c r="AK276" s="9"/>
      <c r="AL276" s="9"/>
      <c r="AM276" s="11"/>
      <c r="AN276" s="10"/>
      <c r="AO276" s="9"/>
      <c r="AP276" s="9"/>
      <c r="AQ276" s="9"/>
    </row>
    <row r="277" spans="1:43" x14ac:dyDescent="0.25">
      <c r="A277" s="9"/>
      <c r="B277" s="10"/>
      <c r="C277" s="9"/>
      <c r="D277" s="9"/>
      <c r="E277" s="9"/>
      <c r="F277" s="9"/>
      <c r="G277" s="9"/>
      <c r="H277" s="9"/>
      <c r="I277" s="11"/>
      <c r="J277" s="10"/>
      <c r="K277" s="11"/>
      <c r="L277" s="9"/>
      <c r="M277" s="9"/>
      <c r="N277" s="9"/>
      <c r="O277" s="9"/>
      <c r="P277" s="9"/>
      <c r="Q277" s="9"/>
      <c r="R277" s="9"/>
      <c r="S277" s="9"/>
      <c r="T277" s="9"/>
      <c r="U277" s="9"/>
      <c r="V277" s="9"/>
      <c r="W277" s="9"/>
      <c r="X277" s="10"/>
      <c r="Y277" s="9"/>
      <c r="Z277" s="11"/>
      <c r="AA277" s="9"/>
      <c r="AB277" s="9"/>
      <c r="AC277" s="10"/>
      <c r="AD277" s="9"/>
      <c r="AE277" s="9"/>
      <c r="AF277" s="9"/>
      <c r="AG277" s="9"/>
      <c r="AH277" s="9"/>
      <c r="AI277" s="9"/>
      <c r="AJ277" s="9"/>
      <c r="AK277" s="9"/>
      <c r="AL277" s="9"/>
      <c r="AM277" s="11"/>
      <c r="AN277" s="11"/>
      <c r="AO277" s="9"/>
      <c r="AP277" s="9"/>
      <c r="AQ277" s="9"/>
    </row>
    <row r="278" spans="1:43" x14ac:dyDescent="0.25">
      <c r="A278" s="9"/>
      <c r="B278" s="10"/>
      <c r="C278" s="9"/>
      <c r="D278" s="9"/>
      <c r="E278" s="9"/>
      <c r="F278" s="9"/>
      <c r="G278" s="9"/>
      <c r="H278" s="9"/>
      <c r="I278" s="11"/>
      <c r="J278" s="11"/>
      <c r="K278" s="11"/>
      <c r="L278" s="9"/>
      <c r="M278" s="9"/>
      <c r="N278" s="9"/>
      <c r="O278" s="9"/>
      <c r="P278" s="9"/>
      <c r="Q278" s="9"/>
      <c r="R278" s="9"/>
      <c r="S278" s="9"/>
      <c r="T278" s="9"/>
      <c r="U278" s="9"/>
      <c r="V278" s="9"/>
      <c r="W278" s="9"/>
      <c r="X278" s="10"/>
      <c r="Y278" s="9"/>
      <c r="Z278" s="11"/>
      <c r="AA278" s="9"/>
      <c r="AB278" s="9"/>
      <c r="AC278" s="10"/>
      <c r="AD278" s="9"/>
      <c r="AE278" s="9"/>
      <c r="AF278" s="9"/>
      <c r="AG278" s="9"/>
      <c r="AH278" s="9"/>
      <c r="AI278" s="9"/>
      <c r="AJ278" s="9"/>
      <c r="AK278" s="9"/>
      <c r="AL278" s="9"/>
      <c r="AM278" s="11"/>
      <c r="AN278" s="11"/>
      <c r="AO278" s="9"/>
      <c r="AP278" s="9"/>
      <c r="AQ278" s="9"/>
    </row>
    <row r="279" spans="1:43" x14ac:dyDescent="0.25">
      <c r="A279" s="9"/>
      <c r="B279" s="10"/>
      <c r="C279" s="9"/>
      <c r="D279" s="9"/>
      <c r="E279" s="9"/>
      <c r="F279" s="9"/>
      <c r="G279" s="9"/>
      <c r="H279" s="9"/>
      <c r="I279" s="11"/>
      <c r="J279" s="10"/>
      <c r="K279" s="11"/>
      <c r="L279" s="9"/>
      <c r="M279" s="9"/>
      <c r="N279" s="9"/>
      <c r="O279" s="9"/>
      <c r="P279" s="9"/>
      <c r="Q279" s="9"/>
      <c r="R279" s="9"/>
      <c r="S279" s="9"/>
      <c r="T279" s="9"/>
      <c r="U279" s="9"/>
      <c r="V279" s="9"/>
      <c r="W279" s="9"/>
      <c r="X279" s="10"/>
      <c r="Y279" s="9"/>
      <c r="Z279" s="11"/>
      <c r="AA279" s="9"/>
      <c r="AB279" s="9"/>
      <c r="AC279" s="10"/>
      <c r="AD279" s="9"/>
      <c r="AE279" s="9"/>
      <c r="AF279" s="9"/>
      <c r="AG279" s="9"/>
      <c r="AH279" s="9"/>
      <c r="AI279" s="9"/>
      <c r="AJ279" s="9"/>
      <c r="AK279" s="9"/>
      <c r="AL279" s="9"/>
      <c r="AM279" s="11"/>
      <c r="AN279" s="11"/>
      <c r="AO279" s="9"/>
      <c r="AP279" s="9"/>
      <c r="AQ279" s="9"/>
    </row>
    <row r="280" spans="1:43" x14ac:dyDescent="0.25">
      <c r="A280" s="9"/>
      <c r="B280" s="10"/>
      <c r="C280" s="9"/>
      <c r="D280" s="9"/>
      <c r="E280" s="9"/>
      <c r="F280" s="9"/>
      <c r="G280" s="9"/>
      <c r="H280" s="9"/>
      <c r="I280" s="11"/>
      <c r="J280" s="11"/>
      <c r="K280" s="11"/>
      <c r="L280" s="9"/>
      <c r="M280" s="9"/>
      <c r="N280" s="9"/>
      <c r="O280" s="9"/>
      <c r="P280" s="9"/>
      <c r="Q280" s="9"/>
      <c r="R280" s="9"/>
      <c r="S280" s="9"/>
      <c r="T280" s="9"/>
      <c r="U280" s="9"/>
      <c r="V280" s="9"/>
      <c r="W280" s="9"/>
      <c r="X280" s="10"/>
      <c r="Y280" s="9"/>
      <c r="Z280" s="11"/>
      <c r="AA280" s="9"/>
      <c r="AB280" s="9"/>
      <c r="AC280" s="10"/>
      <c r="AD280" s="9"/>
      <c r="AE280" s="9"/>
      <c r="AF280" s="9"/>
      <c r="AG280" s="9"/>
      <c r="AH280" s="9"/>
      <c r="AI280" s="9"/>
      <c r="AJ280" s="9"/>
      <c r="AK280" s="9"/>
      <c r="AL280" s="9"/>
      <c r="AM280" s="11"/>
      <c r="AN280" s="11"/>
      <c r="AO280" s="9"/>
      <c r="AP280" s="9"/>
      <c r="AQ280" s="9"/>
    </row>
    <row r="281" spans="1:43" x14ac:dyDescent="0.25">
      <c r="A281" s="9"/>
      <c r="B281" s="10"/>
      <c r="C281" s="9"/>
      <c r="D281" s="9"/>
      <c r="E281" s="9"/>
      <c r="F281" s="9"/>
      <c r="G281" s="9"/>
      <c r="H281" s="9"/>
      <c r="I281" s="11"/>
      <c r="J281" s="11"/>
      <c r="K281" s="11"/>
      <c r="L281" s="9"/>
      <c r="M281" s="9"/>
      <c r="N281" s="9"/>
      <c r="O281" s="9"/>
      <c r="P281" s="9"/>
      <c r="Q281" s="9"/>
      <c r="R281" s="9"/>
      <c r="S281" s="9"/>
      <c r="T281" s="9"/>
      <c r="U281" s="9"/>
      <c r="V281" s="9"/>
      <c r="W281" s="9"/>
      <c r="X281" s="10"/>
      <c r="Y281" s="9"/>
      <c r="Z281" s="11"/>
      <c r="AA281" s="9"/>
      <c r="AB281" s="9"/>
      <c r="AC281" s="10"/>
      <c r="AD281" s="9"/>
      <c r="AE281" s="9"/>
      <c r="AF281" s="9"/>
      <c r="AG281" s="9"/>
      <c r="AH281" s="9"/>
      <c r="AI281" s="9"/>
      <c r="AJ281" s="9"/>
      <c r="AK281" s="9"/>
      <c r="AL281" s="9"/>
      <c r="AM281" s="11"/>
      <c r="AN281" s="11"/>
      <c r="AO281" s="9"/>
      <c r="AP281" s="9"/>
      <c r="AQ281" s="9"/>
    </row>
    <row r="282" spans="1:43" x14ac:dyDescent="0.25">
      <c r="A282" s="9"/>
      <c r="B282" s="10"/>
      <c r="C282" s="9"/>
      <c r="D282" s="9"/>
      <c r="E282" s="9"/>
      <c r="F282" s="9"/>
      <c r="G282" s="9"/>
      <c r="H282" s="9"/>
      <c r="I282" s="11"/>
      <c r="J282" s="11"/>
      <c r="K282" s="11"/>
      <c r="L282" s="9"/>
      <c r="M282" s="9"/>
      <c r="N282" s="9"/>
      <c r="O282" s="9"/>
      <c r="P282" s="9"/>
      <c r="Q282" s="9"/>
      <c r="R282" s="9"/>
      <c r="S282" s="9"/>
      <c r="T282" s="9"/>
      <c r="U282" s="9"/>
      <c r="V282" s="9"/>
      <c r="W282" s="9"/>
      <c r="X282" s="10"/>
      <c r="Y282" s="9"/>
      <c r="Z282" s="11"/>
      <c r="AA282" s="9"/>
      <c r="AB282" s="9"/>
      <c r="AC282" s="10"/>
      <c r="AD282" s="9"/>
      <c r="AE282" s="9"/>
      <c r="AF282" s="9"/>
      <c r="AG282" s="9"/>
      <c r="AH282" s="9"/>
      <c r="AI282" s="9"/>
      <c r="AJ282" s="9"/>
      <c r="AK282" s="9"/>
      <c r="AL282" s="9"/>
      <c r="AM282" s="11"/>
      <c r="AN282" s="11"/>
      <c r="AO282" s="9"/>
      <c r="AP282" s="9"/>
      <c r="AQ282" s="9"/>
    </row>
    <row r="283" spans="1:43" x14ac:dyDescent="0.25">
      <c r="A283" s="9"/>
      <c r="B283" s="10"/>
      <c r="C283" s="9"/>
      <c r="D283" s="9"/>
      <c r="E283" s="9"/>
      <c r="F283" s="9"/>
      <c r="G283" s="9"/>
      <c r="H283" s="9"/>
      <c r="I283" s="11"/>
      <c r="J283" s="11"/>
      <c r="K283" s="11"/>
      <c r="L283" s="9"/>
      <c r="M283" s="9"/>
      <c r="N283" s="9"/>
      <c r="O283" s="9"/>
      <c r="P283" s="9"/>
      <c r="Q283" s="9"/>
      <c r="R283" s="9"/>
      <c r="S283" s="9"/>
      <c r="T283" s="9"/>
      <c r="U283" s="9"/>
      <c r="V283" s="9"/>
      <c r="W283" s="9"/>
      <c r="X283" s="11"/>
      <c r="Y283" s="9"/>
      <c r="Z283" s="11"/>
      <c r="AA283" s="9"/>
      <c r="AB283" s="9"/>
      <c r="AC283" s="11"/>
      <c r="AD283" s="9"/>
      <c r="AE283" s="9"/>
      <c r="AF283" s="9"/>
      <c r="AG283" s="9"/>
      <c r="AH283" s="9"/>
      <c r="AI283" s="9"/>
      <c r="AJ283" s="9"/>
      <c r="AK283" s="9"/>
      <c r="AL283" s="9"/>
      <c r="AM283" s="11"/>
      <c r="AN283" s="11"/>
      <c r="AO283" s="9"/>
      <c r="AP283" s="9"/>
      <c r="AQ283" s="9"/>
    </row>
    <row r="284" spans="1:43" x14ac:dyDescent="0.25">
      <c r="A284" s="9"/>
      <c r="B284" s="10"/>
      <c r="C284" s="9"/>
      <c r="D284" s="9"/>
      <c r="E284" s="9"/>
      <c r="F284" s="9"/>
      <c r="G284" s="9"/>
      <c r="H284" s="9"/>
      <c r="I284" s="11"/>
      <c r="J284" s="11"/>
      <c r="K284" s="11"/>
      <c r="L284" s="9"/>
      <c r="M284" s="9"/>
      <c r="N284" s="9"/>
      <c r="O284" s="9"/>
      <c r="P284" s="9"/>
      <c r="Q284" s="9"/>
      <c r="R284" s="9"/>
      <c r="S284" s="9"/>
      <c r="T284" s="9"/>
      <c r="U284" s="9"/>
      <c r="V284" s="9"/>
      <c r="W284" s="9"/>
      <c r="X284" s="10"/>
      <c r="Y284" s="9"/>
      <c r="Z284" s="11"/>
      <c r="AA284" s="9"/>
      <c r="AB284" s="9"/>
      <c r="AC284" s="10"/>
      <c r="AD284" s="9"/>
      <c r="AE284" s="9"/>
      <c r="AF284" s="9"/>
      <c r="AG284" s="9"/>
      <c r="AH284" s="9"/>
      <c r="AI284" s="9"/>
      <c r="AJ284" s="9"/>
      <c r="AK284" s="9"/>
      <c r="AL284" s="9"/>
      <c r="AM284" s="11"/>
      <c r="AN284" s="11"/>
      <c r="AO284" s="9"/>
      <c r="AP284" s="9"/>
      <c r="AQ284" s="9"/>
    </row>
    <row r="285" spans="1:43" x14ac:dyDescent="0.25">
      <c r="A285" s="9"/>
      <c r="B285" s="10"/>
      <c r="C285" s="9"/>
      <c r="D285" s="9"/>
      <c r="E285" s="9"/>
      <c r="F285" s="9"/>
      <c r="G285" s="9"/>
      <c r="H285" s="9"/>
      <c r="I285" s="11"/>
      <c r="J285" s="11"/>
      <c r="K285" s="11"/>
      <c r="L285" s="9"/>
      <c r="M285" s="9"/>
      <c r="N285" s="9"/>
      <c r="O285" s="9"/>
      <c r="P285" s="9"/>
      <c r="Q285" s="9"/>
      <c r="R285" s="9"/>
      <c r="S285" s="9"/>
      <c r="T285" s="9"/>
      <c r="U285" s="9"/>
      <c r="V285" s="9"/>
      <c r="W285" s="9"/>
      <c r="X285" s="10"/>
      <c r="Y285" s="9"/>
      <c r="Z285" s="11"/>
      <c r="AA285" s="9"/>
      <c r="AB285" s="9"/>
      <c r="AC285" s="11"/>
      <c r="AD285" s="9"/>
      <c r="AE285" s="9"/>
      <c r="AF285" s="9"/>
      <c r="AG285" s="9"/>
      <c r="AH285" s="9"/>
      <c r="AI285" s="9"/>
      <c r="AJ285" s="9"/>
      <c r="AK285" s="9"/>
      <c r="AL285" s="9"/>
      <c r="AM285" s="11"/>
      <c r="AN285" s="11"/>
      <c r="AO285" s="9"/>
      <c r="AP285" s="9"/>
      <c r="AQ285" s="9"/>
    </row>
    <row r="286" spans="1:43" x14ac:dyDescent="0.25">
      <c r="A286" s="9"/>
      <c r="B286" s="10"/>
      <c r="C286" s="9"/>
      <c r="D286" s="9"/>
      <c r="E286" s="9"/>
      <c r="F286" s="9"/>
      <c r="G286" s="9"/>
      <c r="H286" s="9"/>
      <c r="I286" s="11"/>
      <c r="J286" s="10"/>
      <c r="K286" s="11"/>
      <c r="L286" s="9"/>
      <c r="M286" s="9"/>
      <c r="N286" s="9"/>
      <c r="O286" s="9"/>
      <c r="P286" s="9"/>
      <c r="Q286" s="9"/>
      <c r="R286" s="9"/>
      <c r="S286" s="9"/>
      <c r="T286" s="9"/>
      <c r="U286" s="9"/>
      <c r="V286" s="9"/>
      <c r="W286" s="9"/>
      <c r="X286" s="10"/>
      <c r="Y286" s="9"/>
      <c r="Z286" s="11"/>
      <c r="AA286" s="9"/>
      <c r="AB286" s="9"/>
      <c r="AC286" s="10"/>
      <c r="AD286" s="9"/>
      <c r="AE286" s="9"/>
      <c r="AF286" s="9"/>
      <c r="AG286" s="9"/>
      <c r="AH286" s="9"/>
      <c r="AI286" s="9"/>
      <c r="AJ286" s="9"/>
      <c r="AK286" s="9"/>
      <c r="AL286" s="9"/>
      <c r="AM286" s="11"/>
      <c r="AN286" s="11"/>
      <c r="AO286" s="9"/>
      <c r="AP286" s="9"/>
      <c r="AQ286" s="9"/>
    </row>
    <row r="287" spans="1:43" x14ac:dyDescent="0.25">
      <c r="A287" s="9"/>
      <c r="B287" s="10"/>
      <c r="C287" s="9"/>
      <c r="D287" s="9"/>
      <c r="E287" s="9"/>
      <c r="F287" s="9"/>
      <c r="G287" s="9"/>
      <c r="H287" s="9"/>
      <c r="I287" s="11"/>
      <c r="J287" s="11"/>
      <c r="K287" s="11"/>
      <c r="L287" s="9"/>
      <c r="M287" s="9"/>
      <c r="N287" s="9"/>
      <c r="O287" s="9"/>
      <c r="P287" s="9"/>
      <c r="Q287" s="9"/>
      <c r="R287" s="9"/>
      <c r="S287" s="9"/>
      <c r="T287" s="9"/>
      <c r="U287" s="9"/>
      <c r="V287" s="9"/>
      <c r="W287" s="9"/>
      <c r="X287" s="10"/>
      <c r="Y287" s="9"/>
      <c r="Z287" s="11"/>
      <c r="AA287" s="9"/>
      <c r="AB287" s="9"/>
      <c r="AC287" s="10"/>
      <c r="AD287" s="9"/>
      <c r="AE287" s="9"/>
      <c r="AF287" s="9"/>
      <c r="AG287" s="9"/>
      <c r="AH287" s="9"/>
      <c r="AI287" s="9"/>
      <c r="AJ287" s="9"/>
      <c r="AK287" s="9"/>
      <c r="AL287" s="9"/>
      <c r="AM287" s="11"/>
      <c r="AN287" s="11"/>
      <c r="AO287" s="9"/>
      <c r="AP287" s="9"/>
      <c r="AQ287" s="9"/>
    </row>
    <row r="288" spans="1:43" x14ac:dyDescent="0.25">
      <c r="A288" s="9"/>
      <c r="B288" s="10"/>
      <c r="C288" s="9"/>
      <c r="D288" s="9"/>
      <c r="E288" s="9"/>
      <c r="F288" s="9"/>
      <c r="G288" s="9"/>
      <c r="H288" s="9"/>
      <c r="I288" s="11"/>
      <c r="J288" s="10"/>
      <c r="K288" s="11"/>
      <c r="L288" s="9"/>
      <c r="M288" s="9"/>
      <c r="N288" s="9"/>
      <c r="O288" s="9"/>
      <c r="P288" s="9"/>
      <c r="Q288" s="9"/>
      <c r="R288" s="9"/>
      <c r="S288" s="9"/>
      <c r="T288" s="9"/>
      <c r="U288" s="9"/>
      <c r="V288" s="9"/>
      <c r="W288" s="9"/>
      <c r="X288" s="10"/>
      <c r="Y288" s="9"/>
      <c r="Z288" s="11"/>
      <c r="AA288" s="9"/>
      <c r="AB288" s="9"/>
      <c r="AC288" s="10"/>
      <c r="AD288" s="9"/>
      <c r="AE288" s="9"/>
      <c r="AF288" s="9"/>
      <c r="AG288" s="9"/>
      <c r="AH288" s="9"/>
      <c r="AI288" s="9"/>
      <c r="AJ288" s="9"/>
      <c r="AK288" s="9"/>
      <c r="AL288" s="9"/>
      <c r="AM288" s="11"/>
      <c r="AN288" s="11"/>
      <c r="AO288" s="9"/>
      <c r="AP288" s="9"/>
      <c r="AQ288" s="9"/>
    </row>
    <row r="289" spans="1:43" x14ac:dyDescent="0.25">
      <c r="A289" s="9"/>
      <c r="B289" s="10"/>
      <c r="C289" s="9"/>
      <c r="D289" s="9"/>
      <c r="E289" s="9"/>
      <c r="F289" s="9"/>
      <c r="G289" s="9"/>
      <c r="H289" s="9"/>
      <c r="I289" s="11"/>
      <c r="J289" s="10"/>
      <c r="K289" s="11"/>
      <c r="L289" s="9"/>
      <c r="M289" s="9"/>
      <c r="N289" s="9"/>
      <c r="O289" s="9"/>
      <c r="P289" s="9"/>
      <c r="Q289" s="9"/>
      <c r="R289" s="9"/>
      <c r="S289" s="9"/>
      <c r="T289" s="9"/>
      <c r="U289" s="9"/>
      <c r="V289" s="9"/>
      <c r="W289" s="9"/>
      <c r="X289" s="10"/>
      <c r="Y289" s="9"/>
      <c r="Z289" s="11"/>
      <c r="AA289" s="9"/>
      <c r="AB289" s="9"/>
      <c r="AC289" s="10"/>
      <c r="AD289" s="9"/>
      <c r="AE289" s="9"/>
      <c r="AF289" s="9"/>
      <c r="AG289" s="9"/>
      <c r="AH289" s="9"/>
      <c r="AI289" s="9"/>
      <c r="AJ289" s="9"/>
      <c r="AK289" s="9"/>
      <c r="AL289" s="9"/>
      <c r="AM289" s="11"/>
      <c r="AN289" s="11"/>
      <c r="AO289" s="9"/>
      <c r="AP289" s="9"/>
      <c r="AQ289" s="9"/>
    </row>
    <row r="290" spans="1:43" x14ac:dyDescent="0.25">
      <c r="A290" s="9"/>
      <c r="B290" s="10"/>
      <c r="C290" s="9"/>
      <c r="D290" s="9"/>
      <c r="E290" s="9"/>
      <c r="F290" s="9"/>
      <c r="G290" s="9"/>
      <c r="H290" s="9"/>
      <c r="I290" s="11"/>
      <c r="J290" s="10"/>
      <c r="K290" s="11"/>
      <c r="L290" s="9"/>
      <c r="M290" s="9"/>
      <c r="N290" s="9"/>
      <c r="O290" s="9"/>
      <c r="P290" s="9"/>
      <c r="Q290" s="9"/>
      <c r="R290" s="9"/>
      <c r="S290" s="9"/>
      <c r="T290" s="9"/>
      <c r="U290" s="9"/>
      <c r="V290" s="9"/>
      <c r="W290" s="9"/>
      <c r="X290" s="10"/>
      <c r="Y290" s="9"/>
      <c r="Z290" s="11"/>
      <c r="AA290" s="9"/>
      <c r="AB290" s="9"/>
      <c r="AC290" s="10"/>
      <c r="AD290" s="9"/>
      <c r="AE290" s="9"/>
      <c r="AF290" s="9"/>
      <c r="AG290" s="9"/>
      <c r="AH290" s="9"/>
      <c r="AI290" s="9"/>
      <c r="AJ290" s="9"/>
      <c r="AK290" s="9"/>
      <c r="AL290" s="9"/>
      <c r="AM290" s="11"/>
      <c r="AN290" s="11"/>
      <c r="AO290" s="9"/>
      <c r="AP290" s="9"/>
      <c r="AQ290" s="9"/>
    </row>
    <row r="291" spans="1:43" x14ac:dyDescent="0.25">
      <c r="A291" s="9"/>
      <c r="B291" s="10"/>
      <c r="C291" s="9"/>
      <c r="D291" s="9"/>
      <c r="E291" s="9"/>
      <c r="F291" s="9"/>
      <c r="G291" s="9"/>
      <c r="H291" s="9"/>
      <c r="I291" s="11"/>
      <c r="J291" s="10"/>
      <c r="K291" s="11"/>
      <c r="L291" s="9"/>
      <c r="M291" s="9"/>
      <c r="N291" s="9"/>
      <c r="O291" s="9"/>
      <c r="P291" s="9"/>
      <c r="Q291" s="9"/>
      <c r="R291" s="9"/>
      <c r="S291" s="9"/>
      <c r="T291" s="9"/>
      <c r="U291" s="9"/>
      <c r="V291" s="9"/>
      <c r="W291" s="9"/>
      <c r="X291" s="10"/>
      <c r="Y291" s="9"/>
      <c r="Z291" s="11"/>
      <c r="AA291" s="9"/>
      <c r="AB291" s="9"/>
      <c r="AC291" s="10"/>
      <c r="AD291" s="9"/>
      <c r="AE291" s="9"/>
      <c r="AF291" s="9"/>
      <c r="AG291" s="9"/>
      <c r="AH291" s="9"/>
      <c r="AI291" s="9"/>
      <c r="AJ291" s="9"/>
      <c r="AK291" s="9"/>
      <c r="AL291" s="9"/>
      <c r="AM291" s="11"/>
      <c r="AN291" s="10"/>
      <c r="AO291" s="9"/>
      <c r="AP291" s="9"/>
      <c r="AQ291" s="9"/>
    </row>
    <row r="292" spans="1:43" x14ac:dyDescent="0.25">
      <c r="A292" s="9"/>
      <c r="B292" s="10"/>
      <c r="C292" s="9"/>
      <c r="D292" s="9"/>
      <c r="E292" s="9"/>
      <c r="F292" s="9"/>
      <c r="G292" s="9"/>
      <c r="H292" s="9"/>
      <c r="I292" s="11"/>
      <c r="J292" s="11"/>
      <c r="K292" s="11"/>
      <c r="L292" s="9"/>
      <c r="M292" s="9"/>
      <c r="N292" s="9"/>
      <c r="O292" s="9"/>
      <c r="P292" s="9"/>
      <c r="Q292" s="9"/>
      <c r="R292" s="9"/>
      <c r="S292" s="9"/>
      <c r="T292" s="9"/>
      <c r="U292" s="9"/>
      <c r="V292" s="9"/>
      <c r="W292" s="9"/>
      <c r="X292" s="10"/>
      <c r="Y292" s="9"/>
      <c r="Z292" s="11"/>
      <c r="AA292" s="9"/>
      <c r="AB292" s="9"/>
      <c r="AC292" s="10"/>
      <c r="AD292" s="9"/>
      <c r="AE292" s="9"/>
      <c r="AF292" s="9"/>
      <c r="AG292" s="9"/>
      <c r="AH292" s="9"/>
      <c r="AI292" s="9"/>
      <c r="AJ292" s="9"/>
      <c r="AK292" s="9"/>
      <c r="AL292" s="9"/>
      <c r="AM292" s="11"/>
      <c r="AN292" s="11"/>
      <c r="AO292" s="9"/>
      <c r="AP292" s="9"/>
      <c r="AQ292" s="9"/>
    </row>
    <row r="293" spans="1:43" x14ac:dyDescent="0.25">
      <c r="A293" s="9"/>
      <c r="B293" s="10"/>
      <c r="C293" s="9"/>
      <c r="D293" s="9"/>
      <c r="E293" s="9"/>
      <c r="F293" s="9"/>
      <c r="G293" s="9"/>
      <c r="H293" s="9"/>
      <c r="I293" s="11"/>
      <c r="J293" s="11"/>
      <c r="K293" s="11"/>
      <c r="L293" s="9"/>
      <c r="M293" s="9"/>
      <c r="N293" s="9"/>
      <c r="O293" s="9"/>
      <c r="P293" s="9"/>
      <c r="Q293" s="9"/>
      <c r="R293" s="9"/>
      <c r="S293" s="9"/>
      <c r="T293" s="9"/>
      <c r="U293" s="9"/>
      <c r="V293" s="9"/>
      <c r="W293" s="9"/>
      <c r="X293" s="10"/>
      <c r="Y293" s="9"/>
      <c r="Z293" s="11"/>
      <c r="AA293" s="9"/>
      <c r="AB293" s="9"/>
      <c r="AC293" s="10"/>
      <c r="AD293" s="9"/>
      <c r="AE293" s="9"/>
      <c r="AF293" s="9"/>
      <c r="AG293" s="9"/>
      <c r="AH293" s="9"/>
      <c r="AI293" s="9"/>
      <c r="AJ293" s="9"/>
      <c r="AK293" s="9"/>
      <c r="AL293" s="9"/>
      <c r="AM293" s="11"/>
      <c r="AN293" s="11"/>
      <c r="AO293" s="9"/>
      <c r="AP293" s="9"/>
      <c r="AQ293" s="9"/>
    </row>
    <row r="294" spans="1:43" x14ac:dyDescent="0.25">
      <c r="A294" s="9"/>
      <c r="B294" s="10"/>
      <c r="C294" s="9"/>
      <c r="D294" s="9"/>
      <c r="E294" s="9"/>
      <c r="F294" s="9"/>
      <c r="G294" s="9"/>
      <c r="H294" s="9"/>
      <c r="I294" s="11"/>
      <c r="J294" s="10"/>
      <c r="K294" s="11"/>
      <c r="L294" s="9"/>
      <c r="M294" s="9"/>
      <c r="N294" s="9"/>
      <c r="O294" s="9"/>
      <c r="P294" s="9"/>
      <c r="Q294" s="9"/>
      <c r="R294" s="9"/>
      <c r="S294" s="9"/>
      <c r="T294" s="9"/>
      <c r="U294" s="9"/>
      <c r="V294" s="9"/>
      <c r="W294" s="9"/>
      <c r="X294" s="10"/>
      <c r="Y294" s="9"/>
      <c r="Z294" s="11"/>
      <c r="AA294" s="9"/>
      <c r="AB294" s="9"/>
      <c r="AC294" s="10"/>
      <c r="AD294" s="9"/>
      <c r="AE294" s="9"/>
      <c r="AF294" s="9"/>
      <c r="AG294" s="9"/>
      <c r="AH294" s="9"/>
      <c r="AI294" s="9"/>
      <c r="AJ294" s="9"/>
      <c r="AK294" s="9"/>
      <c r="AL294" s="9"/>
      <c r="AM294" s="11"/>
      <c r="AN294" s="11"/>
      <c r="AO294" s="9"/>
      <c r="AP294" s="9"/>
      <c r="AQ294" s="9"/>
    </row>
    <row r="295" spans="1:43" x14ac:dyDescent="0.25">
      <c r="A295" s="9"/>
      <c r="B295" s="10"/>
      <c r="C295" s="9"/>
      <c r="D295" s="9"/>
      <c r="E295" s="9"/>
      <c r="F295" s="9"/>
      <c r="G295" s="9"/>
      <c r="H295" s="9"/>
      <c r="I295" s="11"/>
      <c r="J295" s="10"/>
      <c r="K295" s="11"/>
      <c r="L295" s="9"/>
      <c r="M295" s="9"/>
      <c r="N295" s="9"/>
      <c r="O295" s="9"/>
      <c r="P295" s="9"/>
      <c r="Q295" s="9"/>
      <c r="R295" s="9"/>
      <c r="S295" s="9"/>
      <c r="T295" s="9"/>
      <c r="U295" s="9"/>
      <c r="V295" s="9"/>
      <c r="W295" s="9"/>
      <c r="X295" s="10"/>
      <c r="Y295" s="9"/>
      <c r="Z295" s="11"/>
      <c r="AA295" s="9"/>
      <c r="AB295" s="9"/>
      <c r="AC295" s="10"/>
      <c r="AD295" s="9"/>
      <c r="AE295" s="9"/>
      <c r="AF295" s="9"/>
      <c r="AG295" s="9"/>
      <c r="AH295" s="9"/>
      <c r="AI295" s="9"/>
      <c r="AJ295" s="9"/>
      <c r="AK295" s="9"/>
      <c r="AL295" s="9"/>
      <c r="AM295" s="11"/>
      <c r="AN295" s="11"/>
      <c r="AO295" s="9"/>
      <c r="AP295" s="9"/>
      <c r="AQ295" s="9"/>
    </row>
    <row r="296" spans="1:43" x14ac:dyDescent="0.25">
      <c r="A296" s="9"/>
      <c r="B296" s="10"/>
      <c r="C296" s="9"/>
      <c r="D296" s="9"/>
      <c r="E296" s="9"/>
      <c r="F296" s="9"/>
      <c r="G296" s="9"/>
      <c r="H296" s="9"/>
      <c r="I296" s="11"/>
      <c r="J296" s="10"/>
      <c r="K296" s="11"/>
      <c r="L296" s="9"/>
      <c r="M296" s="9"/>
      <c r="N296" s="9"/>
      <c r="O296" s="9"/>
      <c r="P296" s="9"/>
      <c r="Q296" s="9"/>
      <c r="R296" s="9"/>
      <c r="S296" s="9"/>
      <c r="T296" s="9"/>
      <c r="U296" s="9"/>
      <c r="V296" s="9"/>
      <c r="W296" s="9"/>
      <c r="X296" s="10"/>
      <c r="Y296" s="9"/>
      <c r="Z296" s="11"/>
      <c r="AA296" s="9"/>
      <c r="AB296" s="9"/>
      <c r="AC296" s="10"/>
      <c r="AD296" s="9"/>
      <c r="AE296" s="9"/>
      <c r="AF296" s="9"/>
      <c r="AG296" s="9"/>
      <c r="AH296" s="9"/>
      <c r="AI296" s="9"/>
      <c r="AJ296" s="9"/>
      <c r="AK296" s="9"/>
      <c r="AL296" s="9"/>
      <c r="AM296" s="11"/>
      <c r="AN296" s="11"/>
      <c r="AO296" s="9"/>
      <c r="AP296" s="9"/>
      <c r="AQ296" s="9"/>
    </row>
    <row r="297" spans="1:43" x14ac:dyDescent="0.25">
      <c r="A297" s="9"/>
      <c r="B297" s="10"/>
      <c r="C297" s="9"/>
      <c r="D297" s="9"/>
      <c r="E297" s="9"/>
      <c r="F297" s="9"/>
      <c r="G297" s="9"/>
      <c r="H297" s="9"/>
      <c r="I297" s="11"/>
      <c r="J297" s="11"/>
      <c r="K297" s="11"/>
      <c r="L297" s="9"/>
      <c r="M297" s="9"/>
      <c r="N297" s="9"/>
      <c r="O297" s="9"/>
      <c r="P297" s="9"/>
      <c r="Q297" s="9"/>
      <c r="R297" s="9"/>
      <c r="S297" s="9"/>
      <c r="T297" s="9"/>
      <c r="U297" s="9"/>
      <c r="V297" s="9"/>
      <c r="W297" s="9"/>
      <c r="X297" s="10"/>
      <c r="Y297" s="9"/>
      <c r="Z297" s="11"/>
      <c r="AA297" s="9"/>
      <c r="AB297" s="9"/>
      <c r="AC297" s="10"/>
      <c r="AD297" s="9"/>
      <c r="AE297" s="9"/>
      <c r="AF297" s="9"/>
      <c r="AG297" s="9"/>
      <c r="AH297" s="9"/>
      <c r="AI297" s="9"/>
      <c r="AJ297" s="9"/>
      <c r="AK297" s="9"/>
      <c r="AL297" s="9"/>
      <c r="AM297" s="11"/>
      <c r="AN297" s="11"/>
      <c r="AO297" s="9"/>
      <c r="AP297" s="9"/>
      <c r="AQ297" s="9"/>
    </row>
    <row r="298" spans="1:43" x14ac:dyDescent="0.25">
      <c r="A298" s="9"/>
      <c r="B298" s="10"/>
      <c r="C298" s="9"/>
      <c r="D298" s="9"/>
      <c r="E298" s="9"/>
      <c r="F298" s="9"/>
      <c r="G298" s="9"/>
      <c r="H298" s="9"/>
      <c r="I298" s="11"/>
      <c r="J298" s="10"/>
      <c r="K298" s="11"/>
      <c r="L298" s="9"/>
      <c r="M298" s="9"/>
      <c r="N298" s="9"/>
      <c r="O298" s="9"/>
      <c r="P298" s="9"/>
      <c r="Q298" s="9"/>
      <c r="R298" s="9"/>
      <c r="S298" s="9"/>
      <c r="T298" s="9"/>
      <c r="U298" s="9"/>
      <c r="V298" s="9"/>
      <c r="W298" s="9"/>
      <c r="X298" s="10"/>
      <c r="Y298" s="9"/>
      <c r="Z298" s="11"/>
      <c r="AA298" s="9"/>
      <c r="AB298" s="9"/>
      <c r="AC298" s="10"/>
      <c r="AD298" s="9"/>
      <c r="AE298" s="9"/>
      <c r="AF298" s="9"/>
      <c r="AG298" s="9"/>
      <c r="AH298" s="9"/>
      <c r="AI298" s="9"/>
      <c r="AJ298" s="9"/>
      <c r="AK298" s="9"/>
      <c r="AL298" s="9"/>
      <c r="AM298" s="11"/>
      <c r="AN298" s="10"/>
      <c r="AO298" s="9"/>
      <c r="AP298" s="9"/>
      <c r="AQ298" s="9"/>
    </row>
    <row r="299" spans="1:43" x14ac:dyDescent="0.25">
      <c r="A299" s="9"/>
      <c r="B299" s="10"/>
      <c r="C299" s="9"/>
      <c r="D299" s="9"/>
      <c r="E299" s="9"/>
      <c r="F299" s="9"/>
      <c r="G299" s="9"/>
      <c r="H299" s="9"/>
      <c r="I299" s="11"/>
      <c r="J299" s="10"/>
      <c r="K299" s="11"/>
      <c r="L299" s="9"/>
      <c r="M299" s="9"/>
      <c r="N299" s="9"/>
      <c r="O299" s="9"/>
      <c r="P299" s="9"/>
      <c r="Q299" s="9"/>
      <c r="R299" s="9"/>
      <c r="S299" s="9"/>
      <c r="T299" s="9"/>
      <c r="U299" s="9"/>
      <c r="V299" s="9"/>
      <c r="W299" s="9"/>
      <c r="X299" s="10"/>
      <c r="Y299" s="9"/>
      <c r="Z299" s="11"/>
      <c r="AA299" s="9"/>
      <c r="AB299" s="9"/>
      <c r="AC299" s="10"/>
      <c r="AD299" s="9"/>
      <c r="AE299" s="9"/>
      <c r="AF299" s="9"/>
      <c r="AG299" s="9"/>
      <c r="AH299" s="9"/>
      <c r="AI299" s="9"/>
      <c r="AJ299" s="9"/>
      <c r="AK299" s="9"/>
      <c r="AL299" s="9"/>
      <c r="AM299" s="11"/>
      <c r="AN299" s="11"/>
      <c r="AO299" s="9"/>
      <c r="AP299" s="9"/>
      <c r="AQ299" s="9"/>
    </row>
    <row r="300" spans="1:43" x14ac:dyDescent="0.25">
      <c r="A300" s="9"/>
      <c r="B300" s="10"/>
      <c r="C300" s="9"/>
      <c r="D300" s="9"/>
      <c r="E300" s="9"/>
      <c r="F300" s="9"/>
      <c r="G300" s="9"/>
      <c r="H300" s="9"/>
      <c r="I300" s="11"/>
      <c r="J300" s="10"/>
      <c r="K300" s="10"/>
      <c r="L300" s="9"/>
      <c r="M300" s="9"/>
      <c r="N300" s="9"/>
      <c r="O300" s="9"/>
      <c r="P300" s="9"/>
      <c r="Q300" s="9"/>
      <c r="R300" s="9"/>
      <c r="S300" s="9"/>
      <c r="T300" s="9"/>
      <c r="U300" s="9"/>
      <c r="V300" s="9"/>
      <c r="W300" s="9"/>
      <c r="X300" s="10"/>
      <c r="Y300" s="9"/>
      <c r="Z300" s="10"/>
      <c r="AA300" s="9"/>
      <c r="AB300" s="9"/>
      <c r="AC300" s="10"/>
      <c r="AD300" s="9"/>
      <c r="AE300" s="9"/>
      <c r="AF300" s="9"/>
      <c r="AG300" s="9"/>
      <c r="AH300" s="9"/>
      <c r="AI300" s="9"/>
      <c r="AJ300" s="9"/>
      <c r="AK300" s="9"/>
      <c r="AL300" s="9"/>
      <c r="AM300" s="10"/>
      <c r="AN300" s="11"/>
      <c r="AO300" s="9"/>
      <c r="AP300" s="9"/>
      <c r="AQ300" s="9"/>
    </row>
    <row r="301" spans="1:43" x14ac:dyDescent="0.25">
      <c r="A301" s="9"/>
      <c r="B301" s="10"/>
      <c r="C301" s="9"/>
      <c r="D301" s="9"/>
      <c r="E301" s="9"/>
      <c r="F301" s="9"/>
      <c r="G301" s="9"/>
      <c r="H301" s="9"/>
      <c r="I301" s="11"/>
      <c r="J301" s="10"/>
      <c r="K301" s="11"/>
      <c r="L301" s="9"/>
      <c r="M301" s="9"/>
      <c r="N301" s="9"/>
      <c r="O301" s="9"/>
      <c r="P301" s="9"/>
      <c r="Q301" s="9"/>
      <c r="R301" s="9"/>
      <c r="S301" s="9"/>
      <c r="T301" s="9"/>
      <c r="U301" s="9"/>
      <c r="V301" s="9"/>
      <c r="W301" s="9"/>
      <c r="X301" s="10"/>
      <c r="Y301" s="9"/>
      <c r="Z301" s="11"/>
      <c r="AA301" s="9"/>
      <c r="AB301" s="9"/>
      <c r="AC301" s="10"/>
      <c r="AD301" s="9"/>
      <c r="AE301" s="9"/>
      <c r="AF301" s="9"/>
      <c r="AG301" s="9"/>
      <c r="AH301" s="9"/>
      <c r="AI301" s="9"/>
      <c r="AJ301" s="9"/>
      <c r="AK301" s="9"/>
      <c r="AL301" s="9"/>
      <c r="AM301" s="11"/>
      <c r="AN301" s="11"/>
      <c r="AO301" s="9"/>
      <c r="AP301" s="9"/>
      <c r="AQ301" s="9"/>
    </row>
    <row r="302" spans="1:43" x14ac:dyDescent="0.25">
      <c r="A302" s="9"/>
      <c r="B302" s="10"/>
      <c r="C302" s="9"/>
      <c r="D302" s="9"/>
      <c r="E302" s="9"/>
      <c r="F302" s="9"/>
      <c r="G302" s="9"/>
      <c r="H302" s="9"/>
      <c r="I302" s="11"/>
      <c r="J302" s="11"/>
      <c r="K302" s="11"/>
      <c r="L302" s="9"/>
      <c r="M302" s="9"/>
      <c r="N302" s="9"/>
      <c r="O302" s="9"/>
      <c r="P302" s="9"/>
      <c r="Q302" s="9"/>
      <c r="R302" s="9"/>
      <c r="S302" s="9"/>
      <c r="T302" s="9"/>
      <c r="U302" s="9"/>
      <c r="V302" s="9"/>
      <c r="W302" s="9"/>
      <c r="X302" s="10"/>
      <c r="Y302" s="9"/>
      <c r="Z302" s="11"/>
      <c r="AA302" s="9"/>
      <c r="AB302" s="9"/>
      <c r="AC302" s="10"/>
      <c r="AD302" s="9"/>
      <c r="AE302" s="9"/>
      <c r="AF302" s="9"/>
      <c r="AG302" s="9"/>
      <c r="AH302" s="9"/>
      <c r="AI302" s="9"/>
      <c r="AJ302" s="9"/>
      <c r="AK302" s="9"/>
      <c r="AL302" s="9"/>
      <c r="AM302" s="11"/>
      <c r="AN302" s="11"/>
      <c r="AO302" s="9"/>
      <c r="AP302" s="9"/>
      <c r="AQ302" s="9"/>
    </row>
    <row r="303" spans="1:43" x14ac:dyDescent="0.25">
      <c r="A303" s="9"/>
      <c r="B303" s="10"/>
      <c r="C303" s="9"/>
      <c r="D303" s="9"/>
      <c r="E303" s="9"/>
      <c r="F303" s="9"/>
      <c r="G303" s="9"/>
      <c r="H303" s="9"/>
      <c r="I303" s="11"/>
      <c r="J303" s="10"/>
      <c r="K303" s="11"/>
      <c r="L303" s="9"/>
      <c r="M303" s="9"/>
      <c r="N303" s="9"/>
      <c r="O303" s="9"/>
      <c r="P303" s="9"/>
      <c r="Q303" s="9"/>
      <c r="R303" s="9"/>
      <c r="S303" s="9"/>
      <c r="T303" s="9"/>
      <c r="U303" s="9"/>
      <c r="V303" s="9"/>
      <c r="W303" s="9"/>
      <c r="X303" s="10"/>
      <c r="Y303" s="9"/>
      <c r="Z303" s="11"/>
      <c r="AA303" s="9"/>
      <c r="AB303" s="9"/>
      <c r="AC303" s="10"/>
      <c r="AD303" s="9"/>
      <c r="AE303" s="9"/>
      <c r="AF303" s="9"/>
      <c r="AG303" s="9"/>
      <c r="AH303" s="9"/>
      <c r="AI303" s="9"/>
      <c r="AJ303" s="9"/>
      <c r="AK303" s="9"/>
      <c r="AL303" s="9"/>
      <c r="AM303" s="11"/>
      <c r="AN303" s="10"/>
      <c r="AO303" s="9"/>
      <c r="AP303" s="9"/>
      <c r="AQ303" s="9"/>
    </row>
    <row r="304" spans="1:43" x14ac:dyDescent="0.25">
      <c r="A304" s="9"/>
      <c r="B304" s="10"/>
      <c r="C304" s="9"/>
      <c r="D304" s="9"/>
      <c r="E304" s="9"/>
      <c r="F304" s="9"/>
      <c r="G304" s="9"/>
      <c r="H304" s="9"/>
      <c r="I304" s="11"/>
      <c r="J304" s="10"/>
      <c r="K304" s="11"/>
      <c r="L304" s="9"/>
      <c r="M304" s="9"/>
      <c r="N304" s="9"/>
      <c r="O304" s="9"/>
      <c r="P304" s="9"/>
      <c r="Q304" s="9"/>
      <c r="R304" s="9"/>
      <c r="S304" s="9"/>
      <c r="T304" s="9"/>
      <c r="U304" s="9"/>
      <c r="V304" s="9"/>
      <c r="W304" s="9"/>
      <c r="X304" s="10"/>
      <c r="Y304" s="9"/>
      <c r="Z304" s="11"/>
      <c r="AA304" s="9"/>
      <c r="AB304" s="9"/>
      <c r="AC304" s="10"/>
      <c r="AD304" s="9"/>
      <c r="AE304" s="9"/>
      <c r="AF304" s="9"/>
      <c r="AG304" s="9"/>
      <c r="AH304" s="9"/>
      <c r="AI304" s="9"/>
      <c r="AJ304" s="9"/>
      <c r="AK304" s="9"/>
      <c r="AL304" s="9"/>
      <c r="AM304" s="11"/>
      <c r="AN304" s="11"/>
      <c r="AO304" s="9"/>
      <c r="AP304" s="9"/>
      <c r="AQ304" s="9"/>
    </row>
    <row r="305" spans="1:43" x14ac:dyDescent="0.25">
      <c r="A305" s="9"/>
      <c r="B305" s="10"/>
      <c r="C305" s="9"/>
      <c r="D305" s="9"/>
      <c r="E305" s="9"/>
      <c r="F305" s="9"/>
      <c r="G305" s="9"/>
      <c r="H305" s="9"/>
      <c r="I305" s="11"/>
      <c r="J305" s="11"/>
      <c r="K305" s="11"/>
      <c r="L305" s="9"/>
      <c r="M305" s="9"/>
      <c r="N305" s="9"/>
      <c r="O305" s="9"/>
      <c r="P305" s="9"/>
      <c r="Q305" s="9"/>
      <c r="R305" s="9"/>
      <c r="S305" s="9"/>
      <c r="T305" s="9"/>
      <c r="U305" s="9"/>
      <c r="V305" s="9"/>
      <c r="W305" s="9"/>
      <c r="X305" s="10"/>
      <c r="Y305" s="9"/>
      <c r="Z305" s="11"/>
      <c r="AA305" s="9"/>
      <c r="AB305" s="9"/>
      <c r="AC305" s="10"/>
      <c r="AD305" s="9"/>
      <c r="AE305" s="9"/>
      <c r="AF305" s="9"/>
      <c r="AG305" s="9"/>
      <c r="AH305" s="9"/>
      <c r="AI305" s="9"/>
      <c r="AJ305" s="9"/>
      <c r="AK305" s="9"/>
      <c r="AL305" s="9"/>
      <c r="AM305" s="11"/>
      <c r="AN305" s="11"/>
      <c r="AO305" s="9"/>
      <c r="AP305" s="9"/>
      <c r="AQ305" s="9"/>
    </row>
    <row r="306" spans="1:43" x14ac:dyDescent="0.25">
      <c r="A306" s="9"/>
      <c r="B306" s="10"/>
      <c r="C306" s="9"/>
      <c r="D306" s="9"/>
      <c r="E306" s="9"/>
      <c r="F306" s="9"/>
      <c r="G306" s="9"/>
      <c r="H306" s="9"/>
      <c r="I306" s="11"/>
      <c r="J306" s="10"/>
      <c r="K306" s="11"/>
      <c r="L306" s="9"/>
      <c r="M306" s="9"/>
      <c r="N306" s="9"/>
      <c r="O306" s="9"/>
      <c r="P306" s="9"/>
      <c r="Q306" s="9"/>
      <c r="R306" s="9"/>
      <c r="S306" s="9"/>
      <c r="T306" s="9"/>
      <c r="U306" s="9"/>
      <c r="V306" s="9"/>
      <c r="W306" s="9"/>
      <c r="X306" s="10"/>
      <c r="Y306" s="9"/>
      <c r="Z306" s="11"/>
      <c r="AA306" s="9"/>
      <c r="AB306" s="9"/>
      <c r="AC306" s="10"/>
      <c r="AD306" s="9"/>
      <c r="AE306" s="9"/>
      <c r="AF306" s="9"/>
      <c r="AG306" s="9"/>
      <c r="AH306" s="9"/>
      <c r="AI306" s="9"/>
      <c r="AJ306" s="9"/>
      <c r="AK306" s="9"/>
      <c r="AL306" s="9"/>
      <c r="AM306" s="11"/>
      <c r="AN306" s="11"/>
      <c r="AO306" s="9"/>
      <c r="AP306" s="9"/>
      <c r="AQ306" s="9"/>
    </row>
    <row r="307" spans="1:43" x14ac:dyDescent="0.25">
      <c r="A307" s="9"/>
      <c r="B307" s="10"/>
      <c r="C307" s="9"/>
      <c r="D307" s="9"/>
      <c r="E307" s="9"/>
      <c r="F307" s="9"/>
      <c r="G307" s="9"/>
      <c r="H307" s="9"/>
      <c r="I307" s="11"/>
      <c r="J307" s="10"/>
      <c r="K307" s="11"/>
      <c r="L307" s="9"/>
      <c r="M307" s="9"/>
      <c r="N307" s="9"/>
      <c r="O307" s="9"/>
      <c r="P307" s="9"/>
      <c r="Q307" s="9"/>
      <c r="R307" s="9"/>
      <c r="S307" s="9"/>
      <c r="T307" s="9"/>
      <c r="U307" s="9"/>
      <c r="V307" s="9"/>
      <c r="W307" s="9"/>
      <c r="X307" s="10"/>
      <c r="Y307" s="9"/>
      <c r="Z307" s="11"/>
      <c r="AA307" s="9"/>
      <c r="AB307" s="9"/>
      <c r="AC307" s="10"/>
      <c r="AD307" s="9"/>
      <c r="AE307" s="9"/>
      <c r="AF307" s="9"/>
      <c r="AG307" s="9"/>
      <c r="AH307" s="9"/>
      <c r="AI307" s="9"/>
      <c r="AJ307" s="9"/>
      <c r="AK307" s="9"/>
      <c r="AL307" s="9"/>
      <c r="AM307" s="11"/>
      <c r="AN307" s="11"/>
      <c r="AO307" s="9"/>
      <c r="AP307" s="9"/>
      <c r="AQ307" s="9"/>
    </row>
    <row r="308" spans="1:43" x14ac:dyDescent="0.25">
      <c r="A308" s="9"/>
      <c r="B308" s="10"/>
      <c r="C308" s="9"/>
      <c r="D308" s="9"/>
      <c r="E308" s="9"/>
      <c r="F308" s="9"/>
      <c r="G308" s="9"/>
      <c r="H308" s="9"/>
      <c r="I308" s="11"/>
      <c r="J308" s="10"/>
      <c r="K308" s="11"/>
      <c r="L308" s="9"/>
      <c r="M308" s="9"/>
      <c r="N308" s="9"/>
      <c r="O308" s="9"/>
      <c r="P308" s="9"/>
      <c r="Q308" s="9"/>
      <c r="R308" s="9"/>
      <c r="S308" s="9"/>
      <c r="T308" s="9"/>
      <c r="U308" s="9"/>
      <c r="V308" s="9"/>
      <c r="W308" s="9"/>
      <c r="X308" s="10"/>
      <c r="Y308" s="9"/>
      <c r="Z308" s="11"/>
      <c r="AA308" s="9"/>
      <c r="AB308" s="9"/>
      <c r="AC308" s="10"/>
      <c r="AD308" s="9"/>
      <c r="AE308" s="9"/>
      <c r="AF308" s="9"/>
      <c r="AG308" s="9"/>
      <c r="AH308" s="9"/>
      <c r="AI308" s="9"/>
      <c r="AJ308" s="9"/>
      <c r="AK308" s="9"/>
      <c r="AL308" s="9"/>
      <c r="AM308" s="11"/>
      <c r="AN308" s="11"/>
      <c r="AO308" s="9"/>
      <c r="AP308" s="9"/>
      <c r="AQ308" s="9"/>
    </row>
    <row r="309" spans="1:43" x14ac:dyDescent="0.25">
      <c r="A309" s="9"/>
      <c r="B309" s="10"/>
      <c r="C309" s="9"/>
      <c r="D309" s="9"/>
      <c r="E309" s="9"/>
      <c r="F309" s="9"/>
      <c r="G309" s="9"/>
      <c r="H309" s="9"/>
      <c r="I309" s="11"/>
      <c r="J309" s="11"/>
      <c r="K309" s="11"/>
      <c r="L309" s="9"/>
      <c r="M309" s="9"/>
      <c r="N309" s="9"/>
      <c r="O309" s="9"/>
      <c r="P309" s="9"/>
      <c r="Q309" s="9"/>
      <c r="R309" s="9"/>
      <c r="S309" s="9"/>
      <c r="T309" s="9"/>
      <c r="U309" s="9"/>
      <c r="V309" s="9"/>
      <c r="W309" s="9"/>
      <c r="X309" s="10"/>
      <c r="Y309" s="9"/>
      <c r="Z309" s="11"/>
      <c r="AA309" s="9"/>
      <c r="AB309" s="9"/>
      <c r="AC309" s="10"/>
      <c r="AD309" s="9"/>
      <c r="AE309" s="9"/>
      <c r="AF309" s="9"/>
      <c r="AG309" s="9"/>
      <c r="AH309" s="9"/>
      <c r="AI309" s="9"/>
      <c r="AJ309" s="9"/>
      <c r="AK309" s="9"/>
      <c r="AL309" s="9"/>
      <c r="AM309" s="11"/>
      <c r="AN309" s="11"/>
      <c r="AO309" s="9"/>
      <c r="AP309" s="9"/>
      <c r="AQ309" s="9"/>
    </row>
    <row r="310" spans="1:43" x14ac:dyDescent="0.25">
      <c r="A310" s="9"/>
      <c r="B310" s="10"/>
      <c r="C310" s="9"/>
      <c r="D310" s="9"/>
      <c r="E310" s="9"/>
      <c r="F310" s="9"/>
      <c r="G310" s="9"/>
      <c r="H310" s="9"/>
      <c r="I310" s="11"/>
      <c r="J310" s="11"/>
      <c r="K310" s="11"/>
      <c r="L310" s="9"/>
      <c r="M310" s="9"/>
      <c r="N310" s="9"/>
      <c r="O310" s="9"/>
      <c r="P310" s="9"/>
      <c r="Q310" s="9"/>
      <c r="R310" s="9"/>
      <c r="S310" s="9"/>
      <c r="T310" s="9"/>
      <c r="U310" s="9"/>
      <c r="V310" s="9"/>
      <c r="W310" s="9"/>
      <c r="X310" s="10"/>
      <c r="Y310" s="9"/>
      <c r="Z310" s="11"/>
      <c r="AA310" s="9"/>
      <c r="AB310" s="9"/>
      <c r="AC310" s="10"/>
      <c r="AD310" s="9"/>
      <c r="AE310" s="9"/>
      <c r="AF310" s="9"/>
      <c r="AG310" s="9"/>
      <c r="AH310" s="9"/>
      <c r="AI310" s="9"/>
      <c r="AJ310" s="9"/>
      <c r="AK310" s="9"/>
      <c r="AL310" s="9"/>
      <c r="AM310" s="11"/>
      <c r="AN310" s="11"/>
      <c r="AO310" s="9"/>
      <c r="AP310" s="9"/>
      <c r="AQ310" s="9"/>
    </row>
    <row r="311" spans="1:43" x14ac:dyDescent="0.25">
      <c r="A311" s="9"/>
      <c r="B311" s="10"/>
      <c r="C311" s="9"/>
      <c r="D311" s="9"/>
      <c r="E311" s="9"/>
      <c r="F311" s="9"/>
      <c r="G311" s="9"/>
      <c r="H311" s="9"/>
      <c r="I311" s="11"/>
      <c r="J311" s="10"/>
      <c r="K311" s="11"/>
      <c r="L311" s="9"/>
      <c r="M311" s="9"/>
      <c r="N311" s="9"/>
      <c r="O311" s="9"/>
      <c r="P311" s="9"/>
      <c r="Q311" s="9"/>
      <c r="R311" s="9"/>
      <c r="S311" s="9"/>
      <c r="T311" s="9"/>
      <c r="U311" s="9"/>
      <c r="V311" s="9"/>
      <c r="W311" s="9"/>
      <c r="X311" s="10"/>
      <c r="Y311" s="9"/>
      <c r="Z311" s="11"/>
      <c r="AA311" s="9"/>
      <c r="AB311" s="9"/>
      <c r="AC311" s="10"/>
      <c r="AD311" s="9"/>
      <c r="AE311" s="9"/>
      <c r="AF311" s="9"/>
      <c r="AG311" s="9"/>
      <c r="AH311" s="9"/>
      <c r="AI311" s="9"/>
      <c r="AJ311" s="9"/>
      <c r="AK311" s="9"/>
      <c r="AL311" s="9"/>
      <c r="AM311" s="11"/>
      <c r="AN311" s="11"/>
      <c r="AO311" s="9"/>
      <c r="AP311" s="9"/>
      <c r="AQ311" s="9"/>
    </row>
    <row r="312" spans="1:43" x14ac:dyDescent="0.25">
      <c r="A312" s="9"/>
      <c r="B312" s="10"/>
      <c r="C312" s="9"/>
      <c r="D312" s="9"/>
      <c r="E312" s="9"/>
      <c r="F312" s="9"/>
      <c r="G312" s="9"/>
      <c r="H312" s="9"/>
      <c r="I312" s="11"/>
      <c r="J312" s="10"/>
      <c r="K312" s="11"/>
      <c r="L312" s="9"/>
      <c r="M312" s="9"/>
      <c r="N312" s="9"/>
      <c r="O312" s="9"/>
      <c r="P312" s="9"/>
      <c r="Q312" s="9"/>
      <c r="R312" s="9"/>
      <c r="S312" s="9"/>
      <c r="T312" s="9"/>
      <c r="U312" s="9"/>
      <c r="V312" s="9"/>
      <c r="W312" s="9"/>
      <c r="X312" s="10"/>
      <c r="Y312" s="9"/>
      <c r="Z312" s="11"/>
      <c r="AA312" s="9"/>
      <c r="AB312" s="9"/>
      <c r="AC312" s="10"/>
      <c r="AD312" s="9"/>
      <c r="AE312" s="9"/>
      <c r="AF312" s="9"/>
      <c r="AG312" s="9"/>
      <c r="AH312" s="9"/>
      <c r="AI312" s="9"/>
      <c r="AJ312" s="9"/>
      <c r="AK312" s="9"/>
      <c r="AL312" s="9"/>
      <c r="AM312" s="11"/>
      <c r="AN312" s="11"/>
      <c r="AO312" s="9"/>
      <c r="AP312" s="9"/>
      <c r="AQ312" s="9"/>
    </row>
    <row r="313" spans="1:43" x14ac:dyDescent="0.25">
      <c r="A313" s="9"/>
      <c r="B313" s="10"/>
      <c r="C313" s="9"/>
      <c r="D313" s="9"/>
      <c r="E313" s="9"/>
      <c r="F313" s="9"/>
      <c r="G313" s="9"/>
      <c r="H313" s="9"/>
      <c r="I313" s="11"/>
      <c r="J313" s="11"/>
      <c r="K313" s="11"/>
      <c r="L313" s="9"/>
      <c r="M313" s="9"/>
      <c r="N313" s="9"/>
      <c r="O313" s="9"/>
      <c r="P313" s="9"/>
      <c r="Q313" s="9"/>
      <c r="R313" s="9"/>
      <c r="S313" s="9"/>
      <c r="T313" s="9"/>
      <c r="U313" s="9"/>
      <c r="V313" s="9"/>
      <c r="W313" s="9"/>
      <c r="X313" s="10"/>
      <c r="Y313" s="9"/>
      <c r="Z313" s="11"/>
      <c r="AA313" s="9"/>
      <c r="AB313" s="9"/>
      <c r="AC313" s="10"/>
      <c r="AD313" s="9"/>
      <c r="AE313" s="9"/>
      <c r="AF313" s="9"/>
      <c r="AG313" s="9"/>
      <c r="AH313" s="9"/>
      <c r="AI313" s="9"/>
      <c r="AJ313" s="9"/>
      <c r="AK313" s="9"/>
      <c r="AL313" s="9"/>
      <c r="AM313" s="11"/>
      <c r="AN313" s="11"/>
      <c r="AO313" s="9"/>
      <c r="AP313" s="9"/>
      <c r="AQ313" s="9"/>
    </row>
    <row r="314" spans="1:43" x14ac:dyDescent="0.25">
      <c r="A314" s="9"/>
      <c r="B314" s="10"/>
      <c r="C314" s="9"/>
      <c r="D314" s="9"/>
      <c r="E314" s="9"/>
      <c r="F314" s="9"/>
      <c r="G314" s="9"/>
      <c r="H314" s="9"/>
      <c r="I314" s="11"/>
      <c r="J314" s="10"/>
      <c r="K314" s="11"/>
      <c r="L314" s="9"/>
      <c r="M314" s="9"/>
      <c r="N314" s="9"/>
      <c r="O314" s="9"/>
      <c r="P314" s="9"/>
      <c r="Q314" s="9"/>
      <c r="R314" s="9"/>
      <c r="S314" s="9"/>
      <c r="T314" s="9"/>
      <c r="U314" s="9"/>
      <c r="V314" s="9"/>
      <c r="W314" s="9"/>
      <c r="X314" s="10"/>
      <c r="Y314" s="9"/>
      <c r="Z314" s="11"/>
      <c r="AA314" s="9"/>
      <c r="AB314" s="9"/>
      <c r="AC314" s="10"/>
      <c r="AD314" s="9"/>
      <c r="AE314" s="9"/>
      <c r="AF314" s="9"/>
      <c r="AG314" s="9"/>
      <c r="AH314" s="9"/>
      <c r="AI314" s="9"/>
      <c r="AJ314" s="9"/>
      <c r="AK314" s="9"/>
      <c r="AL314" s="9"/>
      <c r="AM314" s="11"/>
      <c r="AN314" s="11"/>
      <c r="AO314" s="9"/>
      <c r="AP314" s="9"/>
      <c r="AQ314" s="9"/>
    </row>
    <row r="315" spans="1:43" x14ac:dyDescent="0.25">
      <c r="A315" s="9"/>
      <c r="B315" s="10"/>
      <c r="C315" s="9"/>
      <c r="D315" s="9"/>
      <c r="E315" s="9"/>
      <c r="F315" s="9"/>
      <c r="G315" s="9"/>
      <c r="H315" s="9"/>
      <c r="I315" s="11"/>
      <c r="J315" s="11"/>
      <c r="K315" s="11"/>
      <c r="L315" s="9"/>
      <c r="M315" s="9"/>
      <c r="N315" s="9"/>
      <c r="O315" s="9"/>
      <c r="P315" s="9"/>
      <c r="Q315" s="9"/>
      <c r="R315" s="9"/>
      <c r="S315" s="9"/>
      <c r="T315" s="9"/>
      <c r="U315" s="9"/>
      <c r="V315" s="9"/>
      <c r="W315" s="9"/>
      <c r="X315" s="10"/>
      <c r="Y315" s="9"/>
      <c r="Z315" s="11"/>
      <c r="AA315" s="9"/>
      <c r="AB315" s="9"/>
      <c r="AC315" s="10"/>
      <c r="AD315" s="9"/>
      <c r="AE315" s="9"/>
      <c r="AF315" s="9"/>
      <c r="AG315" s="9"/>
      <c r="AH315" s="9"/>
      <c r="AI315" s="9"/>
      <c r="AJ315" s="9"/>
      <c r="AK315" s="9"/>
      <c r="AL315" s="9"/>
      <c r="AM315" s="11"/>
      <c r="AN315" s="11"/>
      <c r="AO315" s="9"/>
      <c r="AP315" s="9"/>
      <c r="AQ315" s="9"/>
    </row>
    <row r="316" spans="1:43" x14ac:dyDescent="0.25">
      <c r="A316" s="9"/>
      <c r="B316" s="10"/>
      <c r="C316" s="9"/>
      <c r="D316" s="9"/>
      <c r="E316" s="9"/>
      <c r="F316" s="9"/>
      <c r="G316" s="9"/>
      <c r="H316" s="9"/>
      <c r="I316" s="11"/>
      <c r="J316" s="10"/>
      <c r="K316" s="11"/>
      <c r="L316" s="9"/>
      <c r="M316" s="9"/>
      <c r="N316" s="9"/>
      <c r="O316" s="9"/>
      <c r="P316" s="9"/>
      <c r="Q316" s="9"/>
      <c r="R316" s="9"/>
      <c r="S316" s="9"/>
      <c r="T316" s="9"/>
      <c r="U316" s="9"/>
      <c r="V316" s="9"/>
      <c r="W316" s="9"/>
      <c r="X316" s="10"/>
      <c r="Y316" s="9"/>
      <c r="Z316" s="11"/>
      <c r="AA316" s="9"/>
      <c r="AB316" s="9"/>
      <c r="AC316" s="10"/>
      <c r="AD316" s="9"/>
      <c r="AE316" s="9"/>
      <c r="AF316" s="9"/>
      <c r="AG316" s="9"/>
      <c r="AH316" s="9"/>
      <c r="AI316" s="9"/>
      <c r="AJ316" s="9"/>
      <c r="AK316" s="9"/>
      <c r="AL316" s="9"/>
      <c r="AM316" s="11"/>
      <c r="AN316" s="11"/>
      <c r="AO316" s="9"/>
      <c r="AP316" s="9"/>
      <c r="AQ316" s="9"/>
    </row>
    <row r="317" spans="1:43" x14ac:dyDescent="0.25">
      <c r="A317" s="9"/>
      <c r="B317" s="10"/>
      <c r="C317" s="9"/>
      <c r="D317" s="9"/>
      <c r="E317" s="9"/>
      <c r="F317" s="9"/>
      <c r="G317" s="9"/>
      <c r="H317" s="9"/>
      <c r="I317" s="11"/>
      <c r="J317" s="10"/>
      <c r="K317" s="11"/>
      <c r="L317" s="9"/>
      <c r="M317" s="9"/>
      <c r="N317" s="9"/>
      <c r="O317" s="9"/>
      <c r="P317" s="9"/>
      <c r="Q317" s="9"/>
      <c r="R317" s="9"/>
      <c r="S317" s="9"/>
      <c r="T317" s="9"/>
      <c r="U317" s="9"/>
      <c r="V317" s="9"/>
      <c r="W317" s="9"/>
      <c r="X317" s="10"/>
      <c r="Y317" s="9"/>
      <c r="Z317" s="11"/>
      <c r="AA317" s="9"/>
      <c r="AB317" s="9"/>
      <c r="AC317" s="10"/>
      <c r="AD317" s="9"/>
      <c r="AE317" s="9"/>
      <c r="AF317" s="9"/>
      <c r="AG317" s="9"/>
      <c r="AH317" s="9"/>
      <c r="AI317" s="9"/>
      <c r="AJ317" s="9"/>
      <c r="AK317" s="9"/>
      <c r="AL317" s="9"/>
      <c r="AM317" s="11"/>
      <c r="AN317" s="11"/>
      <c r="AO317" s="9"/>
      <c r="AP317" s="9"/>
      <c r="AQ317" s="9"/>
    </row>
    <row r="318" spans="1:43" x14ac:dyDescent="0.25">
      <c r="A318" s="9"/>
      <c r="B318" s="10"/>
      <c r="C318" s="9"/>
      <c r="D318" s="9"/>
      <c r="E318" s="9"/>
      <c r="F318" s="9"/>
      <c r="G318" s="9"/>
      <c r="H318" s="9"/>
      <c r="I318" s="11"/>
      <c r="J318" s="10"/>
      <c r="K318" s="11"/>
      <c r="L318" s="9"/>
      <c r="M318" s="9"/>
      <c r="N318" s="9"/>
      <c r="O318" s="9"/>
      <c r="P318" s="9"/>
      <c r="Q318" s="9"/>
      <c r="R318" s="9"/>
      <c r="S318" s="9"/>
      <c r="T318" s="9"/>
      <c r="U318" s="9"/>
      <c r="V318" s="9"/>
      <c r="W318" s="9"/>
      <c r="X318" s="10"/>
      <c r="Y318" s="9"/>
      <c r="Z318" s="11"/>
      <c r="AA318" s="9"/>
      <c r="AB318" s="9"/>
      <c r="AC318" s="10"/>
      <c r="AD318" s="9"/>
      <c r="AE318" s="9"/>
      <c r="AF318" s="9"/>
      <c r="AG318" s="9"/>
      <c r="AH318" s="9"/>
      <c r="AI318" s="9"/>
      <c r="AJ318" s="9"/>
      <c r="AK318" s="9"/>
      <c r="AL318" s="9"/>
      <c r="AM318" s="11"/>
      <c r="AN318" s="11"/>
      <c r="AO318" s="9"/>
      <c r="AP318" s="9"/>
      <c r="AQ318" s="9"/>
    </row>
    <row r="319" spans="1:43" x14ac:dyDescent="0.25">
      <c r="A319" s="9"/>
      <c r="B319" s="10"/>
      <c r="C319" s="9"/>
      <c r="D319" s="9"/>
      <c r="E319" s="9"/>
      <c r="F319" s="9"/>
      <c r="G319" s="9"/>
      <c r="H319" s="9"/>
      <c r="I319" s="11"/>
      <c r="J319" s="11"/>
      <c r="K319" s="11"/>
      <c r="L319" s="9"/>
      <c r="M319" s="9"/>
      <c r="N319" s="9"/>
      <c r="O319" s="9"/>
      <c r="P319" s="9"/>
      <c r="Q319" s="9"/>
      <c r="R319" s="9"/>
      <c r="S319" s="9"/>
      <c r="T319" s="9"/>
      <c r="U319" s="9"/>
      <c r="V319" s="9"/>
      <c r="W319" s="9"/>
      <c r="X319" s="10"/>
      <c r="Y319" s="9"/>
      <c r="Z319" s="11"/>
      <c r="AA319" s="9"/>
      <c r="AB319" s="9"/>
      <c r="AC319" s="10"/>
      <c r="AD319" s="9"/>
      <c r="AE319" s="9"/>
      <c r="AF319" s="9"/>
      <c r="AG319" s="9"/>
      <c r="AH319" s="9"/>
      <c r="AI319" s="9"/>
      <c r="AJ319" s="9"/>
      <c r="AK319" s="9"/>
      <c r="AL319" s="9"/>
      <c r="AM319" s="11"/>
      <c r="AN319" s="11"/>
      <c r="AO319" s="9"/>
      <c r="AP319" s="9"/>
      <c r="AQ319" s="9"/>
    </row>
    <row r="320" spans="1:43" x14ac:dyDescent="0.25">
      <c r="A320" s="9"/>
      <c r="B320" s="10"/>
      <c r="C320" s="9"/>
      <c r="D320" s="9"/>
      <c r="E320" s="9"/>
      <c r="F320" s="9"/>
      <c r="G320" s="9"/>
      <c r="H320" s="9"/>
      <c r="I320" s="11"/>
      <c r="J320" s="10"/>
      <c r="K320" s="11"/>
      <c r="L320" s="9"/>
      <c r="M320" s="9"/>
      <c r="N320" s="9"/>
      <c r="O320" s="9"/>
      <c r="P320" s="9"/>
      <c r="Q320" s="9"/>
      <c r="R320" s="9"/>
      <c r="S320" s="9"/>
      <c r="T320" s="9"/>
      <c r="U320" s="9"/>
      <c r="V320" s="9"/>
      <c r="W320" s="9"/>
      <c r="X320" s="10"/>
      <c r="Y320" s="9"/>
      <c r="Z320" s="11"/>
      <c r="AA320" s="9"/>
      <c r="AB320" s="9"/>
      <c r="AC320" s="10"/>
      <c r="AD320" s="9"/>
      <c r="AE320" s="9"/>
      <c r="AF320" s="9"/>
      <c r="AG320" s="9"/>
      <c r="AH320" s="9"/>
      <c r="AI320" s="9"/>
      <c r="AJ320" s="9"/>
      <c r="AK320" s="9"/>
      <c r="AL320" s="9"/>
      <c r="AM320" s="11"/>
      <c r="AN320" s="11"/>
      <c r="AO320" s="9"/>
      <c r="AP320" s="9"/>
      <c r="AQ320" s="9"/>
    </row>
    <row r="321" spans="1:43" x14ac:dyDescent="0.25">
      <c r="A321" s="9"/>
      <c r="B321" s="10"/>
      <c r="C321" s="9"/>
      <c r="D321" s="9"/>
      <c r="E321" s="9"/>
      <c r="F321" s="9"/>
      <c r="G321" s="9"/>
      <c r="H321" s="9"/>
      <c r="I321" s="11"/>
      <c r="J321" s="11"/>
      <c r="K321" s="11"/>
      <c r="L321" s="9"/>
      <c r="M321" s="9"/>
      <c r="N321" s="9"/>
      <c r="O321" s="9"/>
      <c r="P321" s="9"/>
      <c r="Q321" s="9"/>
      <c r="R321" s="9"/>
      <c r="S321" s="9"/>
      <c r="T321" s="9"/>
      <c r="U321" s="9"/>
      <c r="V321" s="9"/>
      <c r="W321" s="9"/>
      <c r="X321" s="11"/>
      <c r="Y321" s="9"/>
      <c r="Z321" s="11"/>
      <c r="AA321" s="9"/>
      <c r="AB321" s="9"/>
      <c r="AC321" s="11"/>
      <c r="AD321" s="9"/>
      <c r="AE321" s="9"/>
      <c r="AF321" s="9"/>
      <c r="AG321" s="9"/>
      <c r="AH321" s="9"/>
      <c r="AI321" s="9"/>
      <c r="AJ321" s="9"/>
      <c r="AK321" s="9"/>
      <c r="AL321" s="9"/>
      <c r="AM321" s="11"/>
      <c r="AN321" s="11"/>
      <c r="AO321" s="9"/>
      <c r="AP321" s="9"/>
      <c r="AQ321" s="9"/>
    </row>
    <row r="322" spans="1:43" x14ac:dyDescent="0.25">
      <c r="A322" s="9"/>
      <c r="B322" s="10"/>
      <c r="C322" s="9"/>
      <c r="D322" s="9"/>
      <c r="E322" s="9"/>
      <c r="F322" s="9"/>
      <c r="G322" s="9"/>
      <c r="H322" s="9"/>
      <c r="I322" s="11"/>
      <c r="J322" s="11"/>
      <c r="K322" s="11"/>
      <c r="L322" s="9"/>
      <c r="M322" s="9"/>
      <c r="N322" s="9"/>
      <c r="O322" s="9"/>
      <c r="P322" s="9"/>
      <c r="Q322" s="9"/>
      <c r="R322" s="9"/>
      <c r="S322" s="9"/>
      <c r="T322" s="9"/>
      <c r="U322" s="9"/>
      <c r="V322" s="9"/>
      <c r="W322" s="9"/>
      <c r="X322" s="10"/>
      <c r="Y322" s="9"/>
      <c r="Z322" s="11"/>
      <c r="AA322" s="9"/>
      <c r="AB322" s="9"/>
      <c r="AC322" s="10"/>
      <c r="AD322" s="9"/>
      <c r="AE322" s="9"/>
      <c r="AF322" s="9"/>
      <c r="AG322" s="9"/>
      <c r="AH322" s="9"/>
      <c r="AI322" s="9"/>
      <c r="AJ322" s="9"/>
      <c r="AK322" s="9"/>
      <c r="AL322" s="9"/>
      <c r="AM322" s="11"/>
      <c r="AN322" s="11"/>
      <c r="AO322" s="9"/>
      <c r="AP322" s="9"/>
      <c r="AQ322" s="9"/>
    </row>
    <row r="323" spans="1:43" x14ac:dyDescent="0.25">
      <c r="A323" s="9"/>
      <c r="B323" s="10"/>
      <c r="C323" s="9"/>
      <c r="D323" s="9"/>
      <c r="E323" s="9"/>
      <c r="F323" s="9"/>
      <c r="G323" s="9"/>
      <c r="H323" s="9"/>
      <c r="I323" s="11"/>
      <c r="J323" s="10"/>
      <c r="K323" s="11"/>
      <c r="L323" s="9"/>
      <c r="M323" s="9"/>
      <c r="N323" s="9"/>
      <c r="O323" s="9"/>
      <c r="P323" s="9"/>
      <c r="Q323" s="9"/>
      <c r="R323" s="9"/>
      <c r="S323" s="9"/>
      <c r="T323" s="9"/>
      <c r="U323" s="9"/>
      <c r="V323" s="9"/>
      <c r="W323" s="9"/>
      <c r="X323" s="10"/>
      <c r="Y323" s="9"/>
      <c r="Z323" s="11"/>
      <c r="AA323" s="9"/>
      <c r="AB323" s="9"/>
      <c r="AC323" s="10"/>
      <c r="AD323" s="9"/>
      <c r="AE323" s="9"/>
      <c r="AF323" s="9"/>
      <c r="AG323" s="9"/>
      <c r="AH323" s="9"/>
      <c r="AI323" s="9"/>
      <c r="AJ323" s="9"/>
      <c r="AK323" s="9"/>
      <c r="AL323" s="9"/>
      <c r="AM323" s="11"/>
      <c r="AN323" s="11"/>
      <c r="AO323" s="9"/>
      <c r="AP323" s="9"/>
      <c r="AQ323" s="9"/>
    </row>
    <row r="324" spans="1:43" x14ac:dyDescent="0.25">
      <c r="A324" s="9"/>
      <c r="B324" s="10"/>
      <c r="C324" s="9"/>
      <c r="D324" s="9"/>
      <c r="E324" s="9"/>
      <c r="F324" s="9"/>
      <c r="G324" s="9"/>
      <c r="H324" s="9"/>
      <c r="I324" s="11"/>
      <c r="J324" s="10"/>
      <c r="K324" s="11"/>
      <c r="L324" s="9"/>
      <c r="M324" s="9"/>
      <c r="N324" s="9"/>
      <c r="O324" s="9"/>
      <c r="P324" s="9"/>
      <c r="Q324" s="9"/>
      <c r="R324" s="9"/>
      <c r="S324" s="9"/>
      <c r="T324" s="9"/>
      <c r="U324" s="9"/>
      <c r="V324" s="9"/>
      <c r="W324" s="9"/>
      <c r="X324" s="10"/>
      <c r="Y324" s="9"/>
      <c r="Z324" s="11"/>
      <c r="AA324" s="9"/>
      <c r="AB324" s="9"/>
      <c r="AC324" s="10"/>
      <c r="AD324" s="9"/>
      <c r="AE324" s="9"/>
      <c r="AF324" s="9"/>
      <c r="AG324" s="9"/>
      <c r="AH324" s="9"/>
      <c r="AI324" s="9"/>
      <c r="AJ324" s="9"/>
      <c r="AK324" s="9"/>
      <c r="AL324" s="9"/>
      <c r="AM324" s="11"/>
      <c r="AN324" s="11"/>
      <c r="AO324" s="9"/>
      <c r="AP324" s="9"/>
      <c r="AQ324" s="9"/>
    </row>
    <row r="325" spans="1:43" x14ac:dyDescent="0.25">
      <c r="A325" s="9"/>
      <c r="B325" s="10"/>
      <c r="C325" s="9"/>
      <c r="D325" s="9"/>
      <c r="E325" s="9"/>
      <c r="F325" s="9"/>
      <c r="G325" s="9"/>
      <c r="H325" s="9"/>
      <c r="I325" s="11"/>
      <c r="J325" s="10"/>
      <c r="K325" s="10"/>
      <c r="L325" s="9"/>
      <c r="M325" s="9"/>
      <c r="N325" s="9"/>
      <c r="O325" s="9"/>
      <c r="P325" s="9"/>
      <c r="Q325" s="9"/>
      <c r="R325" s="9"/>
      <c r="S325" s="9"/>
      <c r="T325" s="9"/>
      <c r="U325" s="9"/>
      <c r="V325" s="9"/>
      <c r="W325" s="9"/>
      <c r="X325" s="10"/>
      <c r="Y325" s="9"/>
      <c r="Z325" s="10"/>
      <c r="AA325" s="9"/>
      <c r="AB325" s="9"/>
      <c r="AC325" s="10"/>
      <c r="AD325" s="9"/>
      <c r="AE325" s="9"/>
      <c r="AF325" s="9"/>
      <c r="AG325" s="9"/>
      <c r="AH325" s="9"/>
      <c r="AI325" s="9"/>
      <c r="AJ325" s="9"/>
      <c r="AK325" s="9"/>
      <c r="AL325" s="9"/>
      <c r="AM325" s="11"/>
      <c r="AN325" s="11"/>
      <c r="AO325" s="9"/>
      <c r="AP325" s="9"/>
      <c r="AQ325" s="9"/>
    </row>
    <row r="326" spans="1:43" x14ac:dyDescent="0.25">
      <c r="A326" s="9"/>
      <c r="B326" s="10"/>
      <c r="C326" s="9"/>
      <c r="D326" s="9"/>
      <c r="E326" s="9"/>
      <c r="F326" s="9"/>
      <c r="G326" s="9"/>
      <c r="H326" s="9"/>
      <c r="I326" s="11"/>
      <c r="J326" s="10"/>
      <c r="K326" s="11"/>
      <c r="L326" s="9"/>
      <c r="M326" s="9"/>
      <c r="N326" s="9"/>
      <c r="O326" s="9"/>
      <c r="P326" s="9"/>
      <c r="Q326" s="9"/>
      <c r="R326" s="9"/>
      <c r="S326" s="9"/>
      <c r="T326" s="9"/>
      <c r="U326" s="9"/>
      <c r="V326" s="9"/>
      <c r="W326" s="9"/>
      <c r="X326" s="10"/>
      <c r="Y326" s="9"/>
      <c r="Z326" s="11"/>
      <c r="AA326" s="9"/>
      <c r="AB326" s="9"/>
      <c r="AC326" s="10"/>
      <c r="AD326" s="9"/>
      <c r="AE326" s="9"/>
      <c r="AF326" s="9"/>
      <c r="AG326" s="9"/>
      <c r="AH326" s="9"/>
      <c r="AI326" s="9"/>
      <c r="AJ326" s="9"/>
      <c r="AK326" s="9"/>
      <c r="AL326" s="9"/>
      <c r="AM326" s="11"/>
      <c r="AN326" s="11"/>
      <c r="AO326" s="9"/>
      <c r="AP326" s="9"/>
      <c r="AQ326" s="9"/>
    </row>
    <row r="327" spans="1:43" x14ac:dyDescent="0.25">
      <c r="A327" s="9"/>
      <c r="B327" s="10"/>
      <c r="C327" s="9"/>
      <c r="D327" s="9"/>
      <c r="E327" s="9"/>
      <c r="F327" s="9"/>
      <c r="G327" s="9"/>
      <c r="H327" s="9"/>
      <c r="I327" s="11"/>
      <c r="J327" s="10"/>
      <c r="K327" s="11"/>
      <c r="L327" s="9"/>
      <c r="M327" s="9"/>
      <c r="N327" s="9"/>
      <c r="O327" s="9"/>
      <c r="P327" s="9"/>
      <c r="Q327" s="9"/>
      <c r="R327" s="9"/>
      <c r="S327" s="9"/>
      <c r="T327" s="9"/>
      <c r="U327" s="9"/>
      <c r="V327" s="9"/>
      <c r="W327" s="9"/>
      <c r="X327" s="10"/>
      <c r="Y327" s="9"/>
      <c r="Z327" s="11"/>
      <c r="AA327" s="9"/>
      <c r="AB327" s="9"/>
      <c r="AC327" s="10"/>
      <c r="AD327" s="9"/>
      <c r="AE327" s="9"/>
      <c r="AF327" s="9"/>
      <c r="AG327" s="9"/>
      <c r="AH327" s="9"/>
      <c r="AI327" s="9"/>
      <c r="AJ327" s="9"/>
      <c r="AK327" s="9"/>
      <c r="AL327" s="9"/>
      <c r="AM327" s="11"/>
      <c r="AN327" s="11"/>
      <c r="AO327" s="9"/>
      <c r="AP327" s="9"/>
      <c r="AQ327" s="9"/>
    </row>
    <row r="328" spans="1:43" x14ac:dyDescent="0.25">
      <c r="A328" s="9"/>
      <c r="B328" s="10"/>
      <c r="C328" s="9"/>
      <c r="D328" s="9"/>
      <c r="E328" s="9"/>
      <c r="F328" s="9"/>
      <c r="G328" s="9"/>
      <c r="H328" s="9"/>
      <c r="I328" s="11"/>
      <c r="J328" s="10"/>
      <c r="K328" s="11"/>
      <c r="L328" s="9"/>
      <c r="M328" s="9"/>
      <c r="N328" s="9"/>
      <c r="O328" s="9"/>
      <c r="P328" s="9"/>
      <c r="Q328" s="9"/>
      <c r="R328" s="9"/>
      <c r="S328" s="9"/>
      <c r="T328" s="9"/>
      <c r="U328" s="9"/>
      <c r="V328" s="9"/>
      <c r="W328" s="9"/>
      <c r="X328" s="10"/>
      <c r="Y328" s="9"/>
      <c r="Z328" s="11"/>
      <c r="AA328" s="9"/>
      <c r="AB328" s="9"/>
      <c r="AC328" s="10"/>
      <c r="AD328" s="9"/>
      <c r="AE328" s="9"/>
      <c r="AF328" s="9"/>
      <c r="AG328" s="9"/>
      <c r="AH328" s="9"/>
      <c r="AI328" s="9"/>
      <c r="AJ328" s="9"/>
      <c r="AK328" s="9"/>
      <c r="AL328" s="9"/>
      <c r="AM328" s="11"/>
      <c r="AN328" s="11"/>
      <c r="AO328" s="9"/>
      <c r="AP328" s="9"/>
      <c r="AQ328" s="9"/>
    </row>
    <row r="329" spans="1:43" x14ac:dyDescent="0.25">
      <c r="A329" s="9"/>
      <c r="B329" s="10"/>
      <c r="C329" s="9"/>
      <c r="D329" s="9"/>
      <c r="E329" s="9"/>
      <c r="F329" s="9"/>
      <c r="G329" s="9"/>
      <c r="H329" s="9"/>
      <c r="I329" s="11"/>
      <c r="J329" s="10"/>
      <c r="K329" s="11"/>
      <c r="L329" s="9"/>
      <c r="M329" s="9"/>
      <c r="N329" s="9"/>
      <c r="O329" s="9"/>
      <c r="P329" s="9"/>
      <c r="Q329" s="9"/>
      <c r="R329" s="9"/>
      <c r="S329" s="9"/>
      <c r="T329" s="9"/>
      <c r="U329" s="9"/>
      <c r="V329" s="9"/>
      <c r="W329" s="9"/>
      <c r="X329" s="10"/>
      <c r="Y329" s="9"/>
      <c r="Z329" s="11"/>
      <c r="AA329" s="9"/>
      <c r="AB329" s="9"/>
      <c r="AC329" s="10"/>
      <c r="AD329" s="9"/>
      <c r="AE329" s="9"/>
      <c r="AF329" s="9"/>
      <c r="AG329" s="9"/>
      <c r="AH329" s="9"/>
      <c r="AI329" s="9"/>
      <c r="AJ329" s="9"/>
      <c r="AK329" s="9"/>
      <c r="AL329" s="9"/>
      <c r="AM329" s="11"/>
      <c r="AN329" s="11"/>
      <c r="AO329" s="9"/>
      <c r="AP329" s="9"/>
      <c r="AQ329" s="9"/>
    </row>
    <row r="330" spans="1:43" x14ac:dyDescent="0.25">
      <c r="A330" s="9"/>
      <c r="B330" s="10"/>
      <c r="C330" s="9"/>
      <c r="D330" s="9"/>
      <c r="E330" s="9"/>
      <c r="F330" s="9"/>
      <c r="G330" s="9"/>
      <c r="H330" s="9"/>
      <c r="I330" s="11"/>
      <c r="J330" s="11"/>
      <c r="K330" s="11"/>
      <c r="L330" s="9"/>
      <c r="M330" s="9"/>
      <c r="N330" s="9"/>
      <c r="O330" s="9"/>
      <c r="P330" s="9"/>
      <c r="Q330" s="9"/>
      <c r="R330" s="9"/>
      <c r="S330" s="9"/>
      <c r="T330" s="9"/>
      <c r="U330" s="9"/>
      <c r="V330" s="9"/>
      <c r="W330" s="9"/>
      <c r="X330" s="10"/>
      <c r="Y330" s="9"/>
      <c r="Z330" s="11"/>
      <c r="AA330" s="9"/>
      <c r="AB330" s="9"/>
      <c r="AC330" s="10"/>
      <c r="AD330" s="9"/>
      <c r="AE330" s="9"/>
      <c r="AF330" s="9"/>
      <c r="AG330" s="9"/>
      <c r="AH330" s="9"/>
      <c r="AI330" s="9"/>
      <c r="AJ330" s="9"/>
      <c r="AK330" s="9"/>
      <c r="AL330" s="9"/>
      <c r="AM330" s="11"/>
      <c r="AN330" s="11"/>
      <c r="AO330" s="9"/>
      <c r="AP330" s="9"/>
      <c r="AQ330" s="9"/>
    </row>
    <row r="331" spans="1:43" x14ac:dyDescent="0.25">
      <c r="A331" s="9"/>
      <c r="B331" s="10"/>
      <c r="C331" s="9"/>
      <c r="D331" s="9"/>
      <c r="E331" s="9"/>
      <c r="F331" s="9"/>
      <c r="G331" s="9"/>
      <c r="H331" s="9"/>
      <c r="I331" s="11"/>
      <c r="J331" s="10"/>
      <c r="K331" s="11"/>
      <c r="L331" s="9"/>
      <c r="M331" s="9"/>
      <c r="N331" s="9"/>
      <c r="O331" s="9"/>
      <c r="P331" s="9"/>
      <c r="Q331" s="9"/>
      <c r="R331" s="9"/>
      <c r="S331" s="9"/>
      <c r="T331" s="9"/>
      <c r="U331" s="9"/>
      <c r="V331" s="9"/>
      <c r="W331" s="9"/>
      <c r="X331" s="10"/>
      <c r="Y331" s="9"/>
      <c r="Z331" s="11"/>
      <c r="AA331" s="9"/>
      <c r="AB331" s="9"/>
      <c r="AC331" s="10"/>
      <c r="AD331" s="9"/>
      <c r="AE331" s="9"/>
      <c r="AF331" s="9"/>
      <c r="AG331" s="9"/>
      <c r="AH331" s="9"/>
      <c r="AI331" s="9"/>
      <c r="AJ331" s="9"/>
      <c r="AK331" s="9"/>
      <c r="AL331" s="9"/>
      <c r="AM331" s="11"/>
      <c r="AN331" s="10"/>
      <c r="AO331" s="9"/>
      <c r="AP331" s="9"/>
      <c r="AQ331" s="9"/>
    </row>
    <row r="332" spans="1:43" x14ac:dyDescent="0.25">
      <c r="A332" s="9"/>
      <c r="B332" s="10"/>
      <c r="C332" s="9"/>
      <c r="D332" s="9"/>
      <c r="E332" s="9"/>
      <c r="F332" s="9"/>
      <c r="G332" s="9"/>
      <c r="H332" s="9"/>
      <c r="I332" s="11"/>
      <c r="J332" s="10"/>
      <c r="K332" s="11"/>
      <c r="L332" s="9"/>
      <c r="M332" s="9"/>
      <c r="N332" s="9"/>
      <c r="O332" s="9"/>
      <c r="P332" s="9"/>
      <c r="Q332" s="9"/>
      <c r="R332" s="9"/>
      <c r="S332" s="9"/>
      <c r="T332" s="9"/>
      <c r="U332" s="9"/>
      <c r="V332" s="9"/>
      <c r="W332" s="9"/>
      <c r="X332" s="10"/>
      <c r="Y332" s="9"/>
      <c r="Z332" s="11"/>
      <c r="AA332" s="9"/>
      <c r="AB332" s="9"/>
      <c r="AC332" s="10"/>
      <c r="AD332" s="9"/>
      <c r="AE332" s="9"/>
      <c r="AF332" s="9"/>
      <c r="AG332" s="9"/>
      <c r="AH332" s="9"/>
      <c r="AI332" s="9"/>
      <c r="AJ332" s="9"/>
      <c r="AK332" s="9"/>
      <c r="AL332" s="9"/>
      <c r="AM332" s="11"/>
      <c r="AN332" s="11"/>
      <c r="AO332" s="9"/>
      <c r="AP332" s="9"/>
      <c r="AQ332" s="9"/>
    </row>
    <row r="333" spans="1:43" x14ac:dyDescent="0.25">
      <c r="A333" s="9"/>
      <c r="B333" s="10"/>
      <c r="C333" s="9"/>
      <c r="D333" s="9"/>
      <c r="E333" s="9"/>
      <c r="F333" s="9"/>
      <c r="G333" s="9"/>
      <c r="H333" s="9"/>
      <c r="I333" s="11"/>
      <c r="J333" s="11"/>
      <c r="K333" s="11"/>
      <c r="L333" s="9"/>
      <c r="M333" s="9"/>
      <c r="N333" s="9"/>
      <c r="O333" s="9"/>
      <c r="P333" s="9"/>
      <c r="Q333" s="9"/>
      <c r="R333" s="9"/>
      <c r="S333" s="9"/>
      <c r="T333" s="9"/>
      <c r="U333" s="9"/>
      <c r="V333" s="9"/>
      <c r="W333" s="9"/>
      <c r="X333" s="10"/>
      <c r="Y333" s="9"/>
      <c r="Z333" s="11"/>
      <c r="AA333" s="9"/>
      <c r="AB333" s="9"/>
      <c r="AC333" s="10"/>
      <c r="AD333" s="9"/>
      <c r="AE333" s="9"/>
      <c r="AF333" s="9"/>
      <c r="AG333" s="9"/>
      <c r="AH333" s="9"/>
      <c r="AI333" s="9"/>
      <c r="AJ333" s="9"/>
      <c r="AK333" s="9"/>
      <c r="AL333" s="9"/>
      <c r="AM333" s="11"/>
      <c r="AN333" s="11"/>
      <c r="AO333" s="9"/>
      <c r="AP333" s="9"/>
      <c r="AQ333" s="9"/>
    </row>
    <row r="334" spans="1:43" x14ac:dyDescent="0.25">
      <c r="A334" s="9"/>
      <c r="B334" s="10"/>
      <c r="C334" s="9"/>
      <c r="D334" s="9"/>
      <c r="E334" s="9"/>
      <c r="F334" s="9"/>
      <c r="G334" s="9"/>
      <c r="H334" s="9"/>
      <c r="I334" s="11"/>
      <c r="J334" s="10"/>
      <c r="K334" s="11"/>
      <c r="L334" s="9"/>
      <c r="M334" s="9"/>
      <c r="N334" s="9"/>
      <c r="O334" s="9"/>
      <c r="P334" s="9"/>
      <c r="Q334" s="9"/>
      <c r="R334" s="9"/>
      <c r="S334" s="9"/>
      <c r="T334" s="9"/>
      <c r="U334" s="9"/>
      <c r="V334" s="9"/>
      <c r="W334" s="9"/>
      <c r="X334" s="10"/>
      <c r="Y334" s="9"/>
      <c r="Z334" s="11"/>
      <c r="AA334" s="9"/>
      <c r="AB334" s="9"/>
      <c r="AC334" s="10"/>
      <c r="AD334" s="9"/>
      <c r="AE334" s="9"/>
      <c r="AF334" s="9"/>
      <c r="AG334" s="9"/>
      <c r="AH334" s="9"/>
      <c r="AI334" s="9"/>
      <c r="AJ334" s="9"/>
      <c r="AK334" s="9"/>
      <c r="AL334" s="9"/>
      <c r="AM334" s="11"/>
      <c r="AN334" s="10"/>
      <c r="AO334" s="9"/>
      <c r="AP334" s="9"/>
      <c r="AQ334" s="9"/>
    </row>
    <row r="335" spans="1:43" x14ac:dyDescent="0.25">
      <c r="A335" s="9"/>
      <c r="B335" s="10"/>
      <c r="C335" s="9"/>
      <c r="D335" s="9"/>
      <c r="E335" s="9"/>
      <c r="F335" s="9"/>
      <c r="G335" s="9"/>
      <c r="H335" s="9"/>
      <c r="I335" s="11"/>
      <c r="J335" s="11"/>
      <c r="K335" s="11"/>
      <c r="L335" s="9"/>
      <c r="M335" s="9"/>
      <c r="N335" s="9"/>
      <c r="O335" s="9"/>
      <c r="P335" s="9"/>
      <c r="Q335" s="9"/>
      <c r="R335" s="9"/>
      <c r="S335" s="9"/>
      <c r="T335" s="9"/>
      <c r="U335" s="9"/>
      <c r="V335" s="9"/>
      <c r="W335" s="9"/>
      <c r="X335" s="10"/>
      <c r="Y335" s="9"/>
      <c r="Z335" s="11"/>
      <c r="AA335" s="9"/>
      <c r="AB335" s="9"/>
      <c r="AC335" s="10"/>
      <c r="AD335" s="9"/>
      <c r="AE335" s="9"/>
      <c r="AF335" s="9"/>
      <c r="AG335" s="9"/>
      <c r="AH335" s="9"/>
      <c r="AI335" s="9"/>
      <c r="AJ335" s="9"/>
      <c r="AK335" s="9"/>
      <c r="AL335" s="9"/>
      <c r="AM335" s="11"/>
      <c r="AN335" s="11"/>
      <c r="AO335" s="9"/>
      <c r="AP335" s="9"/>
      <c r="AQ335" s="9"/>
    </row>
    <row r="336" spans="1:43" x14ac:dyDescent="0.25">
      <c r="A336" s="9"/>
      <c r="B336" s="10"/>
      <c r="C336" s="9"/>
      <c r="D336" s="9"/>
      <c r="E336" s="9"/>
      <c r="F336" s="9"/>
      <c r="G336" s="9"/>
      <c r="H336" s="9"/>
      <c r="I336" s="11"/>
      <c r="J336" s="11"/>
      <c r="K336" s="11"/>
      <c r="L336" s="9"/>
      <c r="M336" s="9"/>
      <c r="N336" s="9"/>
      <c r="O336" s="9"/>
      <c r="P336" s="9"/>
      <c r="Q336" s="9"/>
      <c r="R336" s="9"/>
      <c r="S336" s="9"/>
      <c r="T336" s="9"/>
      <c r="U336" s="9"/>
      <c r="V336" s="9"/>
      <c r="W336" s="9"/>
      <c r="X336" s="10"/>
      <c r="Y336" s="9"/>
      <c r="Z336" s="11"/>
      <c r="AA336" s="9"/>
      <c r="AB336" s="9"/>
      <c r="AC336" s="10"/>
      <c r="AD336" s="9"/>
      <c r="AE336" s="9"/>
      <c r="AF336" s="9"/>
      <c r="AG336" s="9"/>
      <c r="AH336" s="9"/>
      <c r="AI336" s="9"/>
      <c r="AJ336" s="9"/>
      <c r="AK336" s="9"/>
      <c r="AL336" s="9"/>
      <c r="AM336" s="11"/>
      <c r="AN336" s="11"/>
      <c r="AO336" s="9"/>
      <c r="AP336" s="9"/>
      <c r="AQ336" s="9"/>
    </row>
    <row r="337" spans="1:43" x14ac:dyDescent="0.25">
      <c r="A337" s="9"/>
      <c r="B337" s="10"/>
      <c r="C337" s="9"/>
      <c r="D337" s="9"/>
      <c r="E337" s="9"/>
      <c r="F337" s="9"/>
      <c r="G337" s="9"/>
      <c r="H337" s="9"/>
      <c r="I337" s="11"/>
      <c r="J337" s="10"/>
      <c r="K337" s="11"/>
      <c r="L337" s="9"/>
      <c r="M337" s="9"/>
      <c r="N337" s="9"/>
      <c r="O337" s="9"/>
      <c r="P337" s="9"/>
      <c r="Q337" s="9"/>
      <c r="R337" s="9"/>
      <c r="S337" s="9"/>
      <c r="T337" s="9"/>
      <c r="U337" s="9"/>
      <c r="V337" s="9"/>
      <c r="W337" s="9"/>
      <c r="X337" s="10"/>
      <c r="Y337" s="9"/>
      <c r="Z337" s="11"/>
      <c r="AA337" s="9"/>
      <c r="AB337" s="9"/>
      <c r="AC337" s="10"/>
      <c r="AD337" s="9"/>
      <c r="AE337" s="9"/>
      <c r="AF337" s="9"/>
      <c r="AG337" s="9"/>
      <c r="AH337" s="9"/>
      <c r="AI337" s="9"/>
      <c r="AJ337" s="9"/>
      <c r="AK337" s="9"/>
      <c r="AL337" s="9"/>
      <c r="AM337" s="11"/>
      <c r="AN337" s="11"/>
      <c r="AO337" s="9"/>
      <c r="AP337" s="9"/>
      <c r="AQ337" s="9"/>
    </row>
    <row r="338" spans="1:43" x14ac:dyDescent="0.25">
      <c r="A338" s="9"/>
      <c r="B338" s="10"/>
      <c r="C338" s="9"/>
      <c r="D338" s="9"/>
      <c r="E338" s="9"/>
      <c r="F338" s="9"/>
      <c r="G338" s="9"/>
      <c r="H338" s="9"/>
      <c r="I338" s="11"/>
      <c r="J338" s="10"/>
      <c r="K338" s="11"/>
      <c r="L338" s="9"/>
      <c r="M338" s="9"/>
      <c r="N338" s="9"/>
      <c r="O338" s="9"/>
      <c r="P338" s="9"/>
      <c r="Q338" s="9"/>
      <c r="R338" s="9"/>
      <c r="S338" s="9"/>
      <c r="T338" s="9"/>
      <c r="U338" s="9"/>
      <c r="V338" s="9"/>
      <c r="W338" s="9"/>
      <c r="X338" s="10"/>
      <c r="Y338" s="9"/>
      <c r="Z338" s="11"/>
      <c r="AA338" s="9"/>
      <c r="AB338" s="9"/>
      <c r="AC338" s="10"/>
      <c r="AD338" s="9"/>
      <c r="AE338" s="9"/>
      <c r="AF338" s="9"/>
      <c r="AG338" s="9"/>
      <c r="AH338" s="9"/>
      <c r="AI338" s="9"/>
      <c r="AJ338" s="9"/>
      <c r="AK338" s="9"/>
      <c r="AL338" s="9"/>
      <c r="AM338" s="11"/>
      <c r="AN338" s="11"/>
      <c r="AO338" s="9"/>
      <c r="AP338" s="9"/>
      <c r="AQ338" s="9"/>
    </row>
    <row r="339" spans="1:43" x14ac:dyDescent="0.25">
      <c r="A339" s="9"/>
      <c r="B339" s="10"/>
      <c r="C339" s="9"/>
      <c r="D339" s="9"/>
      <c r="E339" s="9"/>
      <c r="F339" s="9"/>
      <c r="G339" s="9"/>
      <c r="H339" s="9"/>
      <c r="I339" s="11"/>
      <c r="J339" s="11"/>
      <c r="K339" s="11"/>
      <c r="L339" s="9"/>
      <c r="M339" s="9"/>
      <c r="N339" s="9"/>
      <c r="O339" s="9"/>
      <c r="P339" s="9"/>
      <c r="Q339" s="9"/>
      <c r="R339" s="9"/>
      <c r="S339" s="9"/>
      <c r="T339" s="9"/>
      <c r="U339" s="9"/>
      <c r="V339" s="9"/>
      <c r="W339" s="9"/>
      <c r="X339" s="10"/>
      <c r="Y339" s="9"/>
      <c r="Z339" s="11"/>
      <c r="AA339" s="9"/>
      <c r="AB339" s="9"/>
      <c r="AC339" s="10"/>
      <c r="AD339" s="9"/>
      <c r="AE339" s="9"/>
      <c r="AF339" s="9"/>
      <c r="AG339" s="9"/>
      <c r="AH339" s="9"/>
      <c r="AI339" s="9"/>
      <c r="AJ339" s="9"/>
      <c r="AK339" s="9"/>
      <c r="AL339" s="9"/>
      <c r="AM339" s="11"/>
      <c r="AN339" s="11"/>
      <c r="AO339" s="9"/>
      <c r="AP339" s="9"/>
      <c r="AQ339" s="9"/>
    </row>
    <row r="340" spans="1:43" x14ac:dyDescent="0.25">
      <c r="A340" s="9"/>
      <c r="B340" s="10"/>
      <c r="C340" s="9"/>
      <c r="D340" s="9"/>
      <c r="E340" s="9"/>
      <c r="F340" s="9"/>
      <c r="G340" s="9"/>
      <c r="H340" s="9"/>
      <c r="I340" s="11"/>
      <c r="J340" s="10"/>
      <c r="K340" s="11"/>
      <c r="L340" s="9"/>
      <c r="M340" s="9"/>
      <c r="N340" s="9"/>
      <c r="O340" s="9"/>
      <c r="P340" s="9"/>
      <c r="Q340" s="9"/>
      <c r="R340" s="9"/>
      <c r="S340" s="9"/>
      <c r="T340" s="9"/>
      <c r="U340" s="9"/>
      <c r="V340" s="9"/>
      <c r="W340" s="9"/>
      <c r="X340" s="10"/>
      <c r="Y340" s="9"/>
      <c r="Z340" s="11"/>
      <c r="AA340" s="9"/>
      <c r="AB340" s="9"/>
      <c r="AC340" s="10"/>
      <c r="AD340" s="9"/>
      <c r="AE340" s="9"/>
      <c r="AF340" s="9"/>
      <c r="AG340" s="9"/>
      <c r="AH340" s="9"/>
      <c r="AI340" s="9"/>
      <c r="AJ340" s="9"/>
      <c r="AK340" s="9"/>
      <c r="AL340" s="9"/>
      <c r="AM340" s="11"/>
      <c r="AN340" s="11"/>
      <c r="AO340" s="9"/>
      <c r="AP340" s="9"/>
      <c r="AQ340" s="9"/>
    </row>
    <row r="341" spans="1:43" x14ac:dyDescent="0.25">
      <c r="A341" s="9"/>
      <c r="B341" s="10"/>
      <c r="C341" s="9"/>
      <c r="D341" s="9"/>
      <c r="E341" s="9"/>
      <c r="F341" s="9"/>
      <c r="G341" s="9"/>
      <c r="H341" s="9"/>
      <c r="I341" s="11"/>
      <c r="J341" s="10"/>
      <c r="K341" s="11"/>
      <c r="L341" s="9"/>
      <c r="M341" s="9"/>
      <c r="N341" s="9"/>
      <c r="O341" s="9"/>
      <c r="P341" s="9"/>
      <c r="Q341" s="9"/>
      <c r="R341" s="9"/>
      <c r="S341" s="9"/>
      <c r="T341" s="9"/>
      <c r="U341" s="9"/>
      <c r="V341" s="9"/>
      <c r="W341" s="9"/>
      <c r="X341" s="10"/>
      <c r="Y341" s="9"/>
      <c r="Z341" s="11"/>
      <c r="AA341" s="9"/>
      <c r="AB341" s="9"/>
      <c r="AC341" s="10"/>
      <c r="AD341" s="9"/>
      <c r="AE341" s="9"/>
      <c r="AF341" s="9"/>
      <c r="AG341" s="9"/>
      <c r="AH341" s="9"/>
      <c r="AI341" s="9"/>
      <c r="AJ341" s="9"/>
      <c r="AK341" s="9"/>
      <c r="AL341" s="9"/>
      <c r="AM341" s="11"/>
      <c r="AN341" s="10"/>
      <c r="AO341" s="9"/>
      <c r="AP341" s="9"/>
      <c r="AQ341" s="9"/>
    </row>
    <row r="342" spans="1:43" x14ac:dyDescent="0.25">
      <c r="A342" s="9"/>
      <c r="B342" s="10"/>
      <c r="C342" s="9"/>
      <c r="D342" s="9"/>
      <c r="E342" s="9"/>
      <c r="F342" s="9"/>
      <c r="G342" s="9"/>
      <c r="H342" s="9"/>
      <c r="I342" s="11"/>
      <c r="J342" s="10"/>
      <c r="K342" s="11"/>
      <c r="L342" s="9"/>
      <c r="M342" s="9"/>
      <c r="N342" s="9"/>
      <c r="O342" s="9"/>
      <c r="P342" s="9"/>
      <c r="Q342" s="9"/>
      <c r="R342" s="9"/>
      <c r="S342" s="9"/>
      <c r="T342" s="9"/>
      <c r="U342" s="9"/>
      <c r="V342" s="9"/>
      <c r="W342" s="9"/>
      <c r="X342" s="10"/>
      <c r="Y342" s="9"/>
      <c r="Z342" s="11"/>
      <c r="AA342" s="9"/>
      <c r="AB342" s="9"/>
      <c r="AC342" s="10"/>
      <c r="AD342" s="9"/>
      <c r="AE342" s="9"/>
      <c r="AF342" s="9"/>
      <c r="AG342" s="9"/>
      <c r="AH342" s="9"/>
      <c r="AI342" s="9"/>
      <c r="AJ342" s="9"/>
      <c r="AK342" s="9"/>
      <c r="AL342" s="9"/>
      <c r="AM342" s="11"/>
      <c r="AN342" s="10"/>
      <c r="AO342" s="9"/>
      <c r="AP342" s="9"/>
      <c r="AQ342" s="9"/>
    </row>
    <row r="343" spans="1:43" x14ac:dyDescent="0.25">
      <c r="A343" s="9"/>
      <c r="B343" s="10"/>
      <c r="C343" s="9"/>
      <c r="D343" s="9"/>
      <c r="E343" s="9"/>
      <c r="F343" s="9"/>
      <c r="G343" s="9"/>
      <c r="H343" s="9"/>
      <c r="I343" s="11"/>
      <c r="J343" s="10"/>
      <c r="K343" s="11"/>
      <c r="L343" s="9"/>
      <c r="M343" s="9"/>
      <c r="N343" s="9"/>
      <c r="O343" s="9"/>
      <c r="P343" s="9"/>
      <c r="Q343" s="9"/>
      <c r="R343" s="9"/>
      <c r="S343" s="9"/>
      <c r="T343" s="9"/>
      <c r="U343" s="9"/>
      <c r="V343" s="9"/>
      <c r="W343" s="9"/>
      <c r="X343" s="10"/>
      <c r="Y343" s="9"/>
      <c r="Z343" s="11"/>
      <c r="AA343" s="9"/>
      <c r="AB343" s="9"/>
      <c r="AC343" s="10"/>
      <c r="AD343" s="9"/>
      <c r="AE343" s="9"/>
      <c r="AF343" s="9"/>
      <c r="AG343" s="9"/>
      <c r="AH343" s="9"/>
      <c r="AI343" s="9"/>
      <c r="AJ343" s="9"/>
      <c r="AK343" s="9"/>
      <c r="AL343" s="9"/>
      <c r="AM343" s="11"/>
      <c r="AN343" s="10"/>
      <c r="AO343" s="9"/>
      <c r="AP343" s="9"/>
      <c r="AQ343" s="9"/>
    </row>
    <row r="344" spans="1:43" x14ac:dyDescent="0.25">
      <c r="A344" s="9"/>
      <c r="B344" s="10"/>
      <c r="C344" s="9"/>
      <c r="D344" s="9"/>
      <c r="E344" s="9"/>
      <c r="F344" s="9"/>
      <c r="G344" s="9"/>
      <c r="H344" s="9"/>
      <c r="I344" s="11"/>
      <c r="J344" s="10"/>
      <c r="K344" s="11"/>
      <c r="L344" s="9"/>
      <c r="M344" s="9"/>
      <c r="N344" s="9"/>
      <c r="O344" s="9"/>
      <c r="P344" s="9"/>
      <c r="Q344" s="9"/>
      <c r="R344" s="9"/>
      <c r="S344" s="9"/>
      <c r="T344" s="9"/>
      <c r="U344" s="9"/>
      <c r="V344" s="9"/>
      <c r="W344" s="9"/>
      <c r="X344" s="10"/>
      <c r="Y344" s="9"/>
      <c r="Z344" s="11"/>
      <c r="AA344" s="9"/>
      <c r="AB344" s="9"/>
      <c r="AC344" s="10"/>
      <c r="AD344" s="9"/>
      <c r="AE344" s="9"/>
      <c r="AF344" s="9"/>
      <c r="AG344" s="9"/>
      <c r="AH344" s="9"/>
      <c r="AI344" s="9"/>
      <c r="AJ344" s="9"/>
      <c r="AK344" s="9"/>
      <c r="AL344" s="9"/>
      <c r="AM344" s="11"/>
      <c r="AN344" s="10"/>
      <c r="AO344" s="9"/>
      <c r="AP344" s="9"/>
      <c r="AQ344" s="9"/>
    </row>
    <row r="345" spans="1:43" x14ac:dyDescent="0.25">
      <c r="A345" s="9"/>
      <c r="B345" s="10"/>
      <c r="C345" s="9"/>
      <c r="D345" s="9"/>
      <c r="E345" s="9"/>
      <c r="F345" s="9"/>
      <c r="G345" s="9"/>
      <c r="H345" s="9"/>
      <c r="I345" s="11"/>
      <c r="J345" s="10"/>
      <c r="K345" s="11"/>
      <c r="L345" s="9"/>
      <c r="M345" s="9"/>
      <c r="N345" s="9"/>
      <c r="O345" s="9"/>
      <c r="P345" s="9"/>
      <c r="Q345" s="9"/>
      <c r="R345" s="9"/>
      <c r="S345" s="9"/>
      <c r="T345" s="9"/>
      <c r="U345" s="9"/>
      <c r="V345" s="9"/>
      <c r="W345" s="9"/>
      <c r="X345" s="10"/>
      <c r="Y345" s="9"/>
      <c r="Z345" s="11"/>
      <c r="AA345" s="9"/>
      <c r="AB345" s="9"/>
      <c r="AC345" s="10"/>
      <c r="AD345" s="9"/>
      <c r="AE345" s="9"/>
      <c r="AF345" s="9"/>
      <c r="AG345" s="9"/>
      <c r="AH345" s="9"/>
      <c r="AI345" s="9"/>
      <c r="AJ345" s="9"/>
      <c r="AK345" s="9"/>
      <c r="AL345" s="9"/>
      <c r="AM345" s="11"/>
      <c r="AN345" s="10"/>
      <c r="AO345" s="9"/>
      <c r="AP345" s="9"/>
      <c r="AQ345" s="9"/>
    </row>
    <row r="346" spans="1:43" x14ac:dyDescent="0.25">
      <c r="A346" s="9"/>
      <c r="B346" s="10"/>
      <c r="C346" s="9"/>
      <c r="D346" s="9"/>
      <c r="E346" s="9"/>
      <c r="F346" s="9"/>
      <c r="G346" s="9"/>
      <c r="H346" s="9"/>
      <c r="I346" s="11"/>
      <c r="J346" s="10"/>
      <c r="K346" s="11"/>
      <c r="L346" s="9"/>
      <c r="M346" s="9"/>
      <c r="N346" s="9"/>
      <c r="O346" s="9"/>
      <c r="P346" s="9"/>
      <c r="Q346" s="9"/>
      <c r="R346" s="9"/>
      <c r="S346" s="9"/>
      <c r="T346" s="9"/>
      <c r="U346" s="9"/>
      <c r="V346" s="9"/>
      <c r="W346" s="9"/>
      <c r="X346" s="10"/>
      <c r="Y346" s="9"/>
      <c r="Z346" s="11"/>
      <c r="AA346" s="9"/>
      <c r="AB346" s="9"/>
      <c r="AC346" s="10"/>
      <c r="AD346" s="9"/>
      <c r="AE346" s="9"/>
      <c r="AF346" s="9"/>
      <c r="AG346" s="9"/>
      <c r="AH346" s="9"/>
      <c r="AI346" s="9"/>
      <c r="AJ346" s="9"/>
      <c r="AK346" s="9"/>
      <c r="AL346" s="9"/>
      <c r="AM346" s="11"/>
      <c r="AN346" s="11"/>
      <c r="AO346" s="9"/>
      <c r="AP346" s="9"/>
      <c r="AQ346" s="9"/>
    </row>
    <row r="347" spans="1:43" x14ac:dyDescent="0.25">
      <c r="A347" s="9"/>
      <c r="B347" s="10"/>
      <c r="C347" s="9"/>
      <c r="D347" s="9"/>
      <c r="E347" s="9"/>
      <c r="F347" s="9"/>
      <c r="G347" s="9"/>
      <c r="H347" s="9"/>
      <c r="I347" s="11"/>
      <c r="J347" s="10"/>
      <c r="K347" s="11"/>
      <c r="L347" s="9"/>
      <c r="M347" s="9"/>
      <c r="N347" s="9"/>
      <c r="O347" s="9"/>
      <c r="P347" s="9"/>
      <c r="Q347" s="9"/>
      <c r="R347" s="9"/>
      <c r="S347" s="9"/>
      <c r="T347" s="9"/>
      <c r="U347" s="9"/>
      <c r="V347" s="9"/>
      <c r="W347" s="9"/>
      <c r="X347" s="10"/>
      <c r="Y347" s="9"/>
      <c r="Z347" s="11"/>
      <c r="AA347" s="9"/>
      <c r="AB347" s="9"/>
      <c r="AC347" s="10"/>
      <c r="AD347" s="9"/>
      <c r="AE347" s="9"/>
      <c r="AF347" s="9"/>
      <c r="AG347" s="9"/>
      <c r="AH347" s="9"/>
      <c r="AI347" s="9"/>
      <c r="AJ347" s="9"/>
      <c r="AK347" s="9"/>
      <c r="AL347" s="9"/>
      <c r="AM347" s="11"/>
      <c r="AN347" s="11"/>
      <c r="AO347" s="9"/>
      <c r="AP347" s="9"/>
      <c r="AQ347" s="9"/>
    </row>
    <row r="348" spans="1:43" x14ac:dyDescent="0.25">
      <c r="A348" s="9"/>
      <c r="B348" s="10"/>
      <c r="C348" s="9"/>
      <c r="D348" s="9"/>
      <c r="E348" s="9"/>
      <c r="F348" s="9"/>
      <c r="G348" s="9"/>
      <c r="H348" s="9"/>
      <c r="I348" s="11"/>
      <c r="J348" s="10"/>
      <c r="K348" s="11"/>
      <c r="L348" s="9"/>
      <c r="M348" s="9"/>
      <c r="N348" s="9"/>
      <c r="O348" s="9"/>
      <c r="P348" s="9"/>
      <c r="Q348" s="9"/>
      <c r="R348" s="9"/>
      <c r="S348" s="9"/>
      <c r="T348" s="9"/>
      <c r="U348" s="9"/>
      <c r="V348" s="9"/>
      <c r="W348" s="9"/>
      <c r="X348" s="10"/>
      <c r="Y348" s="9"/>
      <c r="Z348" s="11"/>
      <c r="AA348" s="9"/>
      <c r="AB348" s="9"/>
      <c r="AC348" s="10"/>
      <c r="AD348" s="9"/>
      <c r="AE348" s="9"/>
      <c r="AF348" s="9"/>
      <c r="AG348" s="9"/>
      <c r="AH348" s="9"/>
      <c r="AI348" s="9"/>
      <c r="AJ348" s="9"/>
      <c r="AK348" s="9"/>
      <c r="AL348" s="9"/>
      <c r="AM348" s="11"/>
      <c r="AN348" s="11"/>
      <c r="AO348" s="9"/>
      <c r="AP348" s="9"/>
      <c r="AQ348" s="9"/>
    </row>
    <row r="349" spans="1:43" x14ac:dyDescent="0.25">
      <c r="A349" s="9"/>
      <c r="B349" s="10"/>
      <c r="C349" s="9"/>
      <c r="D349" s="9"/>
      <c r="E349" s="9"/>
      <c r="F349" s="9"/>
      <c r="G349" s="9"/>
      <c r="H349" s="9"/>
      <c r="I349" s="11"/>
      <c r="J349" s="11"/>
      <c r="K349" s="11"/>
      <c r="L349" s="9"/>
      <c r="M349" s="9"/>
      <c r="N349" s="9"/>
      <c r="O349" s="9"/>
      <c r="P349" s="9"/>
      <c r="Q349" s="9"/>
      <c r="R349" s="9"/>
      <c r="S349" s="9"/>
      <c r="T349" s="9"/>
      <c r="U349" s="9"/>
      <c r="V349" s="9"/>
      <c r="W349" s="9"/>
      <c r="X349" s="11"/>
      <c r="Y349" s="9"/>
      <c r="Z349" s="11"/>
      <c r="AA349" s="9"/>
      <c r="AB349" s="9"/>
      <c r="AC349" s="11"/>
      <c r="AD349" s="9"/>
      <c r="AE349" s="9"/>
      <c r="AF349" s="9"/>
      <c r="AG349" s="9"/>
      <c r="AH349" s="9"/>
      <c r="AI349" s="9"/>
      <c r="AJ349" s="9"/>
      <c r="AK349" s="9"/>
      <c r="AL349" s="9"/>
      <c r="AM349" s="11"/>
      <c r="AN349" s="11"/>
      <c r="AO349" s="9"/>
      <c r="AP349" s="9"/>
      <c r="AQ349" s="9"/>
    </row>
    <row r="350" spans="1:43" x14ac:dyDescent="0.25">
      <c r="A350" s="9"/>
      <c r="B350" s="10"/>
      <c r="C350" s="9"/>
      <c r="D350" s="9"/>
      <c r="E350" s="9"/>
      <c r="F350" s="9"/>
      <c r="G350" s="9"/>
      <c r="H350" s="9"/>
      <c r="I350" s="11"/>
      <c r="J350" s="10"/>
      <c r="K350" s="11"/>
      <c r="L350" s="9"/>
      <c r="M350" s="9"/>
      <c r="N350" s="9"/>
      <c r="O350" s="9"/>
      <c r="P350" s="9"/>
      <c r="Q350" s="9"/>
      <c r="R350" s="9"/>
      <c r="S350" s="9"/>
      <c r="T350" s="9"/>
      <c r="U350" s="9"/>
      <c r="V350" s="9"/>
      <c r="W350" s="9"/>
      <c r="X350" s="10"/>
      <c r="Y350" s="9"/>
      <c r="Z350" s="11"/>
      <c r="AA350" s="9"/>
      <c r="AB350" s="9"/>
      <c r="AC350" s="10"/>
      <c r="AD350" s="9"/>
      <c r="AE350" s="9"/>
      <c r="AF350" s="9"/>
      <c r="AG350" s="9"/>
      <c r="AH350" s="9"/>
      <c r="AI350" s="9"/>
      <c r="AJ350" s="9"/>
      <c r="AK350" s="9"/>
      <c r="AL350" s="9"/>
      <c r="AM350" s="11"/>
      <c r="AN350" s="11"/>
      <c r="AO350" s="9"/>
      <c r="AP350" s="9"/>
      <c r="AQ350" s="9"/>
    </row>
    <row r="351" spans="1:43" x14ac:dyDescent="0.25">
      <c r="A351" s="9"/>
      <c r="B351" s="10"/>
      <c r="C351" s="9"/>
      <c r="D351" s="9"/>
      <c r="E351" s="9"/>
      <c r="F351" s="9"/>
      <c r="G351" s="9"/>
      <c r="H351" s="9"/>
      <c r="I351" s="11"/>
      <c r="J351" s="10"/>
      <c r="K351" s="11"/>
      <c r="L351" s="9"/>
      <c r="M351" s="9"/>
      <c r="N351" s="9"/>
      <c r="O351" s="9"/>
      <c r="P351" s="9"/>
      <c r="Q351" s="9"/>
      <c r="R351" s="9"/>
      <c r="S351" s="9"/>
      <c r="T351" s="9"/>
      <c r="U351" s="9"/>
      <c r="V351" s="9"/>
      <c r="W351" s="9"/>
      <c r="X351" s="10"/>
      <c r="Y351" s="9"/>
      <c r="Z351" s="11"/>
      <c r="AA351" s="9"/>
      <c r="AB351" s="9"/>
      <c r="AC351" s="10"/>
      <c r="AD351" s="9"/>
      <c r="AE351" s="9"/>
      <c r="AF351" s="9"/>
      <c r="AG351" s="9"/>
      <c r="AH351" s="9"/>
      <c r="AI351" s="9"/>
      <c r="AJ351" s="9"/>
      <c r="AK351" s="9"/>
      <c r="AL351" s="9"/>
      <c r="AM351" s="11"/>
      <c r="AN351" s="10"/>
      <c r="AO351" s="9"/>
      <c r="AP351" s="9"/>
      <c r="AQ351" s="9"/>
    </row>
    <row r="352" spans="1:43" x14ac:dyDescent="0.25">
      <c r="A352" s="9"/>
      <c r="B352" s="10"/>
      <c r="C352" s="9"/>
      <c r="D352" s="9"/>
      <c r="E352" s="9"/>
      <c r="F352" s="9"/>
      <c r="G352" s="9"/>
      <c r="H352" s="9"/>
      <c r="I352" s="11"/>
      <c r="J352" s="11"/>
      <c r="K352" s="11"/>
      <c r="L352" s="9"/>
      <c r="M352" s="9"/>
      <c r="N352" s="9"/>
      <c r="O352" s="9"/>
      <c r="P352" s="9"/>
      <c r="Q352" s="9"/>
      <c r="R352" s="9"/>
      <c r="S352" s="9"/>
      <c r="T352" s="9"/>
      <c r="U352" s="9"/>
      <c r="V352" s="9"/>
      <c r="W352" s="9"/>
      <c r="X352" s="10"/>
      <c r="Y352" s="9"/>
      <c r="Z352" s="11"/>
      <c r="AA352" s="9"/>
      <c r="AB352" s="9"/>
      <c r="AC352" s="10"/>
      <c r="AD352" s="9"/>
      <c r="AE352" s="9"/>
      <c r="AF352" s="9"/>
      <c r="AG352" s="9"/>
      <c r="AH352" s="9"/>
      <c r="AI352" s="9"/>
      <c r="AJ352" s="9"/>
      <c r="AK352" s="9"/>
      <c r="AL352" s="9"/>
      <c r="AM352" s="11"/>
      <c r="AN352" s="11"/>
      <c r="AO352" s="9"/>
      <c r="AP352" s="9"/>
      <c r="AQ352" s="9"/>
    </row>
    <row r="353" spans="1:43" x14ac:dyDescent="0.25">
      <c r="A353" s="9"/>
      <c r="B353" s="10"/>
      <c r="C353" s="9"/>
      <c r="D353" s="9"/>
      <c r="E353" s="9"/>
      <c r="F353" s="9"/>
      <c r="G353" s="9"/>
      <c r="H353" s="9"/>
      <c r="I353" s="11"/>
      <c r="J353" s="10"/>
      <c r="K353" s="11"/>
      <c r="L353" s="9"/>
      <c r="M353" s="9"/>
      <c r="N353" s="9"/>
      <c r="O353" s="9"/>
      <c r="P353" s="9"/>
      <c r="Q353" s="9"/>
      <c r="R353" s="9"/>
      <c r="S353" s="9"/>
      <c r="T353" s="9"/>
      <c r="U353" s="9"/>
      <c r="V353" s="9"/>
      <c r="W353" s="9"/>
      <c r="X353" s="10"/>
      <c r="Y353" s="9"/>
      <c r="Z353" s="11"/>
      <c r="AA353" s="9"/>
      <c r="AB353" s="9"/>
      <c r="AC353" s="10"/>
      <c r="AD353" s="9"/>
      <c r="AE353" s="9"/>
      <c r="AF353" s="9"/>
      <c r="AG353" s="9"/>
      <c r="AH353" s="9"/>
      <c r="AI353" s="9"/>
      <c r="AJ353" s="9"/>
      <c r="AK353" s="9"/>
      <c r="AL353" s="9"/>
      <c r="AM353" s="11"/>
      <c r="AN353" s="11"/>
      <c r="AO353" s="9"/>
      <c r="AP353" s="9"/>
      <c r="AQ353" s="9"/>
    </row>
    <row r="354" spans="1:43" x14ac:dyDescent="0.25">
      <c r="A354" s="9"/>
      <c r="B354" s="10"/>
      <c r="C354" s="9"/>
      <c r="D354" s="9"/>
      <c r="E354" s="9"/>
      <c r="F354" s="9"/>
      <c r="G354" s="9"/>
      <c r="H354" s="9"/>
      <c r="I354" s="11"/>
      <c r="J354" s="11"/>
      <c r="K354" s="11"/>
      <c r="L354" s="9"/>
      <c r="M354" s="9"/>
      <c r="N354" s="9"/>
      <c r="O354" s="9"/>
      <c r="P354" s="9"/>
      <c r="Q354" s="9"/>
      <c r="R354" s="9"/>
      <c r="S354" s="9"/>
      <c r="T354" s="9"/>
      <c r="U354" s="9"/>
      <c r="V354" s="9"/>
      <c r="W354" s="9"/>
      <c r="X354" s="10"/>
      <c r="Y354" s="9"/>
      <c r="Z354" s="11"/>
      <c r="AA354" s="9"/>
      <c r="AB354" s="9"/>
      <c r="AC354" s="11"/>
      <c r="AD354" s="9"/>
      <c r="AE354" s="9"/>
      <c r="AF354" s="9"/>
      <c r="AG354" s="9"/>
      <c r="AH354" s="9"/>
      <c r="AI354" s="9"/>
      <c r="AJ354" s="9"/>
      <c r="AK354" s="9"/>
      <c r="AL354" s="9"/>
      <c r="AM354" s="11"/>
      <c r="AN354" s="11"/>
      <c r="AO354" s="9"/>
      <c r="AP354" s="9"/>
      <c r="AQ354" s="9"/>
    </row>
    <row r="355" spans="1:43" x14ac:dyDescent="0.25">
      <c r="A355" s="9"/>
      <c r="B355" s="10"/>
      <c r="C355" s="9"/>
      <c r="D355" s="9"/>
      <c r="E355" s="9"/>
      <c r="F355" s="9"/>
      <c r="G355" s="9"/>
      <c r="H355" s="9"/>
      <c r="I355" s="11"/>
      <c r="J355" s="11"/>
      <c r="K355" s="11"/>
      <c r="L355" s="9"/>
      <c r="M355" s="9"/>
      <c r="N355" s="9"/>
      <c r="O355" s="9"/>
      <c r="P355" s="9"/>
      <c r="Q355" s="9"/>
      <c r="R355" s="9"/>
      <c r="S355" s="9"/>
      <c r="T355" s="9"/>
      <c r="U355" s="9"/>
      <c r="V355" s="9"/>
      <c r="W355" s="9"/>
      <c r="X355" s="10"/>
      <c r="Y355" s="9"/>
      <c r="Z355" s="11"/>
      <c r="AA355" s="9"/>
      <c r="AB355" s="9"/>
      <c r="AC355" s="11"/>
      <c r="AD355" s="9"/>
      <c r="AE355" s="9"/>
      <c r="AF355" s="9"/>
      <c r="AG355" s="9"/>
      <c r="AH355" s="9"/>
      <c r="AI355" s="9"/>
      <c r="AJ355" s="9"/>
      <c r="AK355" s="9"/>
      <c r="AL355" s="9"/>
      <c r="AM355" s="11"/>
      <c r="AN355" s="11"/>
      <c r="AO355" s="9"/>
      <c r="AP355" s="9"/>
      <c r="AQ355" s="9"/>
    </row>
    <row r="356" spans="1:43" x14ac:dyDescent="0.25">
      <c r="A356" s="9"/>
      <c r="B356" s="10"/>
      <c r="C356" s="9"/>
      <c r="D356" s="9"/>
      <c r="E356" s="9"/>
      <c r="F356" s="9"/>
      <c r="G356" s="9"/>
      <c r="H356" s="9"/>
      <c r="I356" s="11"/>
      <c r="J356" s="10"/>
      <c r="K356" s="11"/>
      <c r="L356" s="9"/>
      <c r="M356" s="9"/>
      <c r="N356" s="9"/>
      <c r="O356" s="9"/>
      <c r="P356" s="9"/>
      <c r="Q356" s="9"/>
      <c r="R356" s="9"/>
      <c r="S356" s="9"/>
      <c r="T356" s="9"/>
      <c r="U356" s="9"/>
      <c r="V356" s="9"/>
      <c r="W356" s="9"/>
      <c r="X356" s="10"/>
      <c r="Y356" s="9"/>
      <c r="Z356" s="11"/>
      <c r="AA356" s="9"/>
      <c r="AB356" s="9"/>
      <c r="AC356" s="10"/>
      <c r="AD356" s="9"/>
      <c r="AE356" s="9"/>
      <c r="AF356" s="9"/>
      <c r="AG356" s="9"/>
      <c r="AH356" s="9"/>
      <c r="AI356" s="9"/>
      <c r="AJ356" s="9"/>
      <c r="AK356" s="9"/>
      <c r="AL356" s="9"/>
      <c r="AM356" s="11"/>
      <c r="AN356" s="11"/>
      <c r="AO356" s="9"/>
      <c r="AP356" s="9"/>
      <c r="AQ356" s="9"/>
    </row>
    <row r="357" spans="1:43" x14ac:dyDescent="0.25">
      <c r="A357" s="9"/>
      <c r="B357" s="10"/>
      <c r="C357" s="9"/>
      <c r="D357" s="9"/>
      <c r="E357" s="9"/>
      <c r="F357" s="9"/>
      <c r="G357" s="9"/>
      <c r="H357" s="9"/>
      <c r="I357" s="11"/>
      <c r="J357" s="11"/>
      <c r="K357" s="11"/>
      <c r="L357" s="9"/>
      <c r="M357" s="9"/>
      <c r="N357" s="9"/>
      <c r="O357" s="9"/>
      <c r="P357" s="9"/>
      <c r="Q357" s="9"/>
      <c r="R357" s="9"/>
      <c r="S357" s="9"/>
      <c r="T357" s="9"/>
      <c r="U357" s="9"/>
      <c r="V357" s="9"/>
      <c r="W357" s="9"/>
      <c r="X357" s="11"/>
      <c r="Y357" s="9"/>
      <c r="Z357" s="11"/>
      <c r="AA357" s="9"/>
      <c r="AB357" s="9"/>
      <c r="AC357" s="11"/>
      <c r="AD357" s="9"/>
      <c r="AE357" s="9"/>
      <c r="AF357" s="9"/>
      <c r="AG357" s="9"/>
      <c r="AH357" s="9"/>
      <c r="AI357" s="9"/>
      <c r="AJ357" s="9"/>
      <c r="AK357" s="9"/>
      <c r="AL357" s="9"/>
      <c r="AM357" s="11"/>
      <c r="AN357" s="11"/>
      <c r="AO357" s="9"/>
      <c r="AP357" s="9"/>
      <c r="AQ357" s="9"/>
    </row>
    <row r="358" spans="1:43" x14ac:dyDescent="0.25">
      <c r="A358" s="9"/>
      <c r="B358" s="10"/>
      <c r="C358" s="9"/>
      <c r="D358" s="9"/>
      <c r="E358" s="9"/>
      <c r="F358" s="9"/>
      <c r="G358" s="9"/>
      <c r="H358" s="9"/>
      <c r="I358" s="11"/>
      <c r="J358" s="11"/>
      <c r="K358" s="11"/>
      <c r="L358" s="9"/>
      <c r="M358" s="9"/>
      <c r="N358" s="9"/>
      <c r="O358" s="9"/>
      <c r="P358" s="9"/>
      <c r="Q358" s="9"/>
      <c r="R358" s="9"/>
      <c r="S358" s="9"/>
      <c r="T358" s="9"/>
      <c r="U358" s="9"/>
      <c r="V358" s="9"/>
      <c r="W358" s="9"/>
      <c r="X358" s="10"/>
      <c r="Y358" s="9"/>
      <c r="Z358" s="11"/>
      <c r="AA358" s="9"/>
      <c r="AB358" s="9"/>
      <c r="AC358" s="10"/>
      <c r="AD358" s="9"/>
      <c r="AE358" s="9"/>
      <c r="AF358" s="9"/>
      <c r="AG358" s="9"/>
      <c r="AH358" s="9"/>
      <c r="AI358" s="9"/>
      <c r="AJ358" s="9"/>
      <c r="AK358" s="9"/>
      <c r="AL358" s="9"/>
      <c r="AM358" s="11"/>
      <c r="AN358" s="11"/>
      <c r="AO358" s="9"/>
      <c r="AP358" s="9"/>
      <c r="AQ358" s="9"/>
    </row>
    <row r="359" spans="1:43" x14ac:dyDescent="0.25">
      <c r="A359" s="9"/>
      <c r="B359" s="10"/>
      <c r="C359" s="9"/>
      <c r="D359" s="9"/>
      <c r="E359" s="9"/>
      <c r="F359" s="9"/>
      <c r="G359" s="9"/>
      <c r="H359" s="9"/>
      <c r="I359" s="11"/>
      <c r="J359" s="11"/>
      <c r="K359" s="11"/>
      <c r="L359" s="9"/>
      <c r="M359" s="9"/>
      <c r="N359" s="9"/>
      <c r="O359" s="9"/>
      <c r="P359" s="9"/>
      <c r="Q359" s="9"/>
      <c r="R359" s="9"/>
      <c r="S359" s="9"/>
      <c r="T359" s="9"/>
      <c r="U359" s="9"/>
      <c r="V359" s="9"/>
      <c r="W359" s="9"/>
      <c r="X359" s="10"/>
      <c r="Y359" s="9"/>
      <c r="Z359" s="11"/>
      <c r="AA359" s="9"/>
      <c r="AB359" s="9"/>
      <c r="AC359" s="10"/>
      <c r="AD359" s="9"/>
      <c r="AE359" s="9"/>
      <c r="AF359" s="9"/>
      <c r="AG359" s="9"/>
      <c r="AH359" s="9"/>
      <c r="AI359" s="9"/>
      <c r="AJ359" s="9"/>
      <c r="AK359" s="9"/>
      <c r="AL359" s="9"/>
      <c r="AM359" s="11"/>
      <c r="AN359" s="11"/>
      <c r="AO359" s="9"/>
      <c r="AP359" s="9"/>
      <c r="AQ359" s="9"/>
    </row>
    <row r="360" spans="1:43" x14ac:dyDescent="0.25">
      <c r="A360" s="9"/>
      <c r="B360" s="10"/>
      <c r="C360" s="9"/>
      <c r="D360" s="9"/>
      <c r="E360" s="9"/>
      <c r="F360" s="9"/>
      <c r="G360" s="9"/>
      <c r="H360" s="9"/>
      <c r="I360" s="11"/>
      <c r="J360" s="10"/>
      <c r="K360" s="11"/>
      <c r="L360" s="9"/>
      <c r="M360" s="9"/>
      <c r="N360" s="9"/>
      <c r="O360" s="9"/>
      <c r="P360" s="9"/>
      <c r="Q360" s="9"/>
      <c r="R360" s="9"/>
      <c r="S360" s="9"/>
      <c r="T360" s="9"/>
      <c r="U360" s="9"/>
      <c r="V360" s="9"/>
      <c r="W360" s="9"/>
      <c r="X360" s="10"/>
      <c r="Y360" s="9"/>
      <c r="Z360" s="11"/>
      <c r="AA360" s="9"/>
      <c r="AB360" s="9"/>
      <c r="AC360" s="10"/>
      <c r="AD360" s="9"/>
      <c r="AE360" s="9"/>
      <c r="AF360" s="9"/>
      <c r="AG360" s="9"/>
      <c r="AH360" s="9"/>
      <c r="AI360" s="9"/>
      <c r="AJ360" s="9"/>
      <c r="AK360" s="9"/>
      <c r="AL360" s="9"/>
      <c r="AM360" s="11"/>
      <c r="AN360" s="11"/>
      <c r="AO360" s="9"/>
      <c r="AP360" s="9"/>
      <c r="AQ360" s="9"/>
    </row>
    <row r="361" spans="1:43" x14ac:dyDescent="0.25">
      <c r="A361" s="9"/>
      <c r="B361" s="10"/>
      <c r="C361" s="9"/>
      <c r="D361" s="9"/>
      <c r="E361" s="9"/>
      <c r="F361" s="9"/>
      <c r="G361" s="9"/>
      <c r="H361" s="9"/>
      <c r="I361" s="11"/>
      <c r="J361" s="11"/>
      <c r="K361" s="11"/>
      <c r="L361" s="9"/>
      <c r="M361" s="9"/>
      <c r="N361" s="9"/>
      <c r="O361" s="9"/>
      <c r="P361" s="9"/>
      <c r="Q361" s="9"/>
      <c r="R361" s="9"/>
      <c r="S361" s="9"/>
      <c r="T361" s="9"/>
      <c r="U361" s="9"/>
      <c r="V361" s="9"/>
      <c r="W361" s="9"/>
      <c r="X361" s="10"/>
      <c r="Y361" s="9"/>
      <c r="Z361" s="11"/>
      <c r="AA361" s="9"/>
      <c r="AB361" s="9"/>
      <c r="AC361" s="10"/>
      <c r="AD361" s="9"/>
      <c r="AE361" s="9"/>
      <c r="AF361" s="9"/>
      <c r="AG361" s="9"/>
      <c r="AH361" s="9"/>
      <c r="AI361" s="9"/>
      <c r="AJ361" s="9"/>
      <c r="AK361" s="9"/>
      <c r="AL361" s="9"/>
      <c r="AM361" s="11"/>
      <c r="AN361" s="11"/>
      <c r="AO361" s="9"/>
      <c r="AP361" s="9"/>
      <c r="AQ361" s="9"/>
    </row>
    <row r="362" spans="1:43" x14ac:dyDescent="0.25">
      <c r="A362" s="9"/>
      <c r="B362" s="10"/>
      <c r="C362" s="9"/>
      <c r="D362" s="9"/>
      <c r="E362" s="9"/>
      <c r="F362" s="9"/>
      <c r="G362" s="9"/>
      <c r="H362" s="9"/>
      <c r="I362" s="11"/>
      <c r="J362" s="10"/>
      <c r="K362" s="11"/>
      <c r="L362" s="9"/>
      <c r="M362" s="9"/>
      <c r="N362" s="9"/>
      <c r="O362" s="9"/>
      <c r="P362" s="9"/>
      <c r="Q362" s="9"/>
      <c r="R362" s="9"/>
      <c r="S362" s="9"/>
      <c r="T362" s="9"/>
      <c r="U362" s="9"/>
      <c r="V362" s="9"/>
      <c r="W362" s="9"/>
      <c r="X362" s="10"/>
      <c r="Y362" s="9"/>
      <c r="Z362" s="11"/>
      <c r="AA362" s="9"/>
      <c r="AB362" s="9"/>
      <c r="AC362" s="10"/>
      <c r="AD362" s="9"/>
      <c r="AE362" s="9"/>
      <c r="AF362" s="9"/>
      <c r="AG362" s="9"/>
      <c r="AH362" s="9"/>
      <c r="AI362" s="9"/>
      <c r="AJ362" s="9"/>
      <c r="AK362" s="9"/>
      <c r="AL362" s="9"/>
      <c r="AM362" s="11"/>
      <c r="AN362" s="10"/>
      <c r="AO362" s="9"/>
      <c r="AP362" s="9"/>
      <c r="AQ362" s="9"/>
    </row>
    <row r="363" spans="1:43" x14ac:dyDescent="0.25">
      <c r="A363" s="9"/>
      <c r="B363" s="10"/>
      <c r="C363" s="9"/>
      <c r="D363" s="9"/>
      <c r="E363" s="9"/>
      <c r="F363" s="9"/>
      <c r="G363" s="9"/>
      <c r="H363" s="9"/>
      <c r="I363" s="10"/>
      <c r="J363" s="11"/>
      <c r="K363" s="11"/>
      <c r="L363" s="9"/>
      <c r="M363" s="9"/>
      <c r="N363" s="9"/>
      <c r="O363" s="9"/>
      <c r="P363" s="9"/>
      <c r="Q363" s="9"/>
      <c r="R363" s="9"/>
      <c r="S363" s="9"/>
      <c r="T363" s="9"/>
      <c r="U363" s="9"/>
      <c r="V363" s="9"/>
      <c r="W363" s="9"/>
      <c r="X363" s="11"/>
      <c r="Y363" s="9"/>
      <c r="Z363" s="11"/>
      <c r="AA363" s="9"/>
      <c r="AB363" s="9"/>
      <c r="AC363" s="11"/>
      <c r="AD363" s="9"/>
      <c r="AE363" s="9"/>
      <c r="AF363" s="9"/>
      <c r="AG363" s="9"/>
      <c r="AH363" s="9"/>
      <c r="AI363" s="9"/>
      <c r="AJ363" s="9"/>
      <c r="AK363" s="9"/>
      <c r="AL363" s="9"/>
      <c r="AM363" s="11"/>
      <c r="AN363" s="11"/>
      <c r="AO363" s="9"/>
      <c r="AP363" s="9"/>
      <c r="AQ363" s="9"/>
    </row>
    <row r="364" spans="1:43" x14ac:dyDescent="0.25">
      <c r="A364" s="9"/>
      <c r="B364" s="10"/>
      <c r="C364" s="9"/>
      <c r="D364" s="9"/>
      <c r="E364" s="9"/>
      <c r="F364" s="9"/>
      <c r="G364" s="9"/>
      <c r="H364" s="9"/>
      <c r="I364" s="10"/>
      <c r="J364" s="11"/>
      <c r="K364" s="11"/>
      <c r="L364" s="9"/>
      <c r="M364" s="9"/>
      <c r="N364" s="9"/>
      <c r="O364" s="9"/>
      <c r="P364" s="9"/>
      <c r="Q364" s="9"/>
      <c r="R364" s="9"/>
      <c r="S364" s="9"/>
      <c r="T364" s="9"/>
      <c r="U364" s="9"/>
      <c r="V364" s="9"/>
      <c r="W364" s="9"/>
      <c r="X364" s="11"/>
      <c r="Y364" s="9"/>
      <c r="Z364" s="11"/>
      <c r="AA364" s="9"/>
      <c r="AB364" s="9"/>
      <c r="AC364" s="11"/>
      <c r="AD364" s="9"/>
      <c r="AE364" s="9"/>
      <c r="AF364" s="9"/>
      <c r="AG364" s="9"/>
      <c r="AH364" s="9"/>
      <c r="AI364" s="9"/>
      <c r="AJ364" s="9"/>
      <c r="AK364" s="9"/>
      <c r="AL364" s="9"/>
      <c r="AM364" s="11"/>
      <c r="AN364" s="11"/>
      <c r="AO364" s="9"/>
      <c r="AP364" s="9"/>
      <c r="AQ364" s="9"/>
    </row>
    <row r="365" spans="1:43" x14ac:dyDescent="0.25">
      <c r="A365" s="9"/>
      <c r="B365" s="10"/>
      <c r="C365" s="9"/>
      <c r="D365" s="9"/>
      <c r="E365" s="9"/>
      <c r="F365" s="9"/>
      <c r="G365" s="9"/>
      <c r="H365" s="9"/>
      <c r="I365" s="10"/>
      <c r="J365" s="11"/>
      <c r="K365" s="10"/>
      <c r="L365" s="9"/>
      <c r="M365" s="9"/>
      <c r="N365" s="9"/>
      <c r="O365" s="9"/>
      <c r="P365" s="9"/>
      <c r="Q365" s="9"/>
      <c r="R365" s="9"/>
      <c r="S365" s="9"/>
      <c r="T365" s="9"/>
      <c r="U365" s="9"/>
      <c r="V365" s="9"/>
      <c r="W365" s="9"/>
      <c r="X365" s="11"/>
      <c r="Y365" s="9"/>
      <c r="Z365" s="10"/>
      <c r="AA365" s="9"/>
      <c r="AB365" s="9"/>
      <c r="AC365" s="10"/>
      <c r="AD365" s="9"/>
      <c r="AE365" s="9"/>
      <c r="AF365" s="9"/>
      <c r="AG365" s="9"/>
      <c r="AH365" s="9"/>
      <c r="AI365" s="9"/>
      <c r="AJ365" s="9"/>
      <c r="AK365" s="9"/>
      <c r="AL365" s="9"/>
      <c r="AM365" s="11"/>
      <c r="AN365" s="11"/>
      <c r="AO365" s="9"/>
      <c r="AP365" s="9"/>
      <c r="AQ365" s="9"/>
    </row>
    <row r="366" spans="1:43" x14ac:dyDescent="0.25">
      <c r="A366" s="9"/>
      <c r="B366" s="10"/>
      <c r="C366" s="9"/>
      <c r="D366" s="9"/>
      <c r="E366" s="9"/>
      <c r="F366" s="9"/>
      <c r="G366" s="9"/>
      <c r="H366" s="9"/>
      <c r="I366" s="10"/>
      <c r="J366" s="11"/>
      <c r="K366" s="11"/>
      <c r="L366" s="9"/>
      <c r="M366" s="9"/>
      <c r="N366" s="9"/>
      <c r="O366" s="9"/>
      <c r="P366" s="9"/>
      <c r="Q366" s="9"/>
      <c r="R366" s="9"/>
      <c r="S366" s="9"/>
      <c r="T366" s="9"/>
      <c r="U366" s="9"/>
      <c r="V366" s="9"/>
      <c r="W366" s="9"/>
      <c r="X366" s="11"/>
      <c r="Y366" s="9"/>
      <c r="Z366" s="11"/>
      <c r="AA366" s="9"/>
      <c r="AB366" s="9"/>
      <c r="AC366" s="11"/>
      <c r="AD366" s="9"/>
      <c r="AE366" s="9"/>
      <c r="AF366" s="9"/>
      <c r="AG366" s="9"/>
      <c r="AH366" s="9"/>
      <c r="AI366" s="9"/>
      <c r="AJ366" s="9"/>
      <c r="AK366" s="9"/>
      <c r="AL366" s="9"/>
      <c r="AM366" s="11"/>
      <c r="AN366" s="11"/>
      <c r="AO366" s="9"/>
      <c r="AP366" s="9"/>
      <c r="AQ366" s="9"/>
    </row>
    <row r="367" spans="1:43" x14ac:dyDescent="0.25">
      <c r="A367" s="9"/>
      <c r="B367" s="10"/>
      <c r="C367" s="9"/>
      <c r="D367" s="9"/>
      <c r="E367" s="9"/>
      <c r="F367" s="9"/>
      <c r="G367" s="9"/>
      <c r="H367" s="9"/>
      <c r="I367" s="10"/>
      <c r="J367" s="11"/>
      <c r="K367" s="10"/>
      <c r="L367" s="9"/>
      <c r="M367" s="9"/>
      <c r="N367" s="9"/>
      <c r="O367" s="9"/>
      <c r="P367" s="9"/>
      <c r="Q367" s="9"/>
      <c r="R367" s="9"/>
      <c r="S367" s="9"/>
      <c r="T367" s="9"/>
      <c r="U367" s="9"/>
      <c r="V367" s="9"/>
      <c r="W367" s="9"/>
      <c r="X367" s="11"/>
      <c r="Y367" s="9"/>
      <c r="Z367" s="10"/>
      <c r="AA367" s="9"/>
      <c r="AB367" s="9"/>
      <c r="AC367" s="10"/>
      <c r="AD367" s="9"/>
      <c r="AE367" s="9"/>
      <c r="AF367" s="9"/>
      <c r="AG367" s="9"/>
      <c r="AH367" s="9"/>
      <c r="AI367" s="9"/>
      <c r="AJ367" s="9"/>
      <c r="AK367" s="9"/>
      <c r="AL367" s="9"/>
      <c r="AM367" s="10"/>
      <c r="AN367" s="11"/>
      <c r="AO367" s="9"/>
      <c r="AP367" s="9"/>
      <c r="AQ367" s="9"/>
    </row>
    <row r="368" spans="1:43" x14ac:dyDescent="0.25">
      <c r="A368" s="9"/>
      <c r="B368" s="10"/>
      <c r="C368" s="9"/>
      <c r="D368" s="9"/>
      <c r="E368" s="9"/>
      <c r="F368" s="9"/>
      <c r="G368" s="9"/>
      <c r="H368" s="9"/>
      <c r="I368" s="10"/>
      <c r="J368" s="10"/>
      <c r="K368" s="10"/>
      <c r="L368" s="9"/>
      <c r="M368" s="9"/>
      <c r="N368" s="9"/>
      <c r="O368" s="9"/>
      <c r="P368" s="9"/>
      <c r="Q368" s="9"/>
      <c r="R368" s="9"/>
      <c r="S368" s="9"/>
      <c r="T368" s="9"/>
      <c r="U368" s="9"/>
      <c r="V368" s="9"/>
      <c r="W368" s="9"/>
      <c r="X368" s="10"/>
      <c r="Y368" s="9"/>
      <c r="Z368" s="10"/>
      <c r="AA368" s="9"/>
      <c r="AB368" s="9"/>
      <c r="AC368" s="10"/>
      <c r="AD368" s="9"/>
      <c r="AE368" s="9"/>
      <c r="AF368" s="9"/>
      <c r="AG368" s="9"/>
      <c r="AH368" s="9"/>
      <c r="AI368" s="9"/>
      <c r="AJ368" s="9"/>
      <c r="AK368" s="9"/>
      <c r="AL368" s="9"/>
      <c r="AM368" s="10"/>
      <c r="AN368" s="10"/>
      <c r="AO368" s="9"/>
      <c r="AP368" s="9"/>
      <c r="AQ368" s="9"/>
    </row>
    <row r="369" spans="1:43" x14ac:dyDescent="0.25">
      <c r="A369" s="9"/>
      <c r="B369" s="10"/>
      <c r="C369" s="9"/>
      <c r="D369" s="9"/>
      <c r="E369" s="9"/>
      <c r="F369" s="9"/>
      <c r="G369" s="9"/>
      <c r="H369" s="9"/>
      <c r="I369" s="10"/>
      <c r="J369" s="11"/>
      <c r="K369" s="11"/>
      <c r="L369" s="9"/>
      <c r="M369" s="9"/>
      <c r="N369" s="9"/>
      <c r="O369" s="9"/>
      <c r="P369" s="9"/>
      <c r="Q369" s="9"/>
      <c r="R369" s="9"/>
      <c r="S369" s="9"/>
      <c r="T369" s="9"/>
      <c r="U369" s="9"/>
      <c r="V369" s="9"/>
      <c r="W369" s="9"/>
      <c r="X369" s="11"/>
      <c r="Y369" s="9"/>
      <c r="Z369" s="11"/>
      <c r="AA369" s="9"/>
      <c r="AB369" s="9"/>
      <c r="AC369" s="11"/>
      <c r="AD369" s="9"/>
      <c r="AE369" s="9"/>
      <c r="AF369" s="9"/>
      <c r="AG369" s="9"/>
      <c r="AH369" s="9"/>
      <c r="AI369" s="9"/>
      <c r="AJ369" s="9"/>
      <c r="AK369" s="9"/>
      <c r="AL369" s="9"/>
      <c r="AM369" s="11"/>
      <c r="AN369" s="11"/>
      <c r="AO369" s="9"/>
      <c r="AP369" s="9"/>
      <c r="AQ369" s="9"/>
    </row>
    <row r="370" spans="1:43" x14ac:dyDescent="0.25">
      <c r="A370" s="9"/>
      <c r="B370" s="10"/>
      <c r="C370" s="9"/>
      <c r="D370" s="9"/>
      <c r="E370" s="9"/>
      <c r="F370" s="9"/>
      <c r="G370" s="9"/>
      <c r="H370" s="9"/>
      <c r="I370" s="10"/>
      <c r="J370" s="11"/>
      <c r="K370" s="11"/>
      <c r="L370" s="9"/>
      <c r="M370" s="9"/>
      <c r="N370" s="9"/>
      <c r="O370" s="9"/>
      <c r="P370" s="9"/>
      <c r="Q370" s="9"/>
      <c r="R370" s="9"/>
      <c r="S370" s="9"/>
      <c r="T370" s="9"/>
      <c r="U370" s="9"/>
      <c r="V370" s="9"/>
      <c r="W370" s="9"/>
      <c r="X370" s="11"/>
      <c r="Y370" s="9"/>
      <c r="Z370" s="11"/>
      <c r="AA370" s="9"/>
      <c r="AB370" s="9"/>
      <c r="AC370" s="11"/>
      <c r="AD370" s="9"/>
      <c r="AE370" s="9"/>
      <c r="AF370" s="9"/>
      <c r="AG370" s="9"/>
      <c r="AH370" s="9"/>
      <c r="AI370" s="9"/>
      <c r="AJ370" s="9"/>
      <c r="AK370" s="9"/>
      <c r="AL370" s="9"/>
      <c r="AM370" s="11"/>
      <c r="AN370" s="11"/>
      <c r="AO370" s="9"/>
      <c r="AP370" s="9"/>
      <c r="AQ370" s="9"/>
    </row>
    <row r="371" spans="1:43" x14ac:dyDescent="0.25">
      <c r="A371" s="9"/>
      <c r="B371" s="10"/>
      <c r="C371" s="9"/>
      <c r="D371" s="9"/>
      <c r="E371" s="9"/>
      <c r="F371" s="9"/>
      <c r="G371" s="9"/>
      <c r="H371" s="9"/>
      <c r="I371" s="10"/>
      <c r="J371" s="11"/>
      <c r="K371" s="11"/>
      <c r="L371" s="9"/>
      <c r="M371" s="9"/>
      <c r="N371" s="9"/>
      <c r="O371" s="9"/>
      <c r="P371" s="9"/>
      <c r="Q371" s="9"/>
      <c r="R371" s="9"/>
      <c r="S371" s="9"/>
      <c r="T371" s="9"/>
      <c r="U371" s="9"/>
      <c r="V371" s="9"/>
      <c r="W371" s="9"/>
      <c r="X371" s="11"/>
      <c r="Y371" s="9"/>
      <c r="Z371" s="11"/>
      <c r="AA371" s="9"/>
      <c r="AB371" s="9"/>
      <c r="AC371" s="11"/>
      <c r="AD371" s="9"/>
      <c r="AE371" s="9"/>
      <c r="AF371" s="9"/>
      <c r="AG371" s="9"/>
      <c r="AH371" s="9"/>
      <c r="AI371" s="9"/>
      <c r="AJ371" s="9"/>
      <c r="AK371" s="9"/>
      <c r="AL371" s="9"/>
      <c r="AM371" s="11"/>
      <c r="AN371" s="11"/>
      <c r="AO371" s="9"/>
      <c r="AP371" s="9"/>
      <c r="AQ371" s="9"/>
    </row>
    <row r="372" spans="1:43" x14ac:dyDescent="0.25">
      <c r="A372" s="9"/>
      <c r="B372" s="10"/>
      <c r="C372" s="9"/>
      <c r="D372" s="9"/>
      <c r="E372" s="9"/>
      <c r="F372" s="9"/>
      <c r="G372" s="9"/>
      <c r="H372" s="9"/>
      <c r="I372" s="10"/>
      <c r="J372" s="11"/>
      <c r="K372" s="11"/>
      <c r="L372" s="9"/>
      <c r="M372" s="9"/>
      <c r="N372" s="9"/>
      <c r="O372" s="9"/>
      <c r="P372" s="9"/>
      <c r="Q372" s="9"/>
      <c r="R372" s="9"/>
      <c r="S372" s="9"/>
      <c r="T372" s="9"/>
      <c r="U372" s="9"/>
      <c r="V372" s="9"/>
      <c r="W372" s="9"/>
      <c r="X372" s="11"/>
      <c r="Y372" s="9"/>
      <c r="Z372" s="11"/>
      <c r="AA372" s="9"/>
      <c r="AB372" s="9"/>
      <c r="AC372" s="11"/>
      <c r="AD372" s="9"/>
      <c r="AE372" s="9"/>
      <c r="AF372" s="9"/>
      <c r="AG372" s="9"/>
      <c r="AH372" s="9"/>
      <c r="AI372" s="9"/>
      <c r="AJ372" s="9"/>
      <c r="AK372" s="9"/>
      <c r="AL372" s="9"/>
      <c r="AM372" s="11"/>
      <c r="AN372" s="11"/>
      <c r="AO372" s="9"/>
      <c r="AP372" s="9"/>
      <c r="AQ372" s="9"/>
    </row>
    <row r="373" spans="1:43" x14ac:dyDescent="0.25">
      <c r="A373" s="9"/>
      <c r="B373" s="10"/>
      <c r="C373" s="9"/>
      <c r="D373" s="9"/>
      <c r="E373" s="9"/>
      <c r="F373" s="9"/>
      <c r="G373" s="9"/>
      <c r="H373" s="9"/>
      <c r="I373" s="10"/>
      <c r="J373" s="11"/>
      <c r="K373" s="11"/>
      <c r="L373" s="9"/>
      <c r="M373" s="9"/>
      <c r="N373" s="9"/>
      <c r="O373" s="9"/>
      <c r="P373" s="9"/>
      <c r="Q373" s="9"/>
      <c r="R373" s="9"/>
      <c r="S373" s="9"/>
      <c r="T373" s="9"/>
      <c r="U373" s="9"/>
      <c r="V373" s="9"/>
      <c r="W373" s="9"/>
      <c r="X373" s="11"/>
      <c r="Y373" s="9"/>
      <c r="Z373" s="11"/>
      <c r="AA373" s="9"/>
      <c r="AB373" s="9"/>
      <c r="AC373" s="11"/>
      <c r="AD373" s="9"/>
      <c r="AE373" s="9"/>
      <c r="AF373" s="9"/>
      <c r="AG373" s="9"/>
      <c r="AH373" s="9"/>
      <c r="AI373" s="9"/>
      <c r="AJ373" s="9"/>
      <c r="AK373" s="9"/>
      <c r="AL373" s="9"/>
      <c r="AM373" s="11"/>
      <c r="AN373" s="11"/>
      <c r="AO373" s="9"/>
      <c r="AP373" s="9"/>
      <c r="AQ373" s="9"/>
    </row>
    <row r="374" spans="1:43" x14ac:dyDescent="0.25">
      <c r="A374" s="9"/>
      <c r="B374" s="10"/>
      <c r="C374" s="9"/>
      <c r="D374" s="9"/>
      <c r="E374" s="9"/>
      <c r="F374" s="9"/>
      <c r="G374" s="9"/>
      <c r="H374" s="9"/>
      <c r="I374" s="10"/>
      <c r="J374" s="10"/>
      <c r="K374" s="10"/>
      <c r="L374" s="9"/>
      <c r="M374" s="9"/>
      <c r="N374" s="9"/>
      <c r="O374" s="9"/>
      <c r="P374" s="9"/>
      <c r="Q374" s="9"/>
      <c r="R374" s="9"/>
      <c r="S374" s="9"/>
      <c r="T374" s="9"/>
      <c r="U374" s="9"/>
      <c r="V374" s="9"/>
      <c r="W374" s="9"/>
      <c r="X374" s="10"/>
      <c r="Y374" s="9"/>
      <c r="Z374" s="10"/>
      <c r="AA374" s="9"/>
      <c r="AB374" s="9"/>
      <c r="AC374" s="10"/>
      <c r="AD374" s="9"/>
      <c r="AE374" s="9"/>
      <c r="AF374" s="9"/>
      <c r="AG374" s="9"/>
      <c r="AH374" s="9"/>
      <c r="AI374" s="9"/>
      <c r="AJ374" s="9"/>
      <c r="AK374" s="9"/>
      <c r="AL374" s="9"/>
      <c r="AM374" s="10"/>
      <c r="AN374" s="11"/>
      <c r="AO374" s="9"/>
      <c r="AP374" s="9"/>
      <c r="AQ374" s="9"/>
    </row>
    <row r="375" spans="1:43" x14ac:dyDescent="0.25">
      <c r="A375" s="9"/>
      <c r="B375" s="10"/>
      <c r="C375" s="9"/>
      <c r="D375" s="9"/>
      <c r="E375" s="9"/>
      <c r="F375" s="9"/>
      <c r="G375" s="9"/>
      <c r="H375" s="9"/>
      <c r="I375" s="10"/>
      <c r="J375" s="11"/>
      <c r="K375" s="10"/>
      <c r="L375" s="9"/>
      <c r="M375" s="9"/>
      <c r="N375" s="9"/>
      <c r="O375" s="9"/>
      <c r="P375" s="9"/>
      <c r="Q375" s="9"/>
      <c r="R375" s="9"/>
      <c r="S375" s="9"/>
      <c r="T375" s="9"/>
      <c r="U375" s="9"/>
      <c r="V375" s="9"/>
      <c r="W375" s="9"/>
      <c r="X375" s="11"/>
      <c r="Y375" s="9"/>
      <c r="Z375" s="10"/>
      <c r="AA375" s="9"/>
      <c r="AB375" s="9"/>
      <c r="AC375" s="10"/>
      <c r="AD375" s="9"/>
      <c r="AE375" s="9"/>
      <c r="AF375" s="9"/>
      <c r="AG375" s="9"/>
      <c r="AH375" s="9"/>
      <c r="AI375" s="9"/>
      <c r="AJ375" s="9"/>
      <c r="AK375" s="9"/>
      <c r="AL375" s="9"/>
      <c r="AM375" s="10"/>
      <c r="AN375" s="11"/>
      <c r="AO375" s="9"/>
      <c r="AP375" s="9"/>
      <c r="AQ375" s="9"/>
    </row>
    <row r="376" spans="1:43" x14ac:dyDescent="0.25">
      <c r="A376" s="9"/>
      <c r="B376" s="10"/>
      <c r="C376" s="9"/>
      <c r="D376" s="9"/>
      <c r="E376" s="9"/>
      <c r="F376" s="9"/>
      <c r="G376" s="9"/>
      <c r="H376" s="9"/>
      <c r="I376" s="10"/>
      <c r="J376" s="11"/>
      <c r="K376" s="10"/>
      <c r="L376" s="9"/>
      <c r="M376" s="9"/>
      <c r="N376" s="9"/>
      <c r="O376" s="9"/>
      <c r="P376" s="9"/>
      <c r="Q376" s="9"/>
      <c r="R376" s="9"/>
      <c r="S376" s="9"/>
      <c r="T376" s="9"/>
      <c r="U376" s="9"/>
      <c r="V376" s="9"/>
      <c r="W376" s="9"/>
      <c r="X376" s="11"/>
      <c r="Y376" s="9"/>
      <c r="Z376" s="10"/>
      <c r="AA376" s="9"/>
      <c r="AB376" s="9"/>
      <c r="AC376" s="10"/>
      <c r="AD376" s="9"/>
      <c r="AE376" s="9"/>
      <c r="AF376" s="9"/>
      <c r="AG376" s="9"/>
      <c r="AH376" s="9"/>
      <c r="AI376" s="9"/>
      <c r="AJ376" s="9"/>
      <c r="AK376" s="9"/>
      <c r="AL376" s="9"/>
      <c r="AM376" s="10"/>
      <c r="AN376" s="11"/>
      <c r="AO376" s="9"/>
      <c r="AP376" s="9"/>
      <c r="AQ376" s="9"/>
    </row>
    <row r="377" spans="1:43" x14ac:dyDescent="0.25">
      <c r="A377" s="9"/>
      <c r="B377" s="10"/>
      <c r="C377" s="9"/>
      <c r="D377" s="9"/>
      <c r="E377" s="9"/>
      <c r="F377" s="9"/>
      <c r="G377" s="9"/>
      <c r="H377" s="9"/>
      <c r="I377" s="10"/>
      <c r="J377" s="11"/>
      <c r="K377" s="11"/>
      <c r="L377" s="9"/>
      <c r="M377" s="9"/>
      <c r="N377" s="9"/>
      <c r="O377" s="9"/>
      <c r="P377" s="9"/>
      <c r="Q377" s="9"/>
      <c r="R377" s="9"/>
      <c r="S377" s="9"/>
      <c r="T377" s="9"/>
      <c r="U377" s="9"/>
      <c r="V377" s="9"/>
      <c r="W377" s="9"/>
      <c r="X377" s="11"/>
      <c r="Y377" s="9"/>
      <c r="Z377" s="11"/>
      <c r="AA377" s="9"/>
      <c r="AB377" s="9"/>
      <c r="AC377" s="11"/>
      <c r="AD377" s="9"/>
      <c r="AE377" s="9"/>
      <c r="AF377" s="9"/>
      <c r="AG377" s="9"/>
      <c r="AH377" s="9"/>
      <c r="AI377" s="9"/>
      <c r="AJ377" s="9"/>
      <c r="AK377" s="9"/>
      <c r="AL377" s="9"/>
      <c r="AM377" s="11"/>
      <c r="AN377" s="11"/>
      <c r="AO377" s="9"/>
      <c r="AP377" s="9"/>
      <c r="AQ377" s="9"/>
    </row>
    <row r="378" spans="1:43" x14ac:dyDescent="0.25">
      <c r="A378" s="9"/>
      <c r="B378" s="10"/>
      <c r="C378" s="9"/>
      <c r="D378" s="9"/>
      <c r="E378" s="9"/>
      <c r="F378" s="9"/>
      <c r="G378" s="9"/>
      <c r="H378" s="9"/>
      <c r="I378" s="10"/>
      <c r="J378" s="10"/>
      <c r="K378" s="11"/>
      <c r="L378" s="9"/>
      <c r="M378" s="9"/>
      <c r="N378" s="9"/>
      <c r="O378" s="9"/>
      <c r="P378" s="9"/>
      <c r="Q378" s="9"/>
      <c r="R378" s="9"/>
      <c r="S378" s="9"/>
      <c r="T378" s="9"/>
      <c r="U378" s="9"/>
      <c r="V378" s="9"/>
      <c r="W378" s="9"/>
      <c r="X378" s="10"/>
      <c r="Y378" s="9"/>
      <c r="Z378" s="11"/>
      <c r="AA378" s="9"/>
      <c r="AB378" s="9"/>
      <c r="AC378" s="10"/>
      <c r="AD378" s="9"/>
      <c r="AE378" s="9"/>
      <c r="AF378" s="9"/>
      <c r="AG378" s="9"/>
      <c r="AH378" s="9"/>
      <c r="AI378" s="9"/>
      <c r="AJ378" s="9"/>
      <c r="AK378" s="9"/>
      <c r="AL378" s="9"/>
      <c r="AM378" s="11"/>
      <c r="AN378" s="11"/>
      <c r="AO378" s="9"/>
      <c r="AP378" s="9"/>
      <c r="AQ378" s="9"/>
    </row>
    <row r="379" spans="1:43" x14ac:dyDescent="0.25">
      <c r="A379" s="9"/>
      <c r="B379" s="10"/>
      <c r="C379" s="9"/>
      <c r="D379" s="9"/>
      <c r="E379" s="9"/>
      <c r="F379" s="9"/>
      <c r="G379" s="9"/>
      <c r="H379" s="9"/>
      <c r="I379" s="10"/>
      <c r="J379" s="11"/>
      <c r="K379" s="11"/>
      <c r="L379" s="9"/>
      <c r="M379" s="9"/>
      <c r="N379" s="9"/>
      <c r="O379" s="9"/>
      <c r="P379" s="9"/>
      <c r="Q379" s="9"/>
      <c r="R379" s="9"/>
      <c r="S379" s="9"/>
      <c r="T379" s="9"/>
      <c r="U379" s="9"/>
      <c r="V379" s="9"/>
      <c r="W379" s="9"/>
      <c r="X379" s="11"/>
      <c r="Y379" s="9"/>
      <c r="Z379" s="11"/>
      <c r="AA379" s="9"/>
      <c r="AB379" s="9"/>
      <c r="AC379" s="11"/>
      <c r="AD379" s="9"/>
      <c r="AE379" s="9"/>
      <c r="AF379" s="9"/>
      <c r="AG379" s="9"/>
      <c r="AH379" s="9"/>
      <c r="AI379" s="9"/>
      <c r="AJ379" s="9"/>
      <c r="AK379" s="9"/>
      <c r="AL379" s="9"/>
      <c r="AM379" s="11"/>
      <c r="AN379" s="11"/>
      <c r="AO379" s="9"/>
      <c r="AP379" s="9"/>
      <c r="AQ379" s="9"/>
    </row>
    <row r="380" spans="1:43" x14ac:dyDescent="0.25">
      <c r="A380" s="9"/>
      <c r="B380" s="10"/>
      <c r="C380" s="9"/>
      <c r="D380" s="9"/>
      <c r="E380" s="9"/>
      <c r="F380" s="9"/>
      <c r="G380" s="9"/>
      <c r="H380" s="9"/>
      <c r="I380" s="10"/>
      <c r="J380" s="11"/>
      <c r="K380" s="11"/>
      <c r="L380" s="9"/>
      <c r="M380" s="9"/>
      <c r="N380" s="9"/>
      <c r="O380" s="9"/>
      <c r="P380" s="9"/>
      <c r="Q380" s="9"/>
      <c r="R380" s="9"/>
      <c r="S380" s="9"/>
      <c r="T380" s="9"/>
      <c r="U380" s="9"/>
      <c r="V380" s="9"/>
      <c r="W380" s="9"/>
      <c r="X380" s="11"/>
      <c r="Y380" s="9"/>
      <c r="Z380" s="11"/>
      <c r="AA380" s="9"/>
      <c r="AB380" s="9"/>
      <c r="AC380" s="11"/>
      <c r="AD380" s="9"/>
      <c r="AE380" s="9"/>
      <c r="AF380" s="9"/>
      <c r="AG380" s="9"/>
      <c r="AH380" s="9"/>
      <c r="AI380" s="9"/>
      <c r="AJ380" s="9"/>
      <c r="AK380" s="9"/>
      <c r="AL380" s="9"/>
      <c r="AM380" s="11"/>
      <c r="AN380" s="11"/>
      <c r="AO380" s="9"/>
      <c r="AP380" s="9"/>
      <c r="AQ380" s="9"/>
    </row>
    <row r="381" spans="1:43" x14ac:dyDescent="0.25">
      <c r="A381" s="9"/>
      <c r="B381" s="10"/>
      <c r="C381" s="9"/>
      <c r="D381" s="9"/>
      <c r="E381" s="9"/>
      <c r="F381" s="9"/>
      <c r="G381" s="9"/>
      <c r="H381" s="9"/>
      <c r="I381" s="10"/>
      <c r="J381" s="11"/>
      <c r="K381" s="11"/>
      <c r="L381" s="9"/>
      <c r="M381" s="9"/>
      <c r="N381" s="9"/>
      <c r="O381" s="9"/>
      <c r="P381" s="9"/>
      <c r="Q381" s="9"/>
      <c r="R381" s="9"/>
      <c r="S381" s="9"/>
      <c r="T381" s="9"/>
      <c r="U381" s="9"/>
      <c r="V381" s="9"/>
      <c r="W381" s="9"/>
      <c r="X381" s="11"/>
      <c r="Y381" s="9"/>
      <c r="Z381" s="11"/>
      <c r="AA381" s="9"/>
      <c r="AB381" s="9"/>
      <c r="AC381" s="11"/>
      <c r="AD381" s="9"/>
      <c r="AE381" s="9"/>
      <c r="AF381" s="9"/>
      <c r="AG381" s="9"/>
      <c r="AH381" s="9"/>
      <c r="AI381" s="9"/>
      <c r="AJ381" s="9"/>
      <c r="AK381" s="9"/>
      <c r="AL381" s="9"/>
      <c r="AM381" s="11"/>
      <c r="AN381" s="11"/>
      <c r="AO381" s="9"/>
      <c r="AP381" s="9"/>
      <c r="AQ381" s="9"/>
    </row>
    <row r="382" spans="1:43" x14ac:dyDescent="0.25">
      <c r="A382" s="9"/>
      <c r="B382" s="10"/>
      <c r="C382" s="9"/>
      <c r="D382" s="9"/>
      <c r="E382" s="9"/>
      <c r="F382" s="9"/>
      <c r="G382" s="9"/>
      <c r="H382" s="9"/>
      <c r="I382" s="10"/>
      <c r="J382" s="11"/>
      <c r="K382" s="11"/>
      <c r="L382" s="9"/>
      <c r="M382" s="9"/>
      <c r="N382" s="9"/>
      <c r="O382" s="9"/>
      <c r="P382" s="9"/>
      <c r="Q382" s="9"/>
      <c r="R382" s="9"/>
      <c r="S382" s="9"/>
      <c r="T382" s="9"/>
      <c r="U382" s="9"/>
      <c r="V382" s="9"/>
      <c r="W382" s="9"/>
      <c r="X382" s="11"/>
      <c r="Y382" s="9"/>
      <c r="Z382" s="11"/>
      <c r="AA382" s="9"/>
      <c r="AB382" s="9"/>
      <c r="AC382" s="11"/>
      <c r="AD382" s="9"/>
      <c r="AE382" s="9"/>
      <c r="AF382" s="9"/>
      <c r="AG382" s="9"/>
      <c r="AH382" s="9"/>
      <c r="AI382" s="9"/>
      <c r="AJ382" s="9"/>
      <c r="AK382" s="9"/>
      <c r="AL382" s="9"/>
      <c r="AM382" s="11"/>
      <c r="AN382" s="11"/>
      <c r="AO382" s="9"/>
      <c r="AP382" s="9"/>
      <c r="AQ382" s="9"/>
    </row>
    <row r="383" spans="1:43" x14ac:dyDescent="0.25">
      <c r="A383" s="9"/>
      <c r="B383" s="10"/>
      <c r="C383" s="9"/>
      <c r="D383" s="9"/>
      <c r="E383" s="9"/>
      <c r="F383" s="9"/>
      <c r="G383" s="9"/>
      <c r="H383" s="9"/>
      <c r="I383" s="10"/>
      <c r="J383" s="11"/>
      <c r="K383" s="11"/>
      <c r="L383" s="9"/>
      <c r="M383" s="9"/>
      <c r="N383" s="9"/>
      <c r="O383" s="9"/>
      <c r="P383" s="9"/>
      <c r="Q383" s="9"/>
      <c r="R383" s="9"/>
      <c r="S383" s="9"/>
      <c r="T383" s="9"/>
      <c r="U383" s="9"/>
      <c r="V383" s="9"/>
      <c r="W383" s="9"/>
      <c r="X383" s="11"/>
      <c r="Y383" s="9"/>
      <c r="Z383" s="11"/>
      <c r="AA383" s="9"/>
      <c r="AB383" s="9"/>
      <c r="AC383" s="11"/>
      <c r="AD383" s="9"/>
      <c r="AE383" s="9"/>
      <c r="AF383" s="9"/>
      <c r="AG383" s="9"/>
      <c r="AH383" s="9"/>
      <c r="AI383" s="9"/>
      <c r="AJ383" s="9"/>
      <c r="AK383" s="9"/>
      <c r="AL383" s="9"/>
      <c r="AM383" s="11"/>
      <c r="AN383" s="11"/>
      <c r="AO383" s="9"/>
      <c r="AP383" s="9"/>
      <c r="AQ383" s="9"/>
    </row>
    <row r="384" spans="1:43" x14ac:dyDescent="0.25">
      <c r="A384" s="9"/>
      <c r="B384" s="10"/>
      <c r="C384" s="9"/>
      <c r="D384" s="9"/>
      <c r="E384" s="9"/>
      <c r="F384" s="9"/>
      <c r="G384" s="9"/>
      <c r="H384" s="9"/>
      <c r="I384" s="10"/>
      <c r="J384" s="11"/>
      <c r="K384" s="11"/>
      <c r="L384" s="9"/>
      <c r="M384" s="9"/>
      <c r="N384" s="9"/>
      <c r="O384" s="9"/>
      <c r="P384" s="9"/>
      <c r="Q384" s="9"/>
      <c r="R384" s="9"/>
      <c r="S384" s="9"/>
      <c r="T384" s="9"/>
      <c r="U384" s="9"/>
      <c r="V384" s="9"/>
      <c r="W384" s="9"/>
      <c r="X384" s="11"/>
      <c r="Y384" s="9"/>
      <c r="Z384" s="11"/>
      <c r="AA384" s="9"/>
      <c r="AB384" s="9"/>
      <c r="AC384" s="11"/>
      <c r="AD384" s="9"/>
      <c r="AE384" s="9"/>
      <c r="AF384" s="9"/>
      <c r="AG384" s="9"/>
      <c r="AH384" s="9"/>
      <c r="AI384" s="9"/>
      <c r="AJ384" s="9"/>
      <c r="AK384" s="9"/>
      <c r="AL384" s="9"/>
      <c r="AM384" s="11"/>
      <c r="AN384" s="11"/>
      <c r="AO384" s="9"/>
      <c r="AP384" s="9"/>
      <c r="AQ384" s="9"/>
    </row>
    <row r="385" spans="1:43" x14ac:dyDescent="0.25">
      <c r="A385" s="9"/>
      <c r="B385" s="10"/>
      <c r="C385" s="9"/>
      <c r="D385" s="9"/>
      <c r="E385" s="9"/>
      <c r="F385" s="9"/>
      <c r="G385" s="9"/>
      <c r="H385" s="9"/>
      <c r="I385" s="10"/>
      <c r="J385" s="11"/>
      <c r="K385" s="11"/>
      <c r="L385" s="9"/>
      <c r="M385" s="9"/>
      <c r="N385" s="9"/>
      <c r="O385" s="9"/>
      <c r="P385" s="9"/>
      <c r="Q385" s="9"/>
      <c r="R385" s="9"/>
      <c r="S385" s="9"/>
      <c r="T385" s="9"/>
      <c r="U385" s="9"/>
      <c r="V385" s="9"/>
      <c r="W385" s="9"/>
      <c r="X385" s="11"/>
      <c r="Y385" s="9"/>
      <c r="Z385" s="11"/>
      <c r="AA385" s="9"/>
      <c r="AB385" s="9"/>
      <c r="AC385" s="11"/>
      <c r="AD385" s="9"/>
      <c r="AE385" s="9"/>
      <c r="AF385" s="9"/>
      <c r="AG385" s="9"/>
      <c r="AH385" s="9"/>
      <c r="AI385" s="9"/>
      <c r="AJ385" s="9"/>
      <c r="AK385" s="9"/>
      <c r="AL385" s="9"/>
      <c r="AM385" s="11"/>
      <c r="AN385" s="11"/>
      <c r="AO385" s="9"/>
      <c r="AP385" s="9"/>
      <c r="AQ385" s="9"/>
    </row>
    <row r="386" spans="1:43" x14ac:dyDescent="0.25">
      <c r="A386" s="9"/>
      <c r="B386" s="10"/>
      <c r="C386" s="9"/>
      <c r="D386" s="9"/>
      <c r="E386" s="9"/>
      <c r="F386" s="9"/>
      <c r="G386" s="9"/>
      <c r="H386" s="9"/>
      <c r="I386" s="10"/>
      <c r="J386" s="11"/>
      <c r="K386" s="11"/>
      <c r="L386" s="9"/>
      <c r="M386" s="9"/>
      <c r="N386" s="9"/>
      <c r="O386" s="9"/>
      <c r="P386" s="9"/>
      <c r="Q386" s="9"/>
      <c r="R386" s="9"/>
      <c r="S386" s="9"/>
      <c r="T386" s="9"/>
      <c r="U386" s="9"/>
      <c r="V386" s="9"/>
      <c r="W386" s="9"/>
      <c r="X386" s="11"/>
      <c r="Y386" s="9"/>
      <c r="Z386" s="11"/>
      <c r="AA386" s="9"/>
      <c r="AB386" s="9"/>
      <c r="AC386" s="11"/>
      <c r="AD386" s="9"/>
      <c r="AE386" s="9"/>
      <c r="AF386" s="9"/>
      <c r="AG386" s="9"/>
      <c r="AH386" s="9"/>
      <c r="AI386" s="9"/>
      <c r="AJ386" s="9"/>
      <c r="AK386" s="9"/>
      <c r="AL386" s="9"/>
      <c r="AM386" s="11"/>
      <c r="AN386" s="11"/>
      <c r="AO386" s="9"/>
      <c r="AP386" s="9"/>
      <c r="AQ386" s="9"/>
    </row>
    <row r="387" spans="1:43" x14ac:dyDescent="0.25">
      <c r="A387" s="9"/>
      <c r="B387" s="10"/>
      <c r="C387" s="9"/>
      <c r="D387" s="9"/>
      <c r="E387" s="9"/>
      <c r="F387" s="9"/>
      <c r="G387" s="9"/>
      <c r="H387" s="9"/>
      <c r="I387" s="10"/>
      <c r="J387" s="10"/>
      <c r="K387" s="11"/>
      <c r="L387" s="9"/>
      <c r="M387" s="9"/>
      <c r="N387" s="9"/>
      <c r="O387" s="9"/>
      <c r="P387" s="9"/>
      <c r="Q387" s="9"/>
      <c r="R387" s="9"/>
      <c r="S387" s="9"/>
      <c r="T387" s="9"/>
      <c r="U387" s="9"/>
      <c r="V387" s="9"/>
      <c r="W387" s="9"/>
      <c r="X387" s="10"/>
      <c r="Y387" s="9"/>
      <c r="Z387" s="11"/>
      <c r="AA387" s="9"/>
      <c r="AB387" s="9"/>
      <c r="AC387" s="10"/>
      <c r="AD387" s="9"/>
      <c r="AE387" s="9"/>
      <c r="AF387" s="9"/>
      <c r="AG387" s="9"/>
      <c r="AH387" s="9"/>
      <c r="AI387" s="9"/>
      <c r="AJ387" s="9"/>
      <c r="AK387" s="9"/>
      <c r="AL387" s="9"/>
      <c r="AM387" s="11"/>
      <c r="AN387" s="11"/>
      <c r="AO387" s="9"/>
      <c r="AP387" s="9"/>
      <c r="AQ387" s="9"/>
    </row>
    <row r="388" spans="1:43" x14ac:dyDescent="0.25">
      <c r="A388" s="9"/>
      <c r="B388" s="10"/>
      <c r="C388" s="9"/>
      <c r="D388" s="9"/>
      <c r="E388" s="9"/>
      <c r="F388" s="9"/>
      <c r="G388" s="9"/>
      <c r="H388" s="9"/>
      <c r="I388" s="10"/>
      <c r="J388" s="11"/>
      <c r="K388" s="10"/>
      <c r="L388" s="9"/>
      <c r="M388" s="9"/>
      <c r="N388" s="9"/>
      <c r="O388" s="9"/>
      <c r="P388" s="9"/>
      <c r="Q388" s="9"/>
      <c r="R388" s="9"/>
      <c r="S388" s="9"/>
      <c r="T388" s="9"/>
      <c r="U388" s="9"/>
      <c r="V388" s="9"/>
      <c r="W388" s="9"/>
      <c r="X388" s="11"/>
      <c r="Y388" s="9"/>
      <c r="Z388" s="10"/>
      <c r="AA388" s="9"/>
      <c r="AB388" s="9"/>
      <c r="AC388" s="10"/>
      <c r="AD388" s="9"/>
      <c r="AE388" s="9"/>
      <c r="AF388" s="9"/>
      <c r="AG388" s="9"/>
      <c r="AH388" s="9"/>
      <c r="AI388" s="9"/>
      <c r="AJ388" s="9"/>
      <c r="AK388" s="9"/>
      <c r="AL388" s="9"/>
      <c r="AM388" s="10"/>
      <c r="AN388" s="11"/>
      <c r="AO388" s="9"/>
      <c r="AP388" s="9"/>
      <c r="AQ388" s="9"/>
    </row>
    <row r="389" spans="1:43" x14ac:dyDescent="0.25">
      <c r="A389" s="9"/>
      <c r="B389" s="10"/>
      <c r="C389" s="9"/>
      <c r="D389" s="9"/>
      <c r="E389" s="9"/>
      <c r="F389" s="9"/>
      <c r="G389" s="9"/>
      <c r="H389" s="9"/>
      <c r="I389" s="10"/>
      <c r="J389" s="11"/>
      <c r="K389" s="11"/>
      <c r="L389" s="9"/>
      <c r="M389" s="9"/>
      <c r="N389" s="9"/>
      <c r="O389" s="9"/>
      <c r="P389" s="9"/>
      <c r="Q389" s="9"/>
      <c r="R389" s="9"/>
      <c r="S389" s="9"/>
      <c r="T389" s="9"/>
      <c r="U389" s="9"/>
      <c r="V389" s="9"/>
      <c r="W389" s="9"/>
      <c r="X389" s="11"/>
      <c r="Y389" s="9"/>
      <c r="Z389" s="11"/>
      <c r="AA389" s="9"/>
      <c r="AB389" s="9"/>
      <c r="AC389" s="11"/>
      <c r="AD389" s="9"/>
      <c r="AE389" s="9"/>
      <c r="AF389" s="9"/>
      <c r="AG389" s="9"/>
      <c r="AH389" s="9"/>
      <c r="AI389" s="9"/>
      <c r="AJ389" s="9"/>
      <c r="AK389" s="9"/>
      <c r="AL389" s="9"/>
      <c r="AM389" s="11"/>
      <c r="AN389" s="11"/>
      <c r="AO389" s="9"/>
      <c r="AP389" s="9"/>
      <c r="AQ389" s="9"/>
    </row>
    <row r="390" spans="1:43" x14ac:dyDescent="0.25">
      <c r="A390" s="9"/>
      <c r="B390" s="10"/>
      <c r="C390" s="9"/>
      <c r="D390" s="9"/>
      <c r="E390" s="9"/>
      <c r="F390" s="9"/>
      <c r="G390" s="9"/>
      <c r="H390" s="9"/>
      <c r="I390" s="10"/>
      <c r="J390" s="10"/>
      <c r="K390" s="10"/>
      <c r="L390" s="9"/>
      <c r="M390" s="9"/>
      <c r="N390" s="9"/>
      <c r="O390" s="9"/>
      <c r="P390" s="9"/>
      <c r="Q390" s="9"/>
      <c r="R390" s="9"/>
      <c r="S390" s="9"/>
      <c r="T390" s="9"/>
      <c r="U390" s="9"/>
      <c r="V390" s="9"/>
      <c r="W390" s="9"/>
      <c r="X390" s="10"/>
      <c r="Y390" s="9"/>
      <c r="Z390" s="10"/>
      <c r="AA390" s="9"/>
      <c r="AB390" s="9"/>
      <c r="AC390" s="10"/>
      <c r="AD390" s="9"/>
      <c r="AE390" s="9"/>
      <c r="AF390" s="9"/>
      <c r="AG390" s="9"/>
      <c r="AH390" s="9"/>
      <c r="AI390" s="9"/>
      <c r="AJ390" s="9"/>
      <c r="AK390" s="9"/>
      <c r="AL390" s="9"/>
      <c r="AM390" s="10"/>
      <c r="AN390" s="10"/>
      <c r="AO390" s="9"/>
      <c r="AP390" s="9"/>
      <c r="AQ390" s="9"/>
    </row>
    <row r="391" spans="1:43" x14ac:dyDescent="0.25">
      <c r="A391" s="9"/>
      <c r="B391" s="10"/>
      <c r="C391" s="9"/>
      <c r="D391" s="9"/>
      <c r="E391" s="9"/>
      <c r="F391" s="9"/>
      <c r="G391" s="9"/>
      <c r="H391" s="9"/>
      <c r="I391" s="10"/>
      <c r="J391" s="11"/>
      <c r="K391" s="11"/>
      <c r="L391" s="9"/>
      <c r="M391" s="9"/>
      <c r="N391" s="9"/>
      <c r="O391" s="9"/>
      <c r="P391" s="9"/>
      <c r="Q391" s="9"/>
      <c r="R391" s="9"/>
      <c r="S391" s="9"/>
      <c r="T391" s="9"/>
      <c r="U391" s="9"/>
      <c r="V391" s="9"/>
      <c r="W391" s="9"/>
      <c r="X391" s="11"/>
      <c r="Y391" s="9"/>
      <c r="Z391" s="11"/>
      <c r="AA391" s="9"/>
      <c r="AB391" s="9"/>
      <c r="AC391" s="11"/>
      <c r="AD391" s="9"/>
      <c r="AE391" s="9"/>
      <c r="AF391" s="9"/>
      <c r="AG391" s="9"/>
      <c r="AH391" s="9"/>
      <c r="AI391" s="9"/>
      <c r="AJ391" s="9"/>
      <c r="AK391" s="9"/>
      <c r="AL391" s="9"/>
      <c r="AM391" s="11"/>
      <c r="AN391" s="11"/>
      <c r="AO391" s="9"/>
      <c r="AP391" s="9"/>
      <c r="AQ391" s="9"/>
    </row>
    <row r="392" spans="1:43" x14ac:dyDescent="0.25">
      <c r="A392" s="9"/>
      <c r="B392" s="10"/>
      <c r="C392" s="9"/>
      <c r="D392" s="9"/>
      <c r="E392" s="9"/>
      <c r="F392" s="9"/>
      <c r="G392" s="9"/>
      <c r="H392" s="9"/>
      <c r="I392" s="10"/>
      <c r="J392" s="10"/>
      <c r="K392" s="11"/>
      <c r="L392" s="9"/>
      <c r="M392" s="9"/>
      <c r="N392" s="9"/>
      <c r="O392" s="9"/>
      <c r="P392" s="9"/>
      <c r="Q392" s="9"/>
      <c r="R392" s="9"/>
      <c r="S392" s="9"/>
      <c r="T392" s="9"/>
      <c r="U392" s="9"/>
      <c r="V392" s="9"/>
      <c r="W392" s="9"/>
      <c r="X392" s="10"/>
      <c r="Y392" s="9"/>
      <c r="Z392" s="11"/>
      <c r="AA392" s="9"/>
      <c r="AB392" s="9"/>
      <c r="AC392" s="10"/>
      <c r="AD392" s="9"/>
      <c r="AE392" s="9"/>
      <c r="AF392" s="9"/>
      <c r="AG392" s="9"/>
      <c r="AH392" s="9"/>
      <c r="AI392" s="9"/>
      <c r="AJ392" s="9"/>
      <c r="AK392" s="9"/>
      <c r="AL392" s="9"/>
      <c r="AM392" s="11"/>
      <c r="AN392" s="11"/>
      <c r="AO392" s="9"/>
      <c r="AP392" s="9"/>
      <c r="AQ392" s="9"/>
    </row>
    <row r="393" spans="1:43" x14ac:dyDescent="0.25">
      <c r="A393" s="9"/>
      <c r="B393" s="10"/>
      <c r="C393" s="9"/>
      <c r="D393" s="9"/>
      <c r="E393" s="9"/>
      <c r="F393" s="9"/>
      <c r="G393" s="9"/>
      <c r="H393" s="9"/>
      <c r="I393" s="10"/>
      <c r="J393" s="11"/>
      <c r="K393" s="11"/>
      <c r="L393" s="9"/>
      <c r="M393" s="9"/>
      <c r="N393" s="9"/>
      <c r="O393" s="9"/>
      <c r="P393" s="9"/>
      <c r="Q393" s="9"/>
      <c r="R393" s="9"/>
      <c r="S393" s="9"/>
      <c r="T393" s="9"/>
      <c r="U393" s="9"/>
      <c r="V393" s="9"/>
      <c r="W393" s="9"/>
      <c r="X393" s="11"/>
      <c r="Y393" s="9"/>
      <c r="Z393" s="11"/>
      <c r="AA393" s="9"/>
      <c r="AB393" s="9"/>
      <c r="AC393" s="11"/>
      <c r="AD393" s="9"/>
      <c r="AE393" s="9"/>
      <c r="AF393" s="9"/>
      <c r="AG393" s="9"/>
      <c r="AH393" s="9"/>
      <c r="AI393" s="9"/>
      <c r="AJ393" s="9"/>
      <c r="AK393" s="9"/>
      <c r="AL393" s="9"/>
      <c r="AM393" s="11"/>
      <c r="AN393" s="11"/>
      <c r="AO393" s="9"/>
      <c r="AP393" s="9"/>
      <c r="AQ393" s="9"/>
    </row>
    <row r="394" spans="1:43" x14ac:dyDescent="0.25">
      <c r="A394" s="9"/>
      <c r="B394" s="10"/>
      <c r="C394" s="9"/>
      <c r="D394" s="9"/>
      <c r="E394" s="9"/>
      <c r="F394" s="9"/>
      <c r="G394" s="9"/>
      <c r="H394" s="9"/>
      <c r="I394" s="10"/>
      <c r="J394" s="11"/>
      <c r="K394" s="11"/>
      <c r="L394" s="9"/>
      <c r="M394" s="9"/>
      <c r="N394" s="9"/>
      <c r="O394" s="9"/>
      <c r="P394" s="9"/>
      <c r="Q394" s="9"/>
      <c r="R394" s="9"/>
      <c r="S394" s="9"/>
      <c r="T394" s="9"/>
      <c r="U394" s="9"/>
      <c r="V394" s="9"/>
      <c r="W394" s="9"/>
      <c r="X394" s="11"/>
      <c r="Y394" s="9"/>
      <c r="Z394" s="11"/>
      <c r="AA394" s="9"/>
      <c r="AB394" s="9"/>
      <c r="AC394" s="11"/>
      <c r="AD394" s="9"/>
      <c r="AE394" s="9"/>
      <c r="AF394" s="9"/>
      <c r="AG394" s="9"/>
      <c r="AH394" s="9"/>
      <c r="AI394" s="9"/>
      <c r="AJ394" s="9"/>
      <c r="AK394" s="9"/>
      <c r="AL394" s="9"/>
      <c r="AM394" s="11"/>
      <c r="AN394" s="11"/>
      <c r="AO394" s="9"/>
      <c r="AP394" s="9"/>
      <c r="AQ394" s="9"/>
    </row>
    <row r="395" spans="1:43" x14ac:dyDescent="0.25">
      <c r="A395" s="9"/>
      <c r="B395" s="10"/>
      <c r="C395" s="9"/>
      <c r="D395" s="9"/>
      <c r="E395" s="9"/>
      <c r="F395" s="9"/>
      <c r="G395" s="9"/>
      <c r="H395" s="9"/>
      <c r="I395" s="10"/>
      <c r="J395" s="11"/>
      <c r="K395" s="10"/>
      <c r="L395" s="9"/>
      <c r="M395" s="9"/>
      <c r="N395" s="9"/>
      <c r="O395" s="9"/>
      <c r="P395" s="9"/>
      <c r="Q395" s="9"/>
      <c r="R395" s="9"/>
      <c r="S395" s="9"/>
      <c r="T395" s="9"/>
      <c r="U395" s="9"/>
      <c r="V395" s="9"/>
      <c r="W395" s="9"/>
      <c r="X395" s="11"/>
      <c r="Y395" s="9"/>
      <c r="Z395" s="10"/>
      <c r="AA395" s="9"/>
      <c r="AB395" s="9"/>
      <c r="AC395" s="10"/>
      <c r="AD395" s="9"/>
      <c r="AE395" s="9"/>
      <c r="AF395" s="9"/>
      <c r="AG395" s="9"/>
      <c r="AH395" s="9"/>
      <c r="AI395" s="9"/>
      <c r="AJ395" s="9"/>
      <c r="AK395" s="9"/>
      <c r="AL395" s="9"/>
      <c r="AM395" s="10"/>
      <c r="AN395" s="11"/>
      <c r="AO395" s="9"/>
      <c r="AP395" s="9"/>
      <c r="AQ395" s="9"/>
    </row>
    <row r="396" spans="1:43" x14ac:dyDescent="0.25">
      <c r="A396" s="9"/>
      <c r="B396" s="10"/>
      <c r="C396" s="9"/>
      <c r="D396" s="9"/>
      <c r="E396" s="9"/>
      <c r="F396" s="9"/>
      <c r="G396" s="9"/>
      <c r="H396" s="9"/>
      <c r="I396" s="10"/>
      <c r="J396" s="11"/>
      <c r="K396" s="10"/>
      <c r="L396" s="9"/>
      <c r="M396" s="9"/>
      <c r="N396" s="9"/>
      <c r="O396" s="9"/>
      <c r="P396" s="9"/>
      <c r="Q396" s="9"/>
      <c r="R396" s="9"/>
      <c r="S396" s="9"/>
      <c r="T396" s="9"/>
      <c r="U396" s="9"/>
      <c r="V396" s="9"/>
      <c r="W396" s="9"/>
      <c r="X396" s="11"/>
      <c r="Y396" s="9"/>
      <c r="Z396" s="10"/>
      <c r="AA396" s="9"/>
      <c r="AB396" s="9"/>
      <c r="AC396" s="10"/>
      <c r="AD396" s="9"/>
      <c r="AE396" s="9"/>
      <c r="AF396" s="9"/>
      <c r="AG396" s="9"/>
      <c r="AH396" s="9"/>
      <c r="AI396" s="9"/>
      <c r="AJ396" s="9"/>
      <c r="AK396" s="9"/>
      <c r="AL396" s="9"/>
      <c r="AM396" s="10"/>
      <c r="AN396" s="11"/>
      <c r="AO396" s="9"/>
      <c r="AP396" s="9"/>
      <c r="AQ396" s="9"/>
    </row>
    <row r="397" spans="1:43" x14ac:dyDescent="0.25">
      <c r="A397" s="9"/>
      <c r="B397" s="10"/>
      <c r="C397" s="9"/>
      <c r="D397" s="9"/>
      <c r="E397" s="9"/>
      <c r="F397" s="9"/>
      <c r="G397" s="9"/>
      <c r="H397" s="9"/>
      <c r="I397" s="10"/>
      <c r="J397" s="11"/>
      <c r="K397" s="11"/>
      <c r="L397" s="9"/>
      <c r="M397" s="9"/>
      <c r="N397" s="9"/>
      <c r="O397" s="9"/>
      <c r="P397" s="9"/>
      <c r="Q397" s="9"/>
      <c r="R397" s="9"/>
      <c r="S397" s="9"/>
      <c r="T397" s="9"/>
      <c r="U397" s="9"/>
      <c r="V397" s="9"/>
      <c r="W397" s="9"/>
      <c r="X397" s="11"/>
      <c r="Y397" s="9"/>
      <c r="Z397" s="11"/>
      <c r="AA397" s="9"/>
      <c r="AB397" s="9"/>
      <c r="AC397" s="11"/>
      <c r="AD397" s="9"/>
      <c r="AE397" s="9"/>
      <c r="AF397" s="9"/>
      <c r="AG397" s="9"/>
      <c r="AH397" s="9"/>
      <c r="AI397" s="9"/>
      <c r="AJ397" s="9"/>
      <c r="AK397" s="9"/>
      <c r="AL397" s="9"/>
      <c r="AM397" s="11"/>
      <c r="AN397" s="11"/>
      <c r="AO397" s="9"/>
      <c r="AP397" s="9"/>
      <c r="AQ397" s="9"/>
    </row>
    <row r="398" spans="1:43" x14ac:dyDescent="0.25">
      <c r="A398" s="9"/>
      <c r="B398" s="10"/>
      <c r="C398" s="9"/>
      <c r="D398" s="9"/>
      <c r="E398" s="9"/>
      <c r="F398" s="9"/>
      <c r="G398" s="9"/>
      <c r="H398" s="9"/>
      <c r="I398" s="10"/>
      <c r="J398" s="11"/>
      <c r="K398" s="11"/>
      <c r="L398" s="9"/>
      <c r="M398" s="9"/>
      <c r="N398" s="9"/>
      <c r="O398" s="9"/>
      <c r="P398" s="9"/>
      <c r="Q398" s="9"/>
      <c r="R398" s="9"/>
      <c r="S398" s="9"/>
      <c r="T398" s="9"/>
      <c r="U398" s="9"/>
      <c r="V398" s="9"/>
      <c r="W398" s="9"/>
      <c r="X398" s="11"/>
      <c r="Y398" s="9"/>
      <c r="Z398" s="11"/>
      <c r="AA398" s="9"/>
      <c r="AB398" s="9"/>
      <c r="AC398" s="11"/>
      <c r="AD398" s="9"/>
      <c r="AE398" s="9"/>
      <c r="AF398" s="9"/>
      <c r="AG398" s="9"/>
      <c r="AH398" s="9"/>
      <c r="AI398" s="9"/>
      <c r="AJ398" s="9"/>
      <c r="AK398" s="9"/>
      <c r="AL398" s="9"/>
      <c r="AM398" s="11"/>
      <c r="AN398" s="11"/>
      <c r="AO398" s="9"/>
      <c r="AP398" s="9"/>
      <c r="AQ398" s="9"/>
    </row>
    <row r="399" spans="1:43" x14ac:dyDescent="0.25">
      <c r="A399" s="9"/>
      <c r="B399" s="10"/>
      <c r="C399" s="9"/>
      <c r="D399" s="9"/>
      <c r="E399" s="9"/>
      <c r="F399" s="9"/>
      <c r="G399" s="9"/>
      <c r="H399" s="9"/>
      <c r="I399" s="10"/>
      <c r="J399" s="11"/>
      <c r="K399" s="11"/>
      <c r="L399" s="9"/>
      <c r="M399" s="9"/>
      <c r="N399" s="9"/>
      <c r="O399" s="9"/>
      <c r="P399" s="9"/>
      <c r="Q399" s="9"/>
      <c r="R399" s="9"/>
      <c r="S399" s="9"/>
      <c r="T399" s="9"/>
      <c r="U399" s="9"/>
      <c r="V399" s="9"/>
      <c r="W399" s="9"/>
      <c r="X399" s="11"/>
      <c r="Y399" s="9"/>
      <c r="Z399" s="11"/>
      <c r="AA399" s="9"/>
      <c r="AB399" s="9"/>
      <c r="AC399" s="11"/>
      <c r="AD399" s="9"/>
      <c r="AE399" s="9"/>
      <c r="AF399" s="9"/>
      <c r="AG399" s="9"/>
      <c r="AH399" s="9"/>
      <c r="AI399" s="9"/>
      <c r="AJ399" s="9"/>
      <c r="AK399" s="9"/>
      <c r="AL399" s="9"/>
      <c r="AM399" s="11"/>
      <c r="AN399" s="11"/>
      <c r="AO399" s="9"/>
      <c r="AP399" s="9"/>
      <c r="AQ399" s="9"/>
    </row>
    <row r="400" spans="1:43" x14ac:dyDescent="0.25">
      <c r="A400" s="9"/>
      <c r="B400" s="10"/>
      <c r="C400" s="9"/>
      <c r="D400" s="9"/>
      <c r="E400" s="9"/>
      <c r="F400" s="9"/>
      <c r="G400" s="9"/>
      <c r="H400" s="9"/>
      <c r="I400" s="10"/>
      <c r="J400" s="11"/>
      <c r="K400" s="10"/>
      <c r="L400" s="9"/>
      <c r="M400" s="9"/>
      <c r="N400" s="9"/>
      <c r="O400" s="9"/>
      <c r="P400" s="9"/>
      <c r="Q400" s="9"/>
      <c r="R400" s="9"/>
      <c r="S400" s="9"/>
      <c r="T400" s="9"/>
      <c r="U400" s="9"/>
      <c r="V400" s="9"/>
      <c r="W400" s="9"/>
      <c r="X400" s="11"/>
      <c r="Y400" s="9"/>
      <c r="Z400" s="10"/>
      <c r="AA400" s="9"/>
      <c r="AB400" s="9"/>
      <c r="AC400" s="10"/>
      <c r="AD400" s="9"/>
      <c r="AE400" s="9"/>
      <c r="AF400" s="9"/>
      <c r="AG400" s="9"/>
      <c r="AH400" s="9"/>
      <c r="AI400" s="9"/>
      <c r="AJ400" s="9"/>
      <c r="AK400" s="9"/>
      <c r="AL400" s="9"/>
      <c r="AM400" s="11"/>
      <c r="AN400" s="11"/>
      <c r="AO400" s="9"/>
      <c r="AP400" s="9"/>
      <c r="AQ400" s="9"/>
    </row>
    <row r="401" spans="1:43" x14ac:dyDescent="0.25">
      <c r="A401" s="9"/>
      <c r="B401" s="10"/>
      <c r="C401" s="9"/>
      <c r="D401" s="9"/>
      <c r="E401" s="9"/>
      <c r="F401" s="9"/>
      <c r="G401" s="9"/>
      <c r="H401" s="9"/>
      <c r="I401" s="10"/>
      <c r="J401" s="11"/>
      <c r="K401" s="11"/>
      <c r="L401" s="9"/>
      <c r="M401" s="9"/>
      <c r="N401" s="9"/>
      <c r="O401" s="9"/>
      <c r="P401" s="9"/>
      <c r="Q401" s="9"/>
      <c r="R401" s="9"/>
      <c r="S401" s="9"/>
      <c r="T401" s="9"/>
      <c r="U401" s="9"/>
      <c r="V401" s="9"/>
      <c r="W401" s="9"/>
      <c r="X401" s="11"/>
      <c r="Y401" s="9"/>
      <c r="Z401" s="11"/>
      <c r="AA401" s="9"/>
      <c r="AB401" s="9"/>
      <c r="AC401" s="11"/>
      <c r="AD401" s="9"/>
      <c r="AE401" s="9"/>
      <c r="AF401" s="9"/>
      <c r="AG401" s="9"/>
      <c r="AH401" s="9"/>
      <c r="AI401" s="9"/>
      <c r="AJ401" s="9"/>
      <c r="AK401" s="9"/>
      <c r="AL401" s="9"/>
      <c r="AM401" s="11"/>
      <c r="AN401" s="11"/>
      <c r="AO401" s="9"/>
      <c r="AP401" s="9"/>
      <c r="AQ401" s="9"/>
    </row>
    <row r="402" spans="1:43" x14ac:dyDescent="0.25">
      <c r="A402" s="9"/>
      <c r="B402" s="10"/>
      <c r="C402" s="9"/>
      <c r="D402" s="9"/>
      <c r="E402" s="9"/>
      <c r="F402" s="9"/>
      <c r="G402" s="9"/>
      <c r="H402" s="9"/>
      <c r="I402" s="10"/>
      <c r="J402" s="11"/>
      <c r="K402" s="11"/>
      <c r="L402" s="9"/>
      <c r="M402" s="9"/>
      <c r="N402" s="9"/>
      <c r="O402" s="9"/>
      <c r="P402" s="9"/>
      <c r="Q402" s="9"/>
      <c r="R402" s="9"/>
      <c r="S402" s="9"/>
      <c r="T402" s="9"/>
      <c r="U402" s="9"/>
      <c r="V402" s="9"/>
      <c r="W402" s="9"/>
      <c r="X402" s="11"/>
      <c r="Y402" s="9"/>
      <c r="Z402" s="11"/>
      <c r="AA402" s="9"/>
      <c r="AB402" s="9"/>
      <c r="AC402" s="11"/>
      <c r="AD402" s="9"/>
      <c r="AE402" s="9"/>
      <c r="AF402" s="9"/>
      <c r="AG402" s="9"/>
      <c r="AH402" s="9"/>
      <c r="AI402" s="9"/>
      <c r="AJ402" s="9"/>
      <c r="AK402" s="9"/>
      <c r="AL402" s="9"/>
      <c r="AM402" s="11"/>
      <c r="AN402" s="11"/>
      <c r="AO402" s="9"/>
      <c r="AP402" s="9"/>
      <c r="AQ402" s="9"/>
    </row>
    <row r="403" spans="1:43" x14ac:dyDescent="0.25">
      <c r="A403" s="9"/>
      <c r="B403" s="10"/>
      <c r="C403" s="9"/>
      <c r="D403" s="9"/>
      <c r="E403" s="9"/>
      <c r="F403" s="9"/>
      <c r="G403" s="9"/>
      <c r="H403" s="9"/>
      <c r="I403" s="10"/>
      <c r="J403" s="11"/>
      <c r="K403" s="10"/>
      <c r="L403" s="9"/>
      <c r="M403" s="9"/>
      <c r="N403" s="9"/>
      <c r="O403" s="9"/>
      <c r="P403" s="9"/>
      <c r="Q403" s="9"/>
      <c r="R403" s="9"/>
      <c r="S403" s="9"/>
      <c r="T403" s="9"/>
      <c r="U403" s="9"/>
      <c r="V403" s="9"/>
      <c r="W403" s="9"/>
      <c r="X403" s="11"/>
      <c r="Y403" s="9"/>
      <c r="Z403" s="10"/>
      <c r="AA403" s="9"/>
      <c r="AB403" s="9"/>
      <c r="AC403" s="10"/>
      <c r="AD403" s="9"/>
      <c r="AE403" s="9"/>
      <c r="AF403" s="9"/>
      <c r="AG403" s="9"/>
      <c r="AH403" s="9"/>
      <c r="AI403" s="9"/>
      <c r="AJ403" s="9"/>
      <c r="AK403" s="9"/>
      <c r="AL403" s="9"/>
      <c r="AM403" s="10"/>
      <c r="AN403" s="11"/>
      <c r="AO403" s="9"/>
      <c r="AP403" s="9"/>
      <c r="AQ403" s="9"/>
    </row>
    <row r="404" spans="1:43" x14ac:dyDescent="0.25">
      <c r="A404" s="9"/>
      <c r="B404" s="10"/>
      <c r="C404" s="9"/>
      <c r="D404" s="9"/>
      <c r="E404" s="9"/>
      <c r="F404" s="9"/>
      <c r="G404" s="9"/>
      <c r="H404" s="9"/>
      <c r="I404" s="10"/>
      <c r="J404" s="11"/>
      <c r="K404" s="11"/>
      <c r="L404" s="9"/>
      <c r="M404" s="9"/>
      <c r="N404" s="9"/>
      <c r="O404" s="9"/>
      <c r="P404" s="9"/>
      <c r="Q404" s="9"/>
      <c r="R404" s="9"/>
      <c r="S404" s="9"/>
      <c r="T404" s="9"/>
      <c r="U404" s="9"/>
      <c r="V404" s="9"/>
      <c r="W404" s="9"/>
      <c r="X404" s="11"/>
      <c r="Y404" s="9"/>
      <c r="Z404" s="11"/>
      <c r="AA404" s="9"/>
      <c r="AB404" s="9"/>
      <c r="AC404" s="11"/>
      <c r="AD404" s="9"/>
      <c r="AE404" s="9"/>
      <c r="AF404" s="9"/>
      <c r="AG404" s="9"/>
      <c r="AH404" s="9"/>
      <c r="AI404" s="9"/>
      <c r="AJ404" s="9"/>
      <c r="AK404" s="9"/>
      <c r="AL404" s="9"/>
      <c r="AM404" s="11"/>
      <c r="AN404" s="11"/>
      <c r="AO404" s="9"/>
      <c r="AP404" s="9"/>
      <c r="AQ404" s="9"/>
    </row>
    <row r="405" spans="1:43" x14ac:dyDescent="0.25">
      <c r="A405" s="9"/>
      <c r="B405" s="10"/>
      <c r="C405" s="9"/>
      <c r="D405" s="9"/>
      <c r="E405" s="9"/>
      <c r="F405" s="9"/>
      <c r="G405" s="9"/>
      <c r="H405" s="9"/>
      <c r="I405" s="10"/>
      <c r="J405" s="11"/>
      <c r="K405" s="10"/>
      <c r="L405" s="9"/>
      <c r="M405" s="9"/>
      <c r="N405" s="9"/>
      <c r="O405" s="9"/>
      <c r="P405" s="9"/>
      <c r="Q405" s="9"/>
      <c r="R405" s="9"/>
      <c r="S405" s="9"/>
      <c r="T405" s="9"/>
      <c r="U405" s="9"/>
      <c r="V405" s="9"/>
      <c r="W405" s="9"/>
      <c r="X405" s="11"/>
      <c r="Y405" s="9"/>
      <c r="Z405" s="10"/>
      <c r="AA405" s="9"/>
      <c r="AB405" s="9"/>
      <c r="AC405" s="10"/>
      <c r="AD405" s="9"/>
      <c r="AE405" s="9"/>
      <c r="AF405" s="9"/>
      <c r="AG405" s="9"/>
      <c r="AH405" s="9"/>
      <c r="AI405" s="9"/>
      <c r="AJ405" s="9"/>
      <c r="AK405" s="9"/>
      <c r="AL405" s="9"/>
      <c r="AM405" s="11"/>
      <c r="AN405" s="11"/>
      <c r="AO405" s="9"/>
      <c r="AP405" s="9"/>
      <c r="AQ405" s="9"/>
    </row>
    <row r="406" spans="1:43" x14ac:dyDescent="0.25">
      <c r="A406" s="9"/>
      <c r="B406" s="10"/>
      <c r="C406" s="9"/>
      <c r="D406" s="9"/>
      <c r="E406" s="9"/>
      <c r="F406" s="9"/>
      <c r="G406" s="9"/>
      <c r="H406" s="9"/>
      <c r="I406" s="10"/>
      <c r="J406" s="11"/>
      <c r="K406" s="11"/>
      <c r="L406" s="9"/>
      <c r="M406" s="9"/>
      <c r="N406" s="9"/>
      <c r="O406" s="9"/>
      <c r="P406" s="9"/>
      <c r="Q406" s="9"/>
      <c r="R406" s="9"/>
      <c r="S406" s="9"/>
      <c r="T406" s="9"/>
      <c r="U406" s="9"/>
      <c r="V406" s="9"/>
      <c r="W406" s="9"/>
      <c r="X406" s="11"/>
      <c r="Y406" s="9"/>
      <c r="Z406" s="11"/>
      <c r="AA406" s="9"/>
      <c r="AB406" s="9"/>
      <c r="AC406" s="11"/>
      <c r="AD406" s="9"/>
      <c r="AE406" s="9"/>
      <c r="AF406" s="9"/>
      <c r="AG406" s="9"/>
      <c r="AH406" s="9"/>
      <c r="AI406" s="9"/>
      <c r="AJ406" s="9"/>
      <c r="AK406" s="9"/>
      <c r="AL406" s="9"/>
      <c r="AM406" s="11"/>
      <c r="AN406" s="11"/>
      <c r="AO406" s="9"/>
      <c r="AP406" s="9"/>
      <c r="AQ406" s="9"/>
    </row>
    <row r="407" spans="1:43" x14ac:dyDescent="0.25">
      <c r="A407" s="9"/>
      <c r="B407" s="10"/>
      <c r="C407" s="9"/>
      <c r="D407" s="9"/>
      <c r="E407" s="9"/>
      <c r="F407" s="9"/>
      <c r="G407" s="9"/>
      <c r="H407" s="9"/>
      <c r="I407" s="10"/>
      <c r="J407" s="11"/>
      <c r="K407" s="11"/>
      <c r="L407" s="9"/>
      <c r="M407" s="9"/>
      <c r="N407" s="9"/>
      <c r="O407" s="9"/>
      <c r="P407" s="9"/>
      <c r="Q407" s="9"/>
      <c r="R407" s="9"/>
      <c r="S407" s="9"/>
      <c r="T407" s="9"/>
      <c r="U407" s="9"/>
      <c r="V407" s="9"/>
      <c r="W407" s="9"/>
      <c r="X407" s="11"/>
      <c r="Y407" s="9"/>
      <c r="Z407" s="11"/>
      <c r="AA407" s="9"/>
      <c r="AB407" s="9"/>
      <c r="AC407" s="11"/>
      <c r="AD407" s="9"/>
      <c r="AE407" s="9"/>
      <c r="AF407" s="9"/>
      <c r="AG407" s="9"/>
      <c r="AH407" s="9"/>
      <c r="AI407" s="9"/>
      <c r="AJ407" s="9"/>
      <c r="AK407" s="9"/>
      <c r="AL407" s="9"/>
      <c r="AM407" s="11"/>
      <c r="AN407" s="11"/>
      <c r="AO407" s="9"/>
      <c r="AP407" s="9"/>
      <c r="AQ407" s="9"/>
    </row>
    <row r="408" spans="1:43" x14ac:dyDescent="0.25">
      <c r="A408" s="9"/>
      <c r="B408" s="10"/>
      <c r="C408" s="9"/>
      <c r="D408" s="9"/>
      <c r="E408" s="9"/>
      <c r="F408" s="9"/>
      <c r="G408" s="9"/>
      <c r="H408" s="9"/>
      <c r="I408" s="10"/>
      <c r="J408" s="11"/>
      <c r="K408" s="10"/>
      <c r="L408" s="9"/>
      <c r="M408" s="9"/>
      <c r="N408" s="9"/>
      <c r="O408" s="9"/>
      <c r="P408" s="9"/>
      <c r="Q408" s="9"/>
      <c r="R408" s="9"/>
      <c r="S408" s="9"/>
      <c r="T408" s="9"/>
      <c r="U408" s="9"/>
      <c r="V408" s="9"/>
      <c r="W408" s="9"/>
      <c r="X408" s="11"/>
      <c r="Y408" s="9"/>
      <c r="Z408" s="10"/>
      <c r="AA408" s="9"/>
      <c r="AB408" s="9"/>
      <c r="AC408" s="10"/>
      <c r="AD408" s="9"/>
      <c r="AE408" s="9"/>
      <c r="AF408" s="9"/>
      <c r="AG408" s="9"/>
      <c r="AH408" s="9"/>
      <c r="AI408" s="9"/>
      <c r="AJ408" s="9"/>
      <c r="AK408" s="9"/>
      <c r="AL408" s="9"/>
      <c r="AM408" s="10"/>
      <c r="AN408" s="11"/>
      <c r="AO408" s="9"/>
      <c r="AP408" s="9"/>
      <c r="AQ408" s="9"/>
    </row>
    <row r="409" spans="1:43" x14ac:dyDescent="0.25">
      <c r="A409" s="9"/>
      <c r="B409" s="10"/>
      <c r="C409" s="9"/>
      <c r="D409" s="9"/>
      <c r="E409" s="9"/>
      <c r="F409" s="9"/>
      <c r="G409" s="9"/>
      <c r="H409" s="9"/>
      <c r="I409" s="10"/>
      <c r="J409" s="11"/>
      <c r="K409" s="11"/>
      <c r="L409" s="9"/>
      <c r="M409" s="9"/>
      <c r="N409" s="9"/>
      <c r="O409" s="9"/>
      <c r="P409" s="9"/>
      <c r="Q409" s="9"/>
      <c r="R409" s="9"/>
      <c r="S409" s="9"/>
      <c r="T409" s="9"/>
      <c r="U409" s="9"/>
      <c r="V409" s="9"/>
      <c r="W409" s="9"/>
      <c r="X409" s="11"/>
      <c r="Y409" s="9"/>
      <c r="Z409" s="11"/>
      <c r="AA409" s="9"/>
      <c r="AB409" s="9"/>
      <c r="AC409" s="11"/>
      <c r="AD409" s="9"/>
      <c r="AE409" s="9"/>
      <c r="AF409" s="9"/>
      <c r="AG409" s="9"/>
      <c r="AH409" s="9"/>
      <c r="AI409" s="9"/>
      <c r="AJ409" s="9"/>
      <c r="AK409" s="9"/>
      <c r="AL409" s="9"/>
      <c r="AM409" s="11"/>
      <c r="AN409" s="11"/>
      <c r="AO409" s="9"/>
      <c r="AP409" s="9"/>
      <c r="AQ409" s="9"/>
    </row>
    <row r="410" spans="1:43" x14ac:dyDescent="0.25">
      <c r="A410" s="9"/>
      <c r="B410" s="10"/>
      <c r="C410" s="9"/>
      <c r="D410" s="9"/>
      <c r="E410" s="9"/>
      <c r="F410" s="9"/>
      <c r="G410" s="9"/>
      <c r="H410" s="9"/>
      <c r="I410" s="10"/>
      <c r="J410" s="11"/>
      <c r="K410" s="11"/>
      <c r="L410" s="9"/>
      <c r="M410" s="9"/>
      <c r="N410" s="9"/>
      <c r="O410" s="9"/>
      <c r="P410" s="9"/>
      <c r="Q410" s="9"/>
      <c r="R410" s="9"/>
      <c r="S410" s="9"/>
      <c r="T410" s="9"/>
      <c r="U410" s="9"/>
      <c r="V410" s="9"/>
      <c r="W410" s="9"/>
      <c r="X410" s="11"/>
      <c r="Y410" s="9"/>
      <c r="Z410" s="11"/>
      <c r="AA410" s="9"/>
      <c r="AB410" s="9"/>
      <c r="AC410" s="11"/>
      <c r="AD410" s="9"/>
      <c r="AE410" s="9"/>
      <c r="AF410" s="9"/>
      <c r="AG410" s="9"/>
      <c r="AH410" s="9"/>
      <c r="AI410" s="9"/>
      <c r="AJ410" s="9"/>
      <c r="AK410" s="9"/>
      <c r="AL410" s="9"/>
      <c r="AM410" s="11"/>
      <c r="AN410" s="11"/>
      <c r="AO410" s="9"/>
      <c r="AP410" s="9"/>
      <c r="AQ410" s="9"/>
    </row>
    <row r="411" spans="1:43" x14ac:dyDescent="0.25">
      <c r="A411" s="9"/>
      <c r="B411" s="10"/>
      <c r="C411" s="9"/>
      <c r="D411" s="9"/>
      <c r="E411" s="9"/>
      <c r="F411" s="9"/>
      <c r="G411" s="9"/>
      <c r="H411" s="9"/>
      <c r="I411" s="10"/>
      <c r="J411" s="11"/>
      <c r="K411" s="11"/>
      <c r="L411" s="9"/>
      <c r="M411" s="9"/>
      <c r="N411" s="9"/>
      <c r="O411" s="9"/>
      <c r="P411" s="9"/>
      <c r="Q411" s="9"/>
      <c r="R411" s="9"/>
      <c r="S411" s="9"/>
      <c r="T411" s="9"/>
      <c r="U411" s="9"/>
      <c r="V411" s="9"/>
      <c r="W411" s="9"/>
      <c r="X411" s="11"/>
      <c r="Y411" s="9"/>
      <c r="Z411" s="11"/>
      <c r="AA411" s="9"/>
      <c r="AB411" s="9"/>
      <c r="AC411" s="11"/>
      <c r="AD411" s="9"/>
      <c r="AE411" s="9"/>
      <c r="AF411" s="9"/>
      <c r="AG411" s="9"/>
      <c r="AH411" s="9"/>
      <c r="AI411" s="9"/>
      <c r="AJ411" s="9"/>
      <c r="AK411" s="9"/>
      <c r="AL411" s="9"/>
      <c r="AM411" s="11"/>
      <c r="AN411" s="11"/>
      <c r="AO411" s="9"/>
      <c r="AP411" s="9"/>
      <c r="AQ411" s="9"/>
    </row>
    <row r="412" spans="1:43" x14ac:dyDescent="0.25">
      <c r="A412" s="9"/>
      <c r="B412" s="10"/>
      <c r="C412" s="9"/>
      <c r="D412" s="9"/>
      <c r="E412" s="9"/>
      <c r="F412" s="9"/>
      <c r="G412" s="9"/>
      <c r="H412" s="9"/>
      <c r="I412" s="10"/>
      <c r="J412" s="11"/>
      <c r="K412" s="11"/>
      <c r="L412" s="9"/>
      <c r="M412" s="9"/>
      <c r="N412" s="9"/>
      <c r="O412" s="9"/>
      <c r="P412" s="9"/>
      <c r="Q412" s="9"/>
      <c r="R412" s="9"/>
      <c r="S412" s="9"/>
      <c r="T412" s="9"/>
      <c r="U412" s="9"/>
      <c r="V412" s="9"/>
      <c r="W412" s="9"/>
      <c r="X412" s="11"/>
      <c r="Y412" s="9"/>
      <c r="Z412" s="11"/>
      <c r="AA412" s="9"/>
      <c r="AB412" s="9"/>
      <c r="AC412" s="11"/>
      <c r="AD412" s="9"/>
      <c r="AE412" s="9"/>
      <c r="AF412" s="9"/>
      <c r="AG412" s="9"/>
      <c r="AH412" s="9"/>
      <c r="AI412" s="9"/>
      <c r="AJ412" s="9"/>
      <c r="AK412" s="9"/>
      <c r="AL412" s="9"/>
      <c r="AM412" s="11"/>
      <c r="AN412" s="11"/>
      <c r="AO412" s="9"/>
      <c r="AP412" s="9"/>
      <c r="AQ412" s="9"/>
    </row>
    <row r="413" spans="1:43" x14ac:dyDescent="0.25">
      <c r="A413" s="9"/>
      <c r="B413" s="10"/>
      <c r="C413" s="9"/>
      <c r="D413" s="9"/>
      <c r="E413" s="9"/>
      <c r="F413" s="9"/>
      <c r="G413" s="9"/>
      <c r="H413" s="9"/>
      <c r="I413" s="10"/>
      <c r="J413" s="11"/>
      <c r="K413" s="11"/>
      <c r="L413" s="9"/>
      <c r="M413" s="9"/>
      <c r="N413" s="9"/>
      <c r="O413" s="9"/>
      <c r="P413" s="9"/>
      <c r="Q413" s="9"/>
      <c r="R413" s="9"/>
      <c r="S413" s="9"/>
      <c r="T413" s="9"/>
      <c r="U413" s="9"/>
      <c r="V413" s="9"/>
      <c r="W413" s="9"/>
      <c r="X413" s="11"/>
      <c r="Y413" s="9"/>
      <c r="Z413" s="11"/>
      <c r="AA413" s="9"/>
      <c r="AB413" s="9"/>
      <c r="AC413" s="11"/>
      <c r="AD413" s="9"/>
      <c r="AE413" s="9"/>
      <c r="AF413" s="9"/>
      <c r="AG413" s="9"/>
      <c r="AH413" s="9"/>
      <c r="AI413" s="9"/>
      <c r="AJ413" s="9"/>
      <c r="AK413" s="9"/>
      <c r="AL413" s="9"/>
      <c r="AM413" s="11"/>
      <c r="AN413" s="11"/>
      <c r="AO413" s="9"/>
      <c r="AP413" s="9"/>
      <c r="AQ413" s="9"/>
    </row>
    <row r="414" spans="1:43" x14ac:dyDescent="0.25">
      <c r="A414" s="9"/>
      <c r="B414" s="10"/>
      <c r="C414" s="9"/>
      <c r="D414" s="9"/>
      <c r="E414" s="9"/>
      <c r="F414" s="9"/>
      <c r="G414" s="9"/>
      <c r="H414" s="9"/>
      <c r="I414" s="10"/>
      <c r="J414" s="10"/>
      <c r="K414" s="11"/>
      <c r="L414" s="9"/>
      <c r="M414" s="9"/>
      <c r="N414" s="9"/>
      <c r="O414" s="9"/>
      <c r="P414" s="9"/>
      <c r="Q414" s="9"/>
      <c r="R414" s="9"/>
      <c r="S414" s="9"/>
      <c r="T414" s="9"/>
      <c r="U414" s="9"/>
      <c r="V414" s="9"/>
      <c r="W414" s="9"/>
      <c r="X414" s="10"/>
      <c r="Y414" s="9"/>
      <c r="Z414" s="11"/>
      <c r="AA414" s="9"/>
      <c r="AB414" s="9"/>
      <c r="AC414" s="10"/>
      <c r="AD414" s="9"/>
      <c r="AE414" s="9"/>
      <c r="AF414" s="9"/>
      <c r="AG414" s="9"/>
      <c r="AH414" s="9"/>
      <c r="AI414" s="9"/>
      <c r="AJ414" s="9"/>
      <c r="AK414" s="9"/>
      <c r="AL414" s="9"/>
      <c r="AM414" s="11"/>
      <c r="AN414" s="11"/>
      <c r="AO414" s="9"/>
      <c r="AP414" s="9"/>
      <c r="AQ414" s="9"/>
    </row>
    <row r="415" spans="1:43" x14ac:dyDescent="0.25">
      <c r="A415" s="9"/>
      <c r="B415" s="10"/>
      <c r="C415" s="9"/>
      <c r="D415" s="9"/>
      <c r="E415" s="9"/>
      <c r="F415" s="9"/>
      <c r="G415" s="9"/>
      <c r="H415" s="9"/>
      <c r="I415" s="10"/>
      <c r="J415" s="11"/>
      <c r="K415" s="11"/>
      <c r="L415" s="9"/>
      <c r="M415" s="9"/>
      <c r="N415" s="9"/>
      <c r="O415" s="9"/>
      <c r="P415" s="9"/>
      <c r="Q415" s="9"/>
      <c r="R415" s="9"/>
      <c r="S415" s="9"/>
      <c r="T415" s="9"/>
      <c r="U415" s="9"/>
      <c r="V415" s="9"/>
      <c r="W415" s="9"/>
      <c r="X415" s="11"/>
      <c r="Y415" s="9"/>
      <c r="Z415" s="11"/>
      <c r="AA415" s="9"/>
      <c r="AB415" s="9"/>
      <c r="AC415" s="11"/>
      <c r="AD415" s="9"/>
      <c r="AE415" s="9"/>
      <c r="AF415" s="9"/>
      <c r="AG415" s="9"/>
      <c r="AH415" s="9"/>
      <c r="AI415" s="9"/>
      <c r="AJ415" s="9"/>
      <c r="AK415" s="9"/>
      <c r="AL415" s="9"/>
      <c r="AM415" s="11"/>
      <c r="AN415" s="11"/>
      <c r="AO415" s="9"/>
      <c r="AP415" s="9"/>
      <c r="AQ415" s="9"/>
    </row>
    <row r="416" spans="1:43" x14ac:dyDescent="0.25">
      <c r="A416" s="9"/>
      <c r="B416" s="10"/>
      <c r="C416" s="9"/>
      <c r="D416" s="9"/>
      <c r="E416" s="9"/>
      <c r="F416" s="9"/>
      <c r="G416" s="9"/>
      <c r="H416" s="9"/>
      <c r="I416" s="10"/>
      <c r="J416" s="11"/>
      <c r="K416" s="11"/>
      <c r="L416" s="9"/>
      <c r="M416" s="9"/>
      <c r="N416" s="9"/>
      <c r="O416" s="9"/>
      <c r="P416" s="9"/>
      <c r="Q416" s="9"/>
      <c r="R416" s="9"/>
      <c r="S416" s="9"/>
      <c r="T416" s="9"/>
      <c r="U416" s="9"/>
      <c r="V416" s="9"/>
      <c r="W416" s="9"/>
      <c r="X416" s="11"/>
      <c r="Y416" s="9"/>
      <c r="Z416" s="11"/>
      <c r="AA416" s="9"/>
      <c r="AB416" s="9"/>
      <c r="AC416" s="11"/>
      <c r="AD416" s="9"/>
      <c r="AE416" s="9"/>
      <c r="AF416" s="9"/>
      <c r="AG416" s="9"/>
      <c r="AH416" s="9"/>
      <c r="AI416" s="9"/>
      <c r="AJ416" s="9"/>
      <c r="AK416" s="9"/>
      <c r="AL416" s="9"/>
      <c r="AM416" s="11"/>
      <c r="AN416" s="11"/>
      <c r="AO416" s="9"/>
      <c r="AP416" s="9"/>
      <c r="AQ416" s="9"/>
    </row>
    <row r="417" spans="1:43" x14ac:dyDescent="0.25">
      <c r="A417" s="9"/>
      <c r="B417" s="10"/>
      <c r="C417" s="9"/>
      <c r="D417" s="9"/>
      <c r="E417" s="9"/>
      <c r="F417" s="9"/>
      <c r="G417" s="9"/>
      <c r="H417" s="9"/>
      <c r="I417" s="10"/>
      <c r="J417" s="11"/>
      <c r="K417" s="11"/>
      <c r="L417" s="9"/>
      <c r="M417" s="9"/>
      <c r="N417" s="9"/>
      <c r="O417" s="9"/>
      <c r="P417" s="9"/>
      <c r="Q417" s="9"/>
      <c r="R417" s="9"/>
      <c r="S417" s="9"/>
      <c r="T417" s="9"/>
      <c r="U417" s="9"/>
      <c r="V417" s="9"/>
      <c r="W417" s="9"/>
      <c r="X417" s="11"/>
      <c r="Y417" s="9"/>
      <c r="Z417" s="11"/>
      <c r="AA417" s="9"/>
      <c r="AB417" s="9"/>
      <c r="AC417" s="11"/>
      <c r="AD417" s="9"/>
      <c r="AE417" s="9"/>
      <c r="AF417" s="9"/>
      <c r="AG417" s="9"/>
      <c r="AH417" s="9"/>
      <c r="AI417" s="9"/>
      <c r="AJ417" s="9"/>
      <c r="AK417" s="9"/>
      <c r="AL417" s="9"/>
      <c r="AM417" s="11"/>
      <c r="AN417" s="11"/>
      <c r="AO417" s="9"/>
      <c r="AP417" s="9"/>
      <c r="AQ417" s="9"/>
    </row>
    <row r="418" spans="1:43" x14ac:dyDescent="0.25">
      <c r="A418" s="9"/>
      <c r="B418" s="10"/>
      <c r="C418" s="9"/>
      <c r="D418" s="9"/>
      <c r="E418" s="9"/>
      <c r="F418" s="9"/>
      <c r="G418" s="9"/>
      <c r="H418" s="9"/>
      <c r="I418" s="10"/>
      <c r="J418" s="11"/>
      <c r="K418" s="10"/>
      <c r="L418" s="9"/>
      <c r="M418" s="9"/>
      <c r="N418" s="9"/>
      <c r="O418" s="9"/>
      <c r="P418" s="9"/>
      <c r="Q418" s="9"/>
      <c r="R418" s="9"/>
      <c r="S418" s="9"/>
      <c r="T418" s="9"/>
      <c r="U418" s="9"/>
      <c r="V418" s="9"/>
      <c r="W418" s="9"/>
      <c r="X418" s="11"/>
      <c r="Y418" s="9"/>
      <c r="Z418" s="10"/>
      <c r="AA418" s="9"/>
      <c r="AB418" s="9"/>
      <c r="AC418" s="10"/>
      <c r="AD418" s="9"/>
      <c r="AE418" s="9"/>
      <c r="AF418" s="9"/>
      <c r="AG418" s="9"/>
      <c r="AH418" s="9"/>
      <c r="AI418" s="9"/>
      <c r="AJ418" s="9"/>
      <c r="AK418" s="9"/>
      <c r="AL418" s="9"/>
      <c r="AM418" s="11"/>
      <c r="AN418" s="11"/>
      <c r="AO418" s="9"/>
      <c r="AP418" s="9"/>
      <c r="AQ418" s="9"/>
    </row>
    <row r="419" spans="1:43" x14ac:dyDescent="0.25">
      <c r="A419" s="9"/>
      <c r="B419" s="10"/>
      <c r="C419" s="9"/>
      <c r="D419" s="9"/>
      <c r="E419" s="9"/>
      <c r="F419" s="9"/>
      <c r="G419" s="9"/>
      <c r="H419" s="9"/>
      <c r="I419" s="10"/>
      <c r="J419" s="11"/>
      <c r="K419" s="11"/>
      <c r="L419" s="9"/>
      <c r="M419" s="9"/>
      <c r="N419" s="9"/>
      <c r="O419" s="9"/>
      <c r="P419" s="9"/>
      <c r="Q419" s="9"/>
      <c r="R419" s="9"/>
      <c r="S419" s="9"/>
      <c r="T419" s="9"/>
      <c r="U419" s="9"/>
      <c r="V419" s="9"/>
      <c r="W419" s="9"/>
      <c r="X419" s="11"/>
      <c r="Y419" s="9"/>
      <c r="Z419" s="11"/>
      <c r="AA419" s="9"/>
      <c r="AB419" s="9"/>
      <c r="AC419" s="11"/>
      <c r="AD419" s="9"/>
      <c r="AE419" s="9"/>
      <c r="AF419" s="9"/>
      <c r="AG419" s="9"/>
      <c r="AH419" s="9"/>
      <c r="AI419" s="9"/>
      <c r="AJ419" s="9"/>
      <c r="AK419" s="9"/>
      <c r="AL419" s="9"/>
      <c r="AM419" s="11"/>
      <c r="AN419" s="11"/>
      <c r="AO419" s="9"/>
      <c r="AP419" s="9"/>
      <c r="AQ419" s="9"/>
    </row>
    <row r="420" spans="1:43" x14ac:dyDescent="0.25">
      <c r="A420" s="9"/>
      <c r="B420" s="10"/>
      <c r="C420" s="9"/>
      <c r="D420" s="9"/>
      <c r="E420" s="9"/>
      <c r="F420" s="9"/>
      <c r="G420" s="9"/>
      <c r="H420" s="9"/>
      <c r="I420" s="10"/>
      <c r="J420" s="11"/>
      <c r="K420" s="11"/>
      <c r="L420" s="9"/>
      <c r="M420" s="9"/>
      <c r="N420" s="9"/>
      <c r="O420" s="9"/>
      <c r="P420" s="9"/>
      <c r="Q420" s="9"/>
      <c r="R420" s="9"/>
      <c r="S420" s="9"/>
      <c r="T420" s="9"/>
      <c r="U420" s="9"/>
      <c r="V420" s="9"/>
      <c r="W420" s="9"/>
      <c r="X420" s="11"/>
      <c r="Y420" s="9"/>
      <c r="Z420" s="11"/>
      <c r="AA420" s="9"/>
      <c r="AB420" s="9"/>
      <c r="AC420" s="11"/>
      <c r="AD420" s="9"/>
      <c r="AE420" s="9"/>
      <c r="AF420" s="9"/>
      <c r="AG420" s="9"/>
      <c r="AH420" s="9"/>
      <c r="AI420" s="9"/>
      <c r="AJ420" s="9"/>
      <c r="AK420" s="9"/>
      <c r="AL420" s="9"/>
      <c r="AM420" s="11"/>
      <c r="AN420" s="11"/>
      <c r="AO420" s="9"/>
      <c r="AP420" s="9"/>
      <c r="AQ420" s="9"/>
    </row>
    <row r="421" spans="1:43" x14ac:dyDescent="0.25">
      <c r="A421" s="9"/>
      <c r="B421" s="10"/>
      <c r="C421" s="9"/>
      <c r="D421" s="9"/>
      <c r="E421" s="9"/>
      <c r="F421" s="9"/>
      <c r="G421" s="9"/>
      <c r="H421" s="9"/>
      <c r="I421" s="10"/>
      <c r="J421" s="11"/>
      <c r="K421" s="11"/>
      <c r="L421" s="9"/>
      <c r="M421" s="9"/>
      <c r="N421" s="9"/>
      <c r="O421" s="9"/>
      <c r="P421" s="9"/>
      <c r="Q421" s="9"/>
      <c r="R421" s="9"/>
      <c r="S421" s="9"/>
      <c r="T421" s="9"/>
      <c r="U421" s="9"/>
      <c r="V421" s="9"/>
      <c r="W421" s="9"/>
      <c r="X421" s="11"/>
      <c r="Y421" s="9"/>
      <c r="Z421" s="11"/>
      <c r="AA421" s="9"/>
      <c r="AB421" s="9"/>
      <c r="AC421" s="11"/>
      <c r="AD421" s="9"/>
      <c r="AE421" s="9"/>
      <c r="AF421" s="9"/>
      <c r="AG421" s="9"/>
      <c r="AH421" s="9"/>
      <c r="AI421" s="9"/>
      <c r="AJ421" s="9"/>
      <c r="AK421" s="9"/>
      <c r="AL421" s="9"/>
      <c r="AM421" s="11"/>
      <c r="AN421" s="11"/>
      <c r="AO421" s="9"/>
      <c r="AP421" s="9"/>
      <c r="AQ421" s="9"/>
    </row>
    <row r="422" spans="1:43" x14ac:dyDescent="0.25">
      <c r="A422" s="9"/>
      <c r="B422" s="10"/>
      <c r="C422" s="9"/>
      <c r="D422" s="9"/>
      <c r="E422" s="9"/>
      <c r="F422" s="9"/>
      <c r="G422" s="9"/>
      <c r="H422" s="9"/>
      <c r="I422" s="10"/>
      <c r="J422" s="11"/>
      <c r="K422" s="11"/>
      <c r="L422" s="9"/>
      <c r="M422" s="9"/>
      <c r="N422" s="9"/>
      <c r="O422" s="9"/>
      <c r="P422" s="9"/>
      <c r="Q422" s="9"/>
      <c r="R422" s="9"/>
      <c r="S422" s="9"/>
      <c r="T422" s="9"/>
      <c r="U422" s="9"/>
      <c r="V422" s="9"/>
      <c r="W422" s="9"/>
      <c r="X422" s="11"/>
      <c r="Y422" s="9"/>
      <c r="Z422" s="11"/>
      <c r="AA422" s="9"/>
      <c r="AB422" s="9"/>
      <c r="AC422" s="11"/>
      <c r="AD422" s="9"/>
      <c r="AE422" s="9"/>
      <c r="AF422" s="9"/>
      <c r="AG422" s="9"/>
      <c r="AH422" s="9"/>
      <c r="AI422" s="9"/>
      <c r="AJ422" s="9"/>
      <c r="AK422" s="9"/>
      <c r="AL422" s="9"/>
      <c r="AM422" s="11"/>
      <c r="AN422" s="11"/>
      <c r="AO422" s="9"/>
      <c r="AP422" s="9"/>
      <c r="AQ422" s="9"/>
    </row>
    <row r="423" spans="1:43" x14ac:dyDescent="0.25">
      <c r="A423" s="9"/>
      <c r="B423" s="10"/>
      <c r="C423" s="9"/>
      <c r="D423" s="9"/>
      <c r="E423" s="9"/>
      <c r="F423" s="9"/>
      <c r="G423" s="9"/>
      <c r="H423" s="9"/>
      <c r="I423" s="10"/>
      <c r="J423" s="11"/>
      <c r="K423" s="11"/>
      <c r="L423" s="9"/>
      <c r="M423" s="9"/>
      <c r="N423" s="9"/>
      <c r="O423" s="9"/>
      <c r="P423" s="9"/>
      <c r="Q423" s="9"/>
      <c r="R423" s="9"/>
      <c r="S423" s="9"/>
      <c r="T423" s="9"/>
      <c r="U423" s="9"/>
      <c r="V423" s="9"/>
      <c r="W423" s="9"/>
      <c r="X423" s="11"/>
      <c r="Y423" s="9"/>
      <c r="Z423" s="11"/>
      <c r="AA423" s="9"/>
      <c r="AB423" s="9"/>
      <c r="AC423" s="11"/>
      <c r="AD423" s="9"/>
      <c r="AE423" s="9"/>
      <c r="AF423" s="9"/>
      <c r="AG423" s="9"/>
      <c r="AH423" s="9"/>
      <c r="AI423" s="9"/>
      <c r="AJ423" s="9"/>
      <c r="AK423" s="9"/>
      <c r="AL423" s="9"/>
      <c r="AM423" s="11"/>
      <c r="AN423" s="11"/>
      <c r="AO423" s="9"/>
      <c r="AP423" s="9"/>
      <c r="AQ423" s="9"/>
    </row>
    <row r="424" spans="1:43" x14ac:dyDescent="0.25">
      <c r="A424" s="9"/>
      <c r="B424" s="10"/>
      <c r="C424" s="9"/>
      <c r="D424" s="9"/>
      <c r="E424" s="9"/>
      <c r="F424" s="9"/>
      <c r="G424" s="9"/>
      <c r="H424" s="9"/>
      <c r="I424" s="10"/>
      <c r="J424" s="11"/>
      <c r="K424" s="10"/>
      <c r="L424" s="9"/>
      <c r="M424" s="9"/>
      <c r="N424" s="9"/>
      <c r="O424" s="9"/>
      <c r="P424" s="9"/>
      <c r="Q424" s="9"/>
      <c r="R424" s="9"/>
      <c r="S424" s="9"/>
      <c r="T424" s="9"/>
      <c r="U424" s="9"/>
      <c r="V424" s="9"/>
      <c r="W424" s="9"/>
      <c r="X424" s="11"/>
      <c r="Y424" s="9"/>
      <c r="Z424" s="10"/>
      <c r="AA424" s="9"/>
      <c r="AB424" s="9"/>
      <c r="AC424" s="10"/>
      <c r="AD424" s="9"/>
      <c r="AE424" s="9"/>
      <c r="AF424" s="9"/>
      <c r="AG424" s="9"/>
      <c r="AH424" s="9"/>
      <c r="AI424" s="9"/>
      <c r="AJ424" s="9"/>
      <c r="AK424" s="9"/>
      <c r="AL424" s="9"/>
      <c r="AM424" s="10"/>
      <c r="AN424" s="11"/>
      <c r="AO424" s="9"/>
      <c r="AP424" s="9"/>
      <c r="AQ424" s="9"/>
    </row>
    <row r="425" spans="1:43" x14ac:dyDescent="0.25">
      <c r="A425" s="9"/>
      <c r="B425" s="10"/>
      <c r="C425" s="9"/>
      <c r="D425" s="9"/>
      <c r="E425" s="9"/>
      <c r="F425" s="9"/>
      <c r="G425" s="9"/>
      <c r="H425" s="9"/>
      <c r="I425" s="10"/>
      <c r="J425" s="11"/>
      <c r="K425" s="11"/>
      <c r="L425" s="9"/>
      <c r="M425" s="9"/>
      <c r="N425" s="9"/>
      <c r="O425" s="9"/>
      <c r="P425" s="9"/>
      <c r="Q425" s="9"/>
      <c r="R425" s="9"/>
      <c r="S425" s="9"/>
      <c r="T425" s="9"/>
      <c r="U425" s="9"/>
      <c r="V425" s="9"/>
      <c r="W425" s="9"/>
      <c r="X425" s="11"/>
      <c r="Y425" s="9"/>
      <c r="Z425" s="11"/>
      <c r="AA425" s="9"/>
      <c r="AB425" s="9"/>
      <c r="AC425" s="11"/>
      <c r="AD425" s="9"/>
      <c r="AE425" s="9"/>
      <c r="AF425" s="9"/>
      <c r="AG425" s="9"/>
      <c r="AH425" s="9"/>
      <c r="AI425" s="9"/>
      <c r="AJ425" s="9"/>
      <c r="AK425" s="9"/>
      <c r="AL425" s="9"/>
      <c r="AM425" s="11"/>
      <c r="AN425" s="11"/>
      <c r="AO425" s="9"/>
      <c r="AP425" s="9"/>
      <c r="AQ425" s="9"/>
    </row>
    <row r="426" spans="1:43" x14ac:dyDescent="0.25">
      <c r="A426" s="9"/>
      <c r="B426" s="10"/>
      <c r="C426" s="9"/>
      <c r="D426" s="9"/>
      <c r="E426" s="9"/>
      <c r="F426" s="9"/>
      <c r="G426" s="9"/>
      <c r="H426" s="9"/>
      <c r="I426" s="10"/>
      <c r="J426" s="11"/>
      <c r="K426" s="11"/>
      <c r="L426" s="9"/>
      <c r="M426" s="9"/>
      <c r="N426" s="9"/>
      <c r="O426" s="9"/>
      <c r="P426" s="9"/>
      <c r="Q426" s="9"/>
      <c r="R426" s="9"/>
      <c r="S426" s="9"/>
      <c r="T426" s="9"/>
      <c r="U426" s="9"/>
      <c r="V426" s="9"/>
      <c r="W426" s="9"/>
      <c r="X426" s="11"/>
      <c r="Y426" s="9"/>
      <c r="Z426" s="11"/>
      <c r="AA426" s="9"/>
      <c r="AB426" s="9"/>
      <c r="AC426" s="11"/>
      <c r="AD426" s="9"/>
      <c r="AE426" s="9"/>
      <c r="AF426" s="9"/>
      <c r="AG426" s="9"/>
      <c r="AH426" s="9"/>
      <c r="AI426" s="9"/>
      <c r="AJ426" s="9"/>
      <c r="AK426" s="9"/>
      <c r="AL426" s="9"/>
      <c r="AM426" s="11"/>
      <c r="AN426" s="11"/>
      <c r="AO426" s="9"/>
      <c r="AP426" s="9"/>
      <c r="AQ426" s="9"/>
    </row>
    <row r="427" spans="1:43" x14ac:dyDescent="0.25">
      <c r="A427" s="9"/>
      <c r="B427" s="10"/>
      <c r="C427" s="9"/>
      <c r="D427" s="9"/>
      <c r="E427" s="9"/>
      <c r="F427" s="9"/>
      <c r="G427" s="9"/>
      <c r="H427" s="9"/>
      <c r="I427" s="10"/>
      <c r="J427" s="11"/>
      <c r="K427" s="11"/>
      <c r="L427" s="9"/>
      <c r="M427" s="9"/>
      <c r="N427" s="9"/>
      <c r="O427" s="9"/>
      <c r="P427" s="9"/>
      <c r="Q427" s="9"/>
      <c r="R427" s="9"/>
      <c r="S427" s="9"/>
      <c r="T427" s="9"/>
      <c r="U427" s="9"/>
      <c r="V427" s="9"/>
      <c r="W427" s="9"/>
      <c r="X427" s="11"/>
      <c r="Y427" s="9"/>
      <c r="Z427" s="11"/>
      <c r="AA427" s="9"/>
      <c r="AB427" s="9"/>
      <c r="AC427" s="11"/>
      <c r="AD427" s="9"/>
      <c r="AE427" s="9"/>
      <c r="AF427" s="9"/>
      <c r="AG427" s="9"/>
      <c r="AH427" s="9"/>
      <c r="AI427" s="9"/>
      <c r="AJ427" s="9"/>
      <c r="AK427" s="9"/>
      <c r="AL427" s="9"/>
      <c r="AM427" s="11"/>
      <c r="AN427" s="11"/>
      <c r="AO427" s="9"/>
      <c r="AP427" s="9"/>
      <c r="AQ427" s="9"/>
    </row>
    <row r="428" spans="1:43" x14ac:dyDescent="0.25">
      <c r="A428" s="9"/>
      <c r="B428" s="10"/>
      <c r="C428" s="9"/>
      <c r="D428" s="9"/>
      <c r="E428" s="9"/>
      <c r="F428" s="9"/>
      <c r="G428" s="9"/>
      <c r="H428" s="9"/>
      <c r="I428" s="10"/>
      <c r="J428" s="11"/>
      <c r="K428" s="11"/>
      <c r="L428" s="9"/>
      <c r="M428" s="9"/>
      <c r="N428" s="9"/>
      <c r="O428" s="9"/>
      <c r="P428" s="9"/>
      <c r="Q428" s="9"/>
      <c r="R428" s="9"/>
      <c r="S428" s="9"/>
      <c r="T428" s="9"/>
      <c r="U428" s="9"/>
      <c r="V428" s="9"/>
      <c r="W428" s="9"/>
      <c r="X428" s="11"/>
      <c r="Y428" s="9"/>
      <c r="Z428" s="11"/>
      <c r="AA428" s="9"/>
      <c r="AB428" s="9"/>
      <c r="AC428" s="11"/>
      <c r="AD428" s="9"/>
      <c r="AE428" s="9"/>
      <c r="AF428" s="9"/>
      <c r="AG428" s="9"/>
      <c r="AH428" s="9"/>
      <c r="AI428" s="9"/>
      <c r="AJ428" s="9"/>
      <c r="AK428" s="9"/>
      <c r="AL428" s="9"/>
      <c r="AM428" s="11"/>
      <c r="AN428" s="11"/>
      <c r="AO428" s="9"/>
      <c r="AP428" s="9"/>
      <c r="AQ428" s="9"/>
    </row>
    <row r="429" spans="1:43" x14ac:dyDescent="0.25">
      <c r="A429" s="9"/>
      <c r="B429" s="10"/>
      <c r="C429" s="9"/>
      <c r="D429" s="9"/>
      <c r="E429" s="9"/>
      <c r="F429" s="9"/>
      <c r="G429" s="9"/>
      <c r="H429" s="9"/>
      <c r="I429" s="10"/>
      <c r="J429" s="11"/>
      <c r="K429" s="11"/>
      <c r="L429" s="9"/>
      <c r="M429" s="9"/>
      <c r="N429" s="9"/>
      <c r="O429" s="9"/>
      <c r="P429" s="9"/>
      <c r="Q429" s="9"/>
      <c r="R429" s="9"/>
      <c r="S429" s="9"/>
      <c r="T429" s="9"/>
      <c r="U429" s="9"/>
      <c r="V429" s="9"/>
      <c r="W429" s="9"/>
      <c r="X429" s="11"/>
      <c r="Y429" s="9"/>
      <c r="Z429" s="11"/>
      <c r="AA429" s="9"/>
      <c r="AB429" s="9"/>
      <c r="AC429" s="11"/>
      <c r="AD429" s="9"/>
      <c r="AE429" s="9"/>
      <c r="AF429" s="9"/>
      <c r="AG429" s="9"/>
      <c r="AH429" s="9"/>
      <c r="AI429" s="9"/>
      <c r="AJ429" s="9"/>
      <c r="AK429" s="9"/>
      <c r="AL429" s="9"/>
      <c r="AM429" s="11"/>
      <c r="AN429" s="11"/>
      <c r="AO429" s="9"/>
      <c r="AP429" s="9"/>
      <c r="AQ429" s="9"/>
    </row>
    <row r="430" spans="1:43" x14ac:dyDescent="0.25">
      <c r="A430" s="9"/>
      <c r="B430" s="10"/>
      <c r="C430" s="9"/>
      <c r="D430" s="9"/>
      <c r="E430" s="9"/>
      <c r="F430" s="9"/>
      <c r="G430" s="9"/>
      <c r="H430" s="9"/>
      <c r="I430" s="10"/>
      <c r="J430" s="11"/>
      <c r="K430" s="11"/>
      <c r="L430" s="9"/>
      <c r="M430" s="9"/>
      <c r="N430" s="9"/>
      <c r="O430" s="9"/>
      <c r="P430" s="9"/>
      <c r="Q430" s="9"/>
      <c r="R430" s="9"/>
      <c r="S430" s="9"/>
      <c r="T430" s="9"/>
      <c r="U430" s="9"/>
      <c r="V430" s="9"/>
      <c r="W430" s="9"/>
      <c r="X430" s="11"/>
      <c r="Y430" s="9"/>
      <c r="Z430" s="11"/>
      <c r="AA430" s="9"/>
      <c r="AB430" s="9"/>
      <c r="AC430" s="11"/>
      <c r="AD430" s="9"/>
      <c r="AE430" s="9"/>
      <c r="AF430" s="9"/>
      <c r="AG430" s="9"/>
      <c r="AH430" s="9"/>
      <c r="AI430" s="9"/>
      <c r="AJ430" s="9"/>
      <c r="AK430" s="9"/>
      <c r="AL430" s="9"/>
      <c r="AM430" s="11"/>
      <c r="AN430" s="11"/>
      <c r="AO430" s="9"/>
      <c r="AP430" s="9"/>
      <c r="AQ430" s="9"/>
    </row>
    <row r="431" spans="1:43" x14ac:dyDescent="0.25">
      <c r="A431" s="9"/>
      <c r="B431" s="10"/>
      <c r="C431" s="9"/>
      <c r="D431" s="9"/>
      <c r="E431" s="9"/>
      <c r="F431" s="9"/>
      <c r="G431" s="9"/>
      <c r="H431" s="9"/>
      <c r="I431" s="10"/>
      <c r="J431" s="11"/>
      <c r="K431" s="11"/>
      <c r="L431" s="9"/>
      <c r="M431" s="9"/>
      <c r="N431" s="9"/>
      <c r="O431" s="9"/>
      <c r="P431" s="9"/>
      <c r="Q431" s="9"/>
      <c r="R431" s="9"/>
      <c r="S431" s="9"/>
      <c r="T431" s="9"/>
      <c r="U431" s="9"/>
      <c r="V431" s="9"/>
      <c r="W431" s="9"/>
      <c r="X431" s="11"/>
      <c r="Y431" s="9"/>
      <c r="Z431" s="11"/>
      <c r="AA431" s="9"/>
      <c r="AB431" s="9"/>
      <c r="AC431" s="11"/>
      <c r="AD431" s="9"/>
      <c r="AE431" s="9"/>
      <c r="AF431" s="9"/>
      <c r="AG431" s="9"/>
      <c r="AH431" s="9"/>
      <c r="AI431" s="9"/>
      <c r="AJ431" s="9"/>
      <c r="AK431" s="9"/>
      <c r="AL431" s="9"/>
      <c r="AM431" s="11"/>
      <c r="AN431" s="11"/>
      <c r="AO431" s="9"/>
      <c r="AP431" s="9"/>
      <c r="AQ431" s="9"/>
    </row>
    <row r="432" spans="1:43" x14ac:dyDescent="0.25">
      <c r="A432" s="9"/>
      <c r="B432" s="10"/>
      <c r="C432" s="9"/>
      <c r="D432" s="9"/>
      <c r="E432" s="9"/>
      <c r="F432" s="9"/>
      <c r="G432" s="9"/>
      <c r="H432" s="9"/>
      <c r="I432" s="10"/>
      <c r="J432" s="11"/>
      <c r="K432" s="10"/>
      <c r="L432" s="9"/>
      <c r="M432" s="9"/>
      <c r="N432" s="9"/>
      <c r="O432" s="9"/>
      <c r="P432" s="9"/>
      <c r="Q432" s="9"/>
      <c r="R432" s="9"/>
      <c r="S432" s="9"/>
      <c r="T432" s="9"/>
      <c r="U432" s="9"/>
      <c r="V432" s="9"/>
      <c r="W432" s="9"/>
      <c r="X432" s="11"/>
      <c r="Y432" s="9"/>
      <c r="Z432" s="10"/>
      <c r="AA432" s="9"/>
      <c r="AB432" s="9"/>
      <c r="AC432" s="10"/>
      <c r="AD432" s="9"/>
      <c r="AE432" s="9"/>
      <c r="AF432" s="9"/>
      <c r="AG432" s="9"/>
      <c r="AH432" s="9"/>
      <c r="AI432" s="9"/>
      <c r="AJ432" s="9"/>
      <c r="AK432" s="9"/>
      <c r="AL432" s="9"/>
      <c r="AM432" s="10"/>
      <c r="AN432" s="11"/>
      <c r="AO432" s="9"/>
      <c r="AP432" s="9"/>
      <c r="AQ432" s="9"/>
    </row>
    <row r="433" spans="1:43" x14ac:dyDescent="0.25">
      <c r="A433" s="9"/>
      <c r="B433" s="10"/>
      <c r="C433" s="9"/>
      <c r="D433" s="9"/>
      <c r="E433" s="9"/>
      <c r="F433" s="9"/>
      <c r="G433" s="9"/>
      <c r="H433" s="9"/>
      <c r="I433" s="10"/>
      <c r="J433" s="11"/>
      <c r="K433" s="11"/>
      <c r="L433" s="9"/>
      <c r="M433" s="9"/>
      <c r="N433" s="9"/>
      <c r="O433" s="9"/>
      <c r="P433" s="9"/>
      <c r="Q433" s="9"/>
      <c r="R433" s="9"/>
      <c r="S433" s="9"/>
      <c r="T433" s="9"/>
      <c r="U433" s="9"/>
      <c r="V433" s="9"/>
      <c r="W433" s="9"/>
      <c r="X433" s="11"/>
      <c r="Y433" s="9"/>
      <c r="Z433" s="11"/>
      <c r="AA433" s="9"/>
      <c r="AB433" s="9"/>
      <c r="AC433" s="11"/>
      <c r="AD433" s="9"/>
      <c r="AE433" s="9"/>
      <c r="AF433" s="9"/>
      <c r="AG433" s="9"/>
      <c r="AH433" s="9"/>
      <c r="AI433" s="9"/>
      <c r="AJ433" s="9"/>
      <c r="AK433" s="9"/>
      <c r="AL433" s="9"/>
      <c r="AM433" s="11"/>
      <c r="AN433" s="11"/>
      <c r="AO433" s="9"/>
      <c r="AP433" s="9"/>
      <c r="AQ433" s="9"/>
    </row>
    <row r="434" spans="1:43" x14ac:dyDescent="0.25">
      <c r="A434" s="9"/>
      <c r="B434" s="10"/>
      <c r="C434" s="9"/>
      <c r="D434" s="9"/>
      <c r="E434" s="9"/>
      <c r="F434" s="9"/>
      <c r="G434" s="9"/>
      <c r="H434" s="9"/>
      <c r="I434" s="10"/>
      <c r="J434" s="10"/>
      <c r="K434" s="11"/>
      <c r="L434" s="9"/>
      <c r="M434" s="9"/>
      <c r="N434" s="9"/>
      <c r="O434" s="9"/>
      <c r="P434" s="9"/>
      <c r="Q434" s="9"/>
      <c r="R434" s="9"/>
      <c r="S434" s="9"/>
      <c r="T434" s="9"/>
      <c r="U434" s="9"/>
      <c r="V434" s="9"/>
      <c r="W434" s="9"/>
      <c r="X434" s="10"/>
      <c r="Y434" s="9"/>
      <c r="Z434" s="11"/>
      <c r="AA434" s="9"/>
      <c r="AB434" s="9"/>
      <c r="AC434" s="10"/>
      <c r="AD434" s="9"/>
      <c r="AE434" s="9"/>
      <c r="AF434" s="9"/>
      <c r="AG434" s="9"/>
      <c r="AH434" s="9"/>
      <c r="AI434" s="9"/>
      <c r="AJ434" s="9"/>
      <c r="AK434" s="9"/>
      <c r="AL434" s="9"/>
      <c r="AM434" s="11"/>
      <c r="AN434" s="10"/>
      <c r="AO434" s="9"/>
      <c r="AP434" s="9"/>
      <c r="AQ434" s="9"/>
    </row>
    <row r="435" spans="1:43" x14ac:dyDescent="0.25">
      <c r="A435" s="9"/>
      <c r="B435" s="10"/>
      <c r="C435" s="9"/>
      <c r="D435" s="9"/>
      <c r="E435" s="9"/>
      <c r="F435" s="9"/>
      <c r="G435" s="9"/>
      <c r="H435" s="9"/>
      <c r="I435" s="10"/>
      <c r="J435" s="11"/>
      <c r="K435" s="11"/>
      <c r="L435" s="9"/>
      <c r="M435" s="9"/>
      <c r="N435" s="9"/>
      <c r="O435" s="9"/>
      <c r="P435" s="9"/>
      <c r="Q435" s="9"/>
      <c r="R435" s="9"/>
      <c r="S435" s="9"/>
      <c r="T435" s="9"/>
      <c r="U435" s="9"/>
      <c r="V435" s="9"/>
      <c r="W435" s="9"/>
      <c r="X435" s="11"/>
      <c r="Y435" s="9"/>
      <c r="Z435" s="11"/>
      <c r="AA435" s="9"/>
      <c r="AB435" s="9"/>
      <c r="AC435" s="11"/>
      <c r="AD435" s="9"/>
      <c r="AE435" s="9"/>
      <c r="AF435" s="9"/>
      <c r="AG435" s="9"/>
      <c r="AH435" s="9"/>
      <c r="AI435" s="9"/>
      <c r="AJ435" s="9"/>
      <c r="AK435" s="9"/>
      <c r="AL435" s="9"/>
      <c r="AM435" s="11"/>
      <c r="AN435" s="11"/>
      <c r="AO435" s="9"/>
      <c r="AP435" s="9"/>
      <c r="AQ435" s="9"/>
    </row>
    <row r="436" spans="1:43" x14ac:dyDescent="0.25">
      <c r="A436" s="9"/>
      <c r="B436" s="10"/>
      <c r="C436" s="9"/>
      <c r="D436" s="9"/>
      <c r="E436" s="9"/>
      <c r="F436" s="9"/>
      <c r="G436" s="9"/>
      <c r="H436" s="9"/>
      <c r="I436" s="10"/>
      <c r="J436" s="11"/>
      <c r="K436" s="11"/>
      <c r="L436" s="9"/>
      <c r="M436" s="9"/>
      <c r="N436" s="9"/>
      <c r="O436" s="9"/>
      <c r="P436" s="9"/>
      <c r="Q436" s="9"/>
      <c r="R436" s="9"/>
      <c r="S436" s="9"/>
      <c r="T436" s="9"/>
      <c r="U436" s="9"/>
      <c r="V436" s="9"/>
      <c r="W436" s="9"/>
      <c r="X436" s="11"/>
      <c r="Y436" s="9"/>
      <c r="Z436" s="11"/>
      <c r="AA436" s="9"/>
      <c r="AB436" s="9"/>
      <c r="AC436" s="11"/>
      <c r="AD436" s="9"/>
      <c r="AE436" s="9"/>
      <c r="AF436" s="9"/>
      <c r="AG436" s="9"/>
      <c r="AH436" s="9"/>
      <c r="AI436" s="9"/>
      <c r="AJ436" s="9"/>
      <c r="AK436" s="9"/>
      <c r="AL436" s="9"/>
      <c r="AM436" s="11"/>
      <c r="AN436" s="11"/>
      <c r="AO436" s="9"/>
      <c r="AP436" s="9"/>
      <c r="AQ436" s="9"/>
    </row>
    <row r="437" spans="1:43" x14ac:dyDescent="0.25">
      <c r="A437" s="9"/>
      <c r="B437" s="10"/>
      <c r="C437" s="9"/>
      <c r="D437" s="9"/>
      <c r="E437" s="9"/>
      <c r="F437" s="9"/>
      <c r="G437" s="9"/>
      <c r="H437" s="9"/>
      <c r="I437" s="10"/>
      <c r="J437" s="11"/>
      <c r="K437" s="11"/>
      <c r="L437" s="9"/>
      <c r="M437" s="9"/>
      <c r="N437" s="9"/>
      <c r="O437" s="9"/>
      <c r="P437" s="9"/>
      <c r="Q437" s="9"/>
      <c r="R437" s="9"/>
      <c r="S437" s="9"/>
      <c r="T437" s="9"/>
      <c r="U437" s="9"/>
      <c r="V437" s="9"/>
      <c r="W437" s="9"/>
      <c r="X437" s="11"/>
      <c r="Y437" s="9"/>
      <c r="Z437" s="11"/>
      <c r="AA437" s="9"/>
      <c r="AB437" s="9"/>
      <c r="AC437" s="11"/>
      <c r="AD437" s="9"/>
      <c r="AE437" s="9"/>
      <c r="AF437" s="9"/>
      <c r="AG437" s="9"/>
      <c r="AH437" s="9"/>
      <c r="AI437" s="9"/>
      <c r="AJ437" s="9"/>
      <c r="AK437" s="9"/>
      <c r="AL437" s="9"/>
      <c r="AM437" s="11"/>
      <c r="AN437" s="11"/>
      <c r="AO437" s="9"/>
      <c r="AP437" s="9"/>
      <c r="AQ437" s="9"/>
    </row>
    <row r="438" spans="1:43" x14ac:dyDescent="0.25">
      <c r="A438" s="9"/>
      <c r="B438" s="10"/>
      <c r="C438" s="9"/>
      <c r="D438" s="9"/>
      <c r="E438" s="9"/>
      <c r="F438" s="9"/>
      <c r="G438" s="9"/>
      <c r="H438" s="9"/>
      <c r="I438" s="10"/>
      <c r="J438" s="11"/>
      <c r="K438" s="11"/>
      <c r="L438" s="9"/>
      <c r="M438" s="9"/>
      <c r="N438" s="9"/>
      <c r="O438" s="9"/>
      <c r="P438" s="9"/>
      <c r="Q438" s="9"/>
      <c r="R438" s="9"/>
      <c r="S438" s="9"/>
      <c r="T438" s="9"/>
      <c r="U438" s="9"/>
      <c r="V438" s="9"/>
      <c r="W438" s="9"/>
      <c r="X438" s="11"/>
      <c r="Y438" s="9"/>
      <c r="Z438" s="11"/>
      <c r="AA438" s="9"/>
      <c r="AB438" s="9"/>
      <c r="AC438" s="11"/>
      <c r="AD438" s="9"/>
      <c r="AE438" s="9"/>
      <c r="AF438" s="9"/>
      <c r="AG438" s="9"/>
      <c r="AH438" s="9"/>
      <c r="AI438" s="9"/>
      <c r="AJ438" s="9"/>
      <c r="AK438" s="9"/>
      <c r="AL438" s="9"/>
      <c r="AM438" s="11"/>
      <c r="AN438" s="11"/>
      <c r="AO438" s="9"/>
      <c r="AP438" s="9"/>
      <c r="AQ438" s="9"/>
    </row>
    <row r="439" spans="1:43" x14ac:dyDescent="0.25">
      <c r="A439" s="9"/>
      <c r="B439" s="10"/>
      <c r="C439" s="9"/>
      <c r="D439" s="9"/>
      <c r="E439" s="9"/>
      <c r="F439" s="9"/>
      <c r="G439" s="9"/>
      <c r="H439" s="9"/>
      <c r="I439" s="10"/>
      <c r="J439" s="11"/>
      <c r="K439" s="11"/>
      <c r="L439" s="9"/>
      <c r="M439" s="9"/>
      <c r="N439" s="9"/>
      <c r="O439" s="9"/>
      <c r="P439" s="9"/>
      <c r="Q439" s="9"/>
      <c r="R439" s="9"/>
      <c r="S439" s="9"/>
      <c r="T439" s="9"/>
      <c r="U439" s="9"/>
      <c r="V439" s="9"/>
      <c r="W439" s="9"/>
      <c r="X439" s="11"/>
      <c r="Y439" s="9"/>
      <c r="Z439" s="11"/>
      <c r="AA439" s="9"/>
      <c r="AB439" s="9"/>
      <c r="AC439" s="11"/>
      <c r="AD439" s="9"/>
      <c r="AE439" s="9"/>
      <c r="AF439" s="9"/>
      <c r="AG439" s="9"/>
      <c r="AH439" s="9"/>
      <c r="AI439" s="9"/>
      <c r="AJ439" s="9"/>
      <c r="AK439" s="9"/>
      <c r="AL439" s="9"/>
      <c r="AM439" s="11"/>
      <c r="AN439" s="11"/>
      <c r="AO439" s="9"/>
      <c r="AP439" s="9"/>
      <c r="AQ439" s="9"/>
    </row>
    <row r="440" spans="1:43" x14ac:dyDescent="0.25">
      <c r="A440" s="9"/>
      <c r="B440" s="10"/>
      <c r="C440" s="9"/>
      <c r="D440" s="9"/>
      <c r="E440" s="9"/>
      <c r="F440" s="9"/>
      <c r="G440" s="9"/>
      <c r="H440" s="9"/>
      <c r="I440" s="10"/>
      <c r="J440" s="11"/>
      <c r="K440" s="11"/>
      <c r="L440" s="9"/>
      <c r="M440" s="9"/>
      <c r="N440" s="9"/>
      <c r="O440" s="9"/>
      <c r="P440" s="9"/>
      <c r="Q440" s="9"/>
      <c r="R440" s="9"/>
      <c r="S440" s="9"/>
      <c r="T440" s="9"/>
      <c r="U440" s="9"/>
      <c r="V440" s="9"/>
      <c r="W440" s="9"/>
      <c r="X440" s="11"/>
      <c r="Y440" s="9"/>
      <c r="Z440" s="11"/>
      <c r="AA440" s="9"/>
      <c r="AB440" s="9"/>
      <c r="AC440" s="11"/>
      <c r="AD440" s="9"/>
      <c r="AE440" s="9"/>
      <c r="AF440" s="9"/>
      <c r="AG440" s="9"/>
      <c r="AH440" s="9"/>
      <c r="AI440" s="9"/>
      <c r="AJ440" s="9"/>
      <c r="AK440" s="9"/>
      <c r="AL440" s="9"/>
      <c r="AM440" s="11"/>
      <c r="AN440" s="11"/>
      <c r="AO440" s="9"/>
      <c r="AP440" s="9"/>
      <c r="AQ440" s="9"/>
    </row>
    <row r="441" spans="1:43" x14ac:dyDescent="0.25">
      <c r="A441" s="9"/>
      <c r="B441" s="10"/>
      <c r="C441" s="9"/>
      <c r="D441" s="9"/>
      <c r="E441" s="9"/>
      <c r="F441" s="9"/>
      <c r="G441" s="9"/>
      <c r="H441" s="9"/>
      <c r="I441" s="10"/>
      <c r="J441" s="11"/>
      <c r="K441" s="11"/>
      <c r="L441" s="9"/>
      <c r="M441" s="9"/>
      <c r="N441" s="9"/>
      <c r="O441" s="9"/>
      <c r="P441" s="9"/>
      <c r="Q441" s="9"/>
      <c r="R441" s="9"/>
      <c r="S441" s="9"/>
      <c r="T441" s="9"/>
      <c r="U441" s="9"/>
      <c r="V441" s="9"/>
      <c r="W441" s="9"/>
      <c r="X441" s="11"/>
      <c r="Y441" s="9"/>
      <c r="Z441" s="11"/>
      <c r="AA441" s="9"/>
      <c r="AB441" s="9"/>
      <c r="AC441" s="11"/>
      <c r="AD441" s="9"/>
      <c r="AE441" s="9"/>
      <c r="AF441" s="9"/>
      <c r="AG441" s="9"/>
      <c r="AH441" s="9"/>
      <c r="AI441" s="9"/>
      <c r="AJ441" s="9"/>
      <c r="AK441" s="9"/>
      <c r="AL441" s="9"/>
      <c r="AM441" s="11"/>
      <c r="AN441" s="11"/>
      <c r="AO441" s="9"/>
      <c r="AP441" s="9"/>
      <c r="AQ441" s="9"/>
    </row>
    <row r="442" spans="1:43" x14ac:dyDescent="0.25">
      <c r="A442" s="9"/>
      <c r="B442" s="10"/>
      <c r="C442" s="9"/>
      <c r="D442" s="9"/>
      <c r="E442" s="9"/>
      <c r="F442" s="9"/>
      <c r="G442" s="9"/>
      <c r="H442" s="9"/>
      <c r="I442" s="10"/>
      <c r="J442" s="10"/>
      <c r="K442" s="11"/>
      <c r="L442" s="9"/>
      <c r="M442" s="9"/>
      <c r="N442" s="9"/>
      <c r="O442" s="9"/>
      <c r="P442" s="9"/>
      <c r="Q442" s="9"/>
      <c r="R442" s="9"/>
      <c r="S442" s="9"/>
      <c r="T442" s="9"/>
      <c r="U442" s="9"/>
      <c r="V442" s="9"/>
      <c r="W442" s="9"/>
      <c r="X442" s="10"/>
      <c r="Y442" s="9"/>
      <c r="Z442" s="11"/>
      <c r="AA442" s="9"/>
      <c r="AB442" s="9"/>
      <c r="AC442" s="10"/>
      <c r="AD442" s="9"/>
      <c r="AE442" s="9"/>
      <c r="AF442" s="9"/>
      <c r="AG442" s="9"/>
      <c r="AH442" s="9"/>
      <c r="AI442" s="9"/>
      <c r="AJ442" s="9"/>
      <c r="AK442" s="9"/>
      <c r="AL442" s="9"/>
      <c r="AM442" s="11"/>
      <c r="AN442" s="10"/>
      <c r="AO442" s="9"/>
      <c r="AP442" s="9"/>
      <c r="AQ442" s="9"/>
    </row>
    <row r="443" spans="1:43" x14ac:dyDescent="0.25">
      <c r="A443" s="9"/>
      <c r="B443" s="10"/>
      <c r="C443" s="9"/>
      <c r="D443" s="9"/>
      <c r="E443" s="9"/>
      <c r="F443" s="9"/>
      <c r="G443" s="9"/>
      <c r="H443" s="9"/>
      <c r="I443" s="10"/>
      <c r="J443" s="11"/>
      <c r="K443" s="11"/>
      <c r="L443" s="9"/>
      <c r="M443" s="9"/>
      <c r="N443" s="9"/>
      <c r="O443" s="9"/>
      <c r="P443" s="9"/>
      <c r="Q443" s="9"/>
      <c r="R443" s="9"/>
      <c r="S443" s="9"/>
      <c r="T443" s="9"/>
      <c r="U443" s="9"/>
      <c r="V443" s="9"/>
      <c r="W443" s="9"/>
      <c r="X443" s="11"/>
      <c r="Y443" s="9"/>
      <c r="Z443" s="11"/>
      <c r="AA443" s="9"/>
      <c r="AB443" s="9"/>
      <c r="AC443" s="11"/>
      <c r="AD443" s="9"/>
      <c r="AE443" s="9"/>
      <c r="AF443" s="9"/>
      <c r="AG443" s="9"/>
      <c r="AH443" s="9"/>
      <c r="AI443" s="9"/>
      <c r="AJ443" s="9"/>
      <c r="AK443" s="9"/>
      <c r="AL443" s="9"/>
      <c r="AM443" s="11"/>
      <c r="AN443" s="11"/>
      <c r="AO443" s="9"/>
      <c r="AP443" s="9"/>
      <c r="AQ443" s="9"/>
    </row>
    <row r="444" spans="1:43" x14ac:dyDescent="0.25">
      <c r="A444" s="9"/>
      <c r="B444" s="10"/>
      <c r="C444" s="9"/>
      <c r="D444" s="9"/>
      <c r="E444" s="9"/>
      <c r="F444" s="9"/>
      <c r="G444" s="9"/>
      <c r="H444" s="9"/>
      <c r="I444" s="10"/>
      <c r="J444" s="11"/>
      <c r="K444" s="11"/>
      <c r="L444" s="9"/>
      <c r="M444" s="9"/>
      <c r="N444" s="9"/>
      <c r="O444" s="9"/>
      <c r="P444" s="9"/>
      <c r="Q444" s="9"/>
      <c r="R444" s="9"/>
      <c r="S444" s="9"/>
      <c r="T444" s="9"/>
      <c r="U444" s="9"/>
      <c r="V444" s="9"/>
      <c r="W444" s="9"/>
      <c r="X444" s="11"/>
      <c r="Y444" s="9"/>
      <c r="Z444" s="11"/>
      <c r="AA444" s="9"/>
      <c r="AB444" s="9"/>
      <c r="AC444" s="11"/>
      <c r="AD444" s="9"/>
      <c r="AE444" s="9"/>
      <c r="AF444" s="9"/>
      <c r="AG444" s="9"/>
      <c r="AH444" s="9"/>
      <c r="AI444" s="9"/>
      <c r="AJ444" s="9"/>
      <c r="AK444" s="9"/>
      <c r="AL444" s="9"/>
      <c r="AM444" s="11"/>
      <c r="AN444" s="11"/>
      <c r="AO444" s="9"/>
      <c r="AP444" s="9"/>
      <c r="AQ444" s="9"/>
    </row>
    <row r="445" spans="1:43" x14ac:dyDescent="0.25">
      <c r="A445" s="9"/>
      <c r="B445" s="10"/>
      <c r="C445" s="9"/>
      <c r="D445" s="9"/>
      <c r="E445" s="9"/>
      <c r="F445" s="9"/>
      <c r="G445" s="9"/>
      <c r="H445" s="9"/>
      <c r="I445" s="10"/>
      <c r="J445" s="11"/>
      <c r="K445" s="10"/>
      <c r="L445" s="9"/>
      <c r="M445" s="9"/>
      <c r="N445" s="9"/>
      <c r="O445" s="9"/>
      <c r="P445" s="9"/>
      <c r="Q445" s="9"/>
      <c r="R445" s="9"/>
      <c r="S445" s="9"/>
      <c r="T445" s="9"/>
      <c r="U445" s="9"/>
      <c r="V445" s="9"/>
      <c r="W445" s="9"/>
      <c r="X445" s="11"/>
      <c r="Y445" s="9"/>
      <c r="Z445" s="10"/>
      <c r="AA445" s="9"/>
      <c r="AB445" s="9"/>
      <c r="AC445" s="10"/>
      <c r="AD445" s="9"/>
      <c r="AE445" s="9"/>
      <c r="AF445" s="9"/>
      <c r="AG445" s="9"/>
      <c r="AH445" s="9"/>
      <c r="AI445" s="9"/>
      <c r="AJ445" s="9"/>
      <c r="AK445" s="9"/>
      <c r="AL445" s="9"/>
      <c r="AM445" s="11"/>
      <c r="AN445" s="11"/>
      <c r="AO445" s="9"/>
      <c r="AP445" s="9"/>
      <c r="AQ445" s="9"/>
    </row>
    <row r="446" spans="1:43" x14ac:dyDescent="0.25">
      <c r="A446" s="9"/>
      <c r="B446" s="10"/>
      <c r="C446" s="9"/>
      <c r="D446" s="9"/>
      <c r="E446" s="9"/>
      <c r="F446" s="9"/>
      <c r="G446" s="9"/>
      <c r="H446" s="9"/>
      <c r="I446" s="10"/>
      <c r="J446" s="11"/>
      <c r="K446" s="11"/>
      <c r="L446" s="9"/>
      <c r="M446" s="9"/>
      <c r="N446" s="9"/>
      <c r="O446" s="9"/>
      <c r="P446" s="9"/>
      <c r="Q446" s="9"/>
      <c r="R446" s="9"/>
      <c r="S446" s="9"/>
      <c r="T446" s="9"/>
      <c r="U446" s="9"/>
      <c r="V446" s="9"/>
      <c r="W446" s="9"/>
      <c r="X446" s="11"/>
      <c r="Y446" s="9"/>
      <c r="Z446" s="11"/>
      <c r="AA446" s="9"/>
      <c r="AB446" s="9"/>
      <c r="AC446" s="11"/>
      <c r="AD446" s="9"/>
      <c r="AE446" s="9"/>
      <c r="AF446" s="9"/>
      <c r="AG446" s="9"/>
      <c r="AH446" s="9"/>
      <c r="AI446" s="9"/>
      <c r="AJ446" s="9"/>
      <c r="AK446" s="9"/>
      <c r="AL446" s="9"/>
      <c r="AM446" s="11"/>
      <c r="AN446" s="11"/>
      <c r="AO446" s="9"/>
      <c r="AP446" s="9"/>
      <c r="AQ446" s="9"/>
    </row>
    <row r="447" spans="1:43" x14ac:dyDescent="0.25">
      <c r="A447" s="9"/>
      <c r="B447" s="10"/>
      <c r="C447" s="9"/>
      <c r="D447" s="9"/>
      <c r="E447" s="9"/>
      <c r="F447" s="9"/>
      <c r="G447" s="9"/>
      <c r="H447" s="9"/>
      <c r="I447" s="10"/>
      <c r="J447" s="11"/>
      <c r="K447" s="11"/>
      <c r="L447" s="9"/>
      <c r="M447" s="9"/>
      <c r="N447" s="9"/>
      <c r="O447" s="9"/>
      <c r="P447" s="9"/>
      <c r="Q447" s="9"/>
      <c r="R447" s="9"/>
      <c r="S447" s="9"/>
      <c r="T447" s="9"/>
      <c r="U447" s="9"/>
      <c r="V447" s="9"/>
      <c r="W447" s="9"/>
      <c r="X447" s="11"/>
      <c r="Y447" s="9"/>
      <c r="Z447" s="11"/>
      <c r="AA447" s="9"/>
      <c r="AB447" s="9"/>
      <c r="AC447" s="11"/>
      <c r="AD447" s="9"/>
      <c r="AE447" s="9"/>
      <c r="AF447" s="9"/>
      <c r="AG447" s="9"/>
      <c r="AH447" s="9"/>
      <c r="AI447" s="9"/>
      <c r="AJ447" s="9"/>
      <c r="AK447" s="9"/>
      <c r="AL447" s="9"/>
      <c r="AM447" s="11"/>
      <c r="AN447" s="11"/>
      <c r="AO447" s="9"/>
      <c r="AP447" s="9"/>
      <c r="AQ447" s="9"/>
    </row>
    <row r="448" spans="1:43" x14ac:dyDescent="0.25">
      <c r="A448" s="9"/>
      <c r="B448" s="10"/>
      <c r="C448" s="9"/>
      <c r="D448" s="9"/>
      <c r="E448" s="9"/>
      <c r="F448" s="9"/>
      <c r="G448" s="9"/>
      <c r="H448" s="9"/>
      <c r="I448" s="10"/>
      <c r="J448" s="11"/>
      <c r="K448" s="11"/>
      <c r="L448" s="9"/>
      <c r="M448" s="9"/>
      <c r="N448" s="9"/>
      <c r="O448" s="9"/>
      <c r="P448" s="9"/>
      <c r="Q448" s="9"/>
      <c r="R448" s="9"/>
      <c r="S448" s="9"/>
      <c r="T448" s="9"/>
      <c r="U448" s="9"/>
      <c r="V448" s="9"/>
      <c r="W448" s="9"/>
      <c r="X448" s="11"/>
      <c r="Y448" s="9"/>
      <c r="Z448" s="11"/>
      <c r="AA448" s="9"/>
      <c r="AB448" s="9"/>
      <c r="AC448" s="11"/>
      <c r="AD448" s="9"/>
      <c r="AE448" s="9"/>
      <c r="AF448" s="9"/>
      <c r="AG448" s="9"/>
      <c r="AH448" s="9"/>
      <c r="AI448" s="9"/>
      <c r="AJ448" s="9"/>
      <c r="AK448" s="9"/>
      <c r="AL448" s="9"/>
      <c r="AM448" s="11"/>
      <c r="AN448" s="11"/>
      <c r="AO448" s="9"/>
      <c r="AP448" s="9"/>
      <c r="AQ448" s="9"/>
    </row>
    <row r="449" spans="1:43" x14ac:dyDescent="0.25">
      <c r="A449" s="9"/>
      <c r="B449" s="10"/>
      <c r="C449" s="9"/>
      <c r="D449" s="9"/>
      <c r="E449" s="9"/>
      <c r="F449" s="9"/>
      <c r="G449" s="9"/>
      <c r="H449" s="9"/>
      <c r="I449" s="10"/>
      <c r="J449" s="11"/>
      <c r="K449" s="11"/>
      <c r="L449" s="9"/>
      <c r="M449" s="9"/>
      <c r="N449" s="9"/>
      <c r="O449" s="9"/>
      <c r="P449" s="9"/>
      <c r="Q449" s="9"/>
      <c r="R449" s="9"/>
      <c r="S449" s="9"/>
      <c r="T449" s="9"/>
      <c r="U449" s="9"/>
      <c r="V449" s="9"/>
      <c r="W449" s="9"/>
      <c r="X449" s="11"/>
      <c r="Y449" s="9"/>
      <c r="Z449" s="11"/>
      <c r="AA449" s="9"/>
      <c r="AB449" s="9"/>
      <c r="AC449" s="11"/>
      <c r="AD449" s="9"/>
      <c r="AE449" s="9"/>
      <c r="AF449" s="9"/>
      <c r="AG449" s="9"/>
      <c r="AH449" s="9"/>
      <c r="AI449" s="9"/>
      <c r="AJ449" s="9"/>
      <c r="AK449" s="9"/>
      <c r="AL449" s="9"/>
      <c r="AM449" s="11"/>
      <c r="AN449" s="11"/>
      <c r="AO449" s="9"/>
      <c r="AP449" s="9"/>
      <c r="AQ449" s="9"/>
    </row>
    <row r="450" spans="1:43" x14ac:dyDescent="0.25">
      <c r="A450" s="9"/>
      <c r="B450" s="10"/>
      <c r="C450" s="9"/>
      <c r="D450" s="9"/>
      <c r="E450" s="9"/>
      <c r="F450" s="9"/>
      <c r="G450" s="9"/>
      <c r="H450" s="9"/>
      <c r="I450" s="10"/>
      <c r="J450" s="11"/>
      <c r="K450" s="11"/>
      <c r="L450" s="9"/>
      <c r="M450" s="9"/>
      <c r="N450" s="9"/>
      <c r="O450" s="9"/>
      <c r="P450" s="9"/>
      <c r="Q450" s="9"/>
      <c r="R450" s="9"/>
      <c r="S450" s="9"/>
      <c r="T450" s="9"/>
      <c r="U450" s="9"/>
      <c r="V450" s="9"/>
      <c r="W450" s="9"/>
      <c r="X450" s="11"/>
      <c r="Y450" s="9"/>
      <c r="Z450" s="11"/>
      <c r="AA450" s="9"/>
      <c r="AB450" s="9"/>
      <c r="AC450" s="11"/>
      <c r="AD450" s="9"/>
      <c r="AE450" s="9"/>
      <c r="AF450" s="9"/>
      <c r="AG450" s="9"/>
      <c r="AH450" s="9"/>
      <c r="AI450" s="9"/>
      <c r="AJ450" s="9"/>
      <c r="AK450" s="9"/>
      <c r="AL450" s="9"/>
      <c r="AM450" s="11"/>
      <c r="AN450" s="11"/>
      <c r="AO450" s="9"/>
      <c r="AP450" s="9"/>
      <c r="AQ450" s="9"/>
    </row>
    <row r="451" spans="1:43" x14ac:dyDescent="0.25">
      <c r="A451" s="9"/>
      <c r="B451" s="10"/>
      <c r="C451" s="9"/>
      <c r="D451" s="9"/>
      <c r="E451" s="9"/>
      <c r="F451" s="9"/>
      <c r="G451" s="9"/>
      <c r="H451" s="9"/>
      <c r="I451" s="10"/>
      <c r="J451" s="11"/>
      <c r="K451" s="11"/>
      <c r="L451" s="9"/>
      <c r="M451" s="9"/>
      <c r="N451" s="9"/>
      <c r="O451" s="9"/>
      <c r="P451" s="9"/>
      <c r="Q451" s="9"/>
      <c r="R451" s="9"/>
      <c r="S451" s="9"/>
      <c r="T451" s="9"/>
      <c r="U451" s="9"/>
      <c r="V451" s="9"/>
      <c r="W451" s="9"/>
      <c r="X451" s="11"/>
      <c r="Y451" s="9"/>
      <c r="Z451" s="11"/>
      <c r="AA451" s="9"/>
      <c r="AB451" s="9"/>
      <c r="AC451" s="11"/>
      <c r="AD451" s="9"/>
      <c r="AE451" s="9"/>
      <c r="AF451" s="9"/>
      <c r="AG451" s="9"/>
      <c r="AH451" s="9"/>
      <c r="AI451" s="9"/>
      <c r="AJ451" s="9"/>
      <c r="AK451" s="9"/>
      <c r="AL451" s="9"/>
      <c r="AM451" s="11"/>
      <c r="AN451" s="11"/>
      <c r="AO451" s="9"/>
      <c r="AP451" s="9"/>
      <c r="AQ451" s="9"/>
    </row>
    <row r="452" spans="1:43" x14ac:dyDescent="0.25">
      <c r="A452" s="9"/>
      <c r="B452" s="10"/>
      <c r="C452" s="9"/>
      <c r="D452" s="9"/>
      <c r="E452" s="9"/>
      <c r="F452" s="9"/>
      <c r="G452" s="9"/>
      <c r="H452" s="9"/>
      <c r="I452" s="10"/>
      <c r="J452" s="11"/>
      <c r="K452" s="11"/>
      <c r="L452" s="9"/>
      <c r="M452" s="9"/>
      <c r="N452" s="9"/>
      <c r="O452" s="9"/>
      <c r="P452" s="9"/>
      <c r="Q452" s="9"/>
      <c r="R452" s="9"/>
      <c r="S452" s="9"/>
      <c r="T452" s="9"/>
      <c r="U452" s="9"/>
      <c r="V452" s="9"/>
      <c r="W452" s="9"/>
      <c r="X452" s="11"/>
      <c r="Y452" s="9"/>
      <c r="Z452" s="11"/>
      <c r="AA452" s="9"/>
      <c r="AB452" s="9"/>
      <c r="AC452" s="11"/>
      <c r="AD452" s="9"/>
      <c r="AE452" s="9"/>
      <c r="AF452" s="9"/>
      <c r="AG452" s="9"/>
      <c r="AH452" s="9"/>
      <c r="AI452" s="9"/>
      <c r="AJ452" s="9"/>
      <c r="AK452" s="9"/>
      <c r="AL452" s="9"/>
      <c r="AM452" s="11"/>
      <c r="AN452" s="11"/>
      <c r="AO452" s="9"/>
      <c r="AP452" s="9"/>
      <c r="AQ452" s="9"/>
    </row>
    <row r="453" spans="1:43" x14ac:dyDescent="0.25">
      <c r="A453" s="9"/>
      <c r="B453" s="10"/>
      <c r="C453" s="9"/>
      <c r="D453" s="9"/>
      <c r="E453" s="9"/>
      <c r="F453" s="9"/>
      <c r="G453" s="9"/>
      <c r="H453" s="9"/>
      <c r="I453" s="10"/>
      <c r="J453" s="11"/>
      <c r="K453" s="11"/>
      <c r="L453" s="9"/>
      <c r="M453" s="9"/>
      <c r="N453" s="9"/>
      <c r="O453" s="9"/>
      <c r="P453" s="9"/>
      <c r="Q453" s="9"/>
      <c r="R453" s="9"/>
      <c r="S453" s="9"/>
      <c r="T453" s="9"/>
      <c r="U453" s="9"/>
      <c r="V453" s="9"/>
      <c r="W453" s="9"/>
      <c r="X453" s="11"/>
      <c r="Y453" s="9"/>
      <c r="Z453" s="11"/>
      <c r="AA453" s="9"/>
      <c r="AB453" s="9"/>
      <c r="AC453" s="11"/>
      <c r="AD453" s="9"/>
      <c r="AE453" s="9"/>
      <c r="AF453" s="9"/>
      <c r="AG453" s="9"/>
      <c r="AH453" s="9"/>
      <c r="AI453" s="9"/>
      <c r="AJ453" s="9"/>
      <c r="AK453" s="9"/>
      <c r="AL453" s="9"/>
      <c r="AM453" s="11"/>
      <c r="AN453" s="11"/>
      <c r="AO453" s="9"/>
      <c r="AP453" s="9"/>
      <c r="AQ453" s="9"/>
    </row>
    <row r="454" spans="1:43" x14ac:dyDescent="0.25">
      <c r="A454" s="9"/>
      <c r="B454" s="10"/>
      <c r="C454" s="9"/>
      <c r="D454" s="9"/>
      <c r="E454" s="9"/>
      <c r="F454" s="9"/>
      <c r="G454" s="9"/>
      <c r="H454" s="9"/>
      <c r="I454" s="10"/>
      <c r="J454" s="11"/>
      <c r="K454" s="11"/>
      <c r="L454" s="9"/>
      <c r="M454" s="9"/>
      <c r="N454" s="9"/>
      <c r="O454" s="9"/>
      <c r="P454" s="9"/>
      <c r="Q454" s="9"/>
      <c r="R454" s="9"/>
      <c r="S454" s="9"/>
      <c r="T454" s="9"/>
      <c r="U454" s="9"/>
      <c r="V454" s="9"/>
      <c r="W454" s="9"/>
      <c r="X454" s="11"/>
      <c r="Y454" s="9"/>
      <c r="Z454" s="11"/>
      <c r="AA454" s="9"/>
      <c r="AB454" s="9"/>
      <c r="AC454" s="11"/>
      <c r="AD454" s="9"/>
      <c r="AE454" s="9"/>
      <c r="AF454" s="9"/>
      <c r="AG454" s="9"/>
      <c r="AH454" s="9"/>
      <c r="AI454" s="9"/>
      <c r="AJ454" s="9"/>
      <c r="AK454" s="9"/>
      <c r="AL454" s="9"/>
      <c r="AM454" s="11"/>
      <c r="AN454" s="11"/>
      <c r="AO454" s="9"/>
      <c r="AP454" s="9"/>
      <c r="AQ454" s="9"/>
    </row>
    <row r="455" spans="1:43" x14ac:dyDescent="0.25">
      <c r="A455" s="9"/>
      <c r="B455" s="10"/>
      <c r="C455" s="9"/>
      <c r="D455" s="9"/>
      <c r="E455" s="9"/>
      <c r="F455" s="9"/>
      <c r="G455" s="9"/>
      <c r="H455" s="9"/>
      <c r="I455" s="10"/>
      <c r="J455" s="11"/>
      <c r="K455" s="11"/>
      <c r="L455" s="9"/>
      <c r="M455" s="9"/>
      <c r="N455" s="9"/>
      <c r="O455" s="9"/>
      <c r="P455" s="9"/>
      <c r="Q455" s="9"/>
      <c r="R455" s="9"/>
      <c r="S455" s="9"/>
      <c r="T455" s="9"/>
      <c r="U455" s="9"/>
      <c r="V455" s="9"/>
      <c r="W455" s="9"/>
      <c r="X455" s="11"/>
      <c r="Y455" s="9"/>
      <c r="Z455" s="11"/>
      <c r="AA455" s="9"/>
      <c r="AB455" s="9"/>
      <c r="AC455" s="11"/>
      <c r="AD455" s="9"/>
      <c r="AE455" s="9"/>
      <c r="AF455" s="9"/>
      <c r="AG455" s="9"/>
      <c r="AH455" s="9"/>
      <c r="AI455" s="9"/>
      <c r="AJ455" s="9"/>
      <c r="AK455" s="9"/>
      <c r="AL455" s="9"/>
      <c r="AM455" s="11"/>
      <c r="AN455" s="11"/>
      <c r="AO455" s="9"/>
      <c r="AP455" s="9"/>
      <c r="AQ455" s="9"/>
    </row>
    <row r="456" spans="1:43" x14ac:dyDescent="0.25">
      <c r="A456" s="9"/>
      <c r="B456" s="10"/>
      <c r="C456" s="9"/>
      <c r="D456" s="9"/>
      <c r="E456" s="9"/>
      <c r="F456" s="9"/>
      <c r="G456" s="9"/>
      <c r="H456" s="9"/>
      <c r="I456" s="10"/>
      <c r="J456" s="11"/>
      <c r="K456" s="11"/>
      <c r="L456" s="9"/>
      <c r="M456" s="9"/>
      <c r="N456" s="9"/>
      <c r="O456" s="9"/>
      <c r="P456" s="9"/>
      <c r="Q456" s="9"/>
      <c r="R456" s="9"/>
      <c r="S456" s="9"/>
      <c r="T456" s="9"/>
      <c r="U456" s="9"/>
      <c r="V456" s="9"/>
      <c r="W456" s="9"/>
      <c r="X456" s="11"/>
      <c r="Y456" s="9"/>
      <c r="Z456" s="11"/>
      <c r="AA456" s="9"/>
      <c r="AB456" s="9"/>
      <c r="AC456" s="11"/>
      <c r="AD456" s="9"/>
      <c r="AE456" s="9"/>
      <c r="AF456" s="9"/>
      <c r="AG456" s="9"/>
      <c r="AH456" s="9"/>
      <c r="AI456" s="9"/>
      <c r="AJ456" s="9"/>
      <c r="AK456" s="9"/>
      <c r="AL456" s="9"/>
      <c r="AM456" s="11"/>
      <c r="AN456" s="11"/>
      <c r="AO456" s="9"/>
      <c r="AP456" s="9"/>
      <c r="AQ456" s="9"/>
    </row>
    <row r="457" spans="1:43" x14ac:dyDescent="0.25">
      <c r="A457" s="9"/>
      <c r="B457" s="10"/>
      <c r="C457" s="9"/>
      <c r="D457" s="9"/>
      <c r="E457" s="9"/>
      <c r="F457" s="9"/>
      <c r="G457" s="9"/>
      <c r="H457" s="9"/>
      <c r="I457" s="10"/>
      <c r="J457" s="11"/>
      <c r="K457" s="10"/>
      <c r="L457" s="9"/>
      <c r="M457" s="9"/>
      <c r="N457" s="9"/>
      <c r="O457" s="9"/>
      <c r="P457" s="9"/>
      <c r="Q457" s="9"/>
      <c r="R457" s="9"/>
      <c r="S457" s="9"/>
      <c r="T457" s="9"/>
      <c r="U457" s="9"/>
      <c r="V457" s="9"/>
      <c r="W457" s="9"/>
      <c r="X457" s="11"/>
      <c r="Y457" s="9"/>
      <c r="Z457" s="10"/>
      <c r="AA457" s="9"/>
      <c r="AB457" s="9"/>
      <c r="AC457" s="10"/>
      <c r="AD457" s="9"/>
      <c r="AE457" s="9"/>
      <c r="AF457" s="9"/>
      <c r="AG457" s="9"/>
      <c r="AH457" s="9"/>
      <c r="AI457" s="9"/>
      <c r="AJ457" s="9"/>
      <c r="AK457" s="9"/>
      <c r="AL457" s="9"/>
      <c r="AM457" s="10"/>
      <c r="AN457" s="11"/>
      <c r="AO457" s="9"/>
      <c r="AP457" s="9"/>
      <c r="AQ457" s="9"/>
    </row>
    <row r="458" spans="1:43" x14ac:dyDescent="0.25">
      <c r="A458" s="9"/>
      <c r="B458" s="10"/>
      <c r="C458" s="9"/>
      <c r="D458" s="9"/>
      <c r="E458" s="9"/>
      <c r="F458" s="9"/>
      <c r="G458" s="9"/>
      <c r="H458" s="9"/>
      <c r="I458" s="10"/>
      <c r="J458" s="11"/>
      <c r="K458" s="11"/>
      <c r="L458" s="9"/>
      <c r="M458" s="9"/>
      <c r="N458" s="9"/>
      <c r="O458" s="9"/>
      <c r="P458" s="9"/>
      <c r="Q458" s="9"/>
      <c r="R458" s="9"/>
      <c r="S458" s="9"/>
      <c r="T458" s="9"/>
      <c r="U458" s="9"/>
      <c r="V458" s="9"/>
      <c r="W458" s="9"/>
      <c r="X458" s="11"/>
      <c r="Y458" s="9"/>
      <c r="Z458" s="11"/>
      <c r="AA458" s="9"/>
      <c r="AB458" s="9"/>
      <c r="AC458" s="11"/>
      <c r="AD458" s="9"/>
      <c r="AE458" s="9"/>
      <c r="AF458" s="9"/>
      <c r="AG458" s="9"/>
      <c r="AH458" s="9"/>
      <c r="AI458" s="9"/>
      <c r="AJ458" s="9"/>
      <c r="AK458" s="9"/>
      <c r="AL458" s="9"/>
      <c r="AM458" s="11"/>
      <c r="AN458" s="11"/>
      <c r="AO458" s="9"/>
      <c r="AP458" s="9"/>
      <c r="AQ458" s="9"/>
    </row>
    <row r="459" spans="1:43" x14ac:dyDescent="0.25">
      <c r="A459" s="9"/>
      <c r="B459" s="10"/>
      <c r="C459" s="9"/>
      <c r="D459" s="9"/>
      <c r="E459" s="9"/>
      <c r="F459" s="9"/>
      <c r="G459" s="9"/>
      <c r="H459" s="9"/>
      <c r="I459" s="10"/>
      <c r="J459" s="11"/>
      <c r="K459" s="10"/>
      <c r="L459" s="9"/>
      <c r="M459" s="9"/>
      <c r="N459" s="9"/>
      <c r="O459" s="9"/>
      <c r="P459" s="9"/>
      <c r="Q459" s="9"/>
      <c r="R459" s="9"/>
      <c r="S459" s="9"/>
      <c r="T459" s="9"/>
      <c r="U459" s="9"/>
      <c r="V459" s="9"/>
      <c r="W459" s="9"/>
      <c r="X459" s="11"/>
      <c r="Y459" s="9"/>
      <c r="Z459" s="10"/>
      <c r="AA459" s="9"/>
      <c r="AB459" s="9"/>
      <c r="AC459" s="10"/>
      <c r="AD459" s="9"/>
      <c r="AE459" s="9"/>
      <c r="AF459" s="9"/>
      <c r="AG459" s="9"/>
      <c r="AH459" s="9"/>
      <c r="AI459" s="9"/>
      <c r="AJ459" s="9"/>
      <c r="AK459" s="9"/>
      <c r="AL459" s="9"/>
      <c r="AM459" s="11"/>
      <c r="AN459" s="11"/>
      <c r="AO459" s="9"/>
      <c r="AP459" s="9"/>
      <c r="AQ459" s="9"/>
    </row>
    <row r="460" spans="1:43" x14ac:dyDescent="0.25">
      <c r="A460" s="9"/>
      <c r="B460" s="10"/>
      <c r="C460" s="9"/>
      <c r="D460" s="9"/>
      <c r="E460" s="9"/>
      <c r="F460" s="9"/>
      <c r="G460" s="9"/>
      <c r="H460" s="9"/>
      <c r="I460" s="10"/>
      <c r="J460" s="11"/>
      <c r="K460" s="11"/>
      <c r="L460" s="9"/>
      <c r="M460" s="9"/>
      <c r="N460" s="9"/>
      <c r="O460" s="9"/>
      <c r="P460" s="9"/>
      <c r="Q460" s="9"/>
      <c r="R460" s="9"/>
      <c r="S460" s="9"/>
      <c r="T460" s="9"/>
      <c r="U460" s="9"/>
      <c r="V460" s="9"/>
      <c r="W460" s="9"/>
      <c r="X460" s="11"/>
      <c r="Y460" s="9"/>
      <c r="Z460" s="11"/>
      <c r="AA460" s="9"/>
      <c r="AB460" s="9"/>
      <c r="AC460" s="11"/>
      <c r="AD460" s="9"/>
      <c r="AE460" s="9"/>
      <c r="AF460" s="9"/>
      <c r="AG460" s="9"/>
      <c r="AH460" s="9"/>
      <c r="AI460" s="9"/>
      <c r="AJ460" s="9"/>
      <c r="AK460" s="9"/>
      <c r="AL460" s="9"/>
      <c r="AM460" s="11"/>
      <c r="AN460" s="11"/>
      <c r="AO460" s="9"/>
      <c r="AP460" s="9"/>
      <c r="AQ460" s="9"/>
    </row>
    <row r="461" spans="1:43" x14ac:dyDescent="0.25">
      <c r="A461" s="9"/>
      <c r="B461" s="10"/>
      <c r="C461" s="9"/>
      <c r="D461" s="9"/>
      <c r="E461" s="9"/>
      <c r="F461" s="9"/>
      <c r="G461" s="9"/>
      <c r="H461" s="9"/>
      <c r="I461" s="10"/>
      <c r="J461" s="11"/>
      <c r="K461" s="11"/>
      <c r="L461" s="9"/>
      <c r="M461" s="9"/>
      <c r="N461" s="9"/>
      <c r="O461" s="9"/>
      <c r="P461" s="9"/>
      <c r="Q461" s="9"/>
      <c r="R461" s="9"/>
      <c r="S461" s="9"/>
      <c r="T461" s="9"/>
      <c r="U461" s="9"/>
      <c r="V461" s="9"/>
      <c r="W461" s="9"/>
      <c r="X461" s="11"/>
      <c r="Y461" s="9"/>
      <c r="Z461" s="11"/>
      <c r="AA461" s="9"/>
      <c r="AB461" s="9"/>
      <c r="AC461" s="11"/>
      <c r="AD461" s="9"/>
      <c r="AE461" s="9"/>
      <c r="AF461" s="9"/>
      <c r="AG461" s="9"/>
      <c r="AH461" s="9"/>
      <c r="AI461" s="9"/>
      <c r="AJ461" s="9"/>
      <c r="AK461" s="9"/>
      <c r="AL461" s="9"/>
      <c r="AM461" s="11"/>
      <c r="AN461" s="11"/>
      <c r="AO461" s="9"/>
      <c r="AP461" s="9"/>
      <c r="AQ461" s="9"/>
    </row>
    <row r="462" spans="1:43" x14ac:dyDescent="0.25">
      <c r="A462" s="9"/>
      <c r="B462" s="10"/>
      <c r="C462" s="9"/>
      <c r="D462" s="9"/>
      <c r="E462" s="9"/>
      <c r="F462" s="9"/>
      <c r="G462" s="9"/>
      <c r="H462" s="9"/>
      <c r="I462" s="10"/>
      <c r="J462" s="11"/>
      <c r="K462" s="11"/>
      <c r="L462" s="9"/>
      <c r="M462" s="9"/>
      <c r="N462" s="9"/>
      <c r="O462" s="9"/>
      <c r="P462" s="9"/>
      <c r="Q462" s="9"/>
      <c r="R462" s="9"/>
      <c r="S462" s="9"/>
      <c r="T462" s="9"/>
      <c r="U462" s="9"/>
      <c r="V462" s="9"/>
      <c r="W462" s="9"/>
      <c r="X462" s="11"/>
      <c r="Y462" s="9"/>
      <c r="Z462" s="11"/>
      <c r="AA462" s="9"/>
      <c r="AB462" s="9"/>
      <c r="AC462" s="11"/>
      <c r="AD462" s="9"/>
      <c r="AE462" s="9"/>
      <c r="AF462" s="9"/>
      <c r="AG462" s="9"/>
      <c r="AH462" s="9"/>
      <c r="AI462" s="9"/>
      <c r="AJ462" s="9"/>
      <c r="AK462" s="9"/>
      <c r="AL462" s="9"/>
      <c r="AM462" s="11"/>
      <c r="AN462" s="11"/>
      <c r="AO462" s="9"/>
      <c r="AP462" s="9"/>
      <c r="AQ462" s="9"/>
    </row>
    <row r="463" spans="1:43" x14ac:dyDescent="0.25">
      <c r="A463" s="9"/>
      <c r="B463" s="10"/>
      <c r="C463" s="9"/>
      <c r="D463" s="9"/>
      <c r="E463" s="9"/>
      <c r="F463" s="9"/>
      <c r="G463" s="9"/>
      <c r="H463" s="9"/>
      <c r="I463" s="10"/>
      <c r="J463" s="11"/>
      <c r="K463" s="11"/>
      <c r="L463" s="9"/>
      <c r="M463" s="9"/>
      <c r="N463" s="9"/>
      <c r="O463" s="9"/>
      <c r="P463" s="9"/>
      <c r="Q463" s="9"/>
      <c r="R463" s="9"/>
      <c r="S463" s="9"/>
      <c r="T463" s="9"/>
      <c r="U463" s="9"/>
      <c r="V463" s="9"/>
      <c r="W463" s="9"/>
      <c r="X463" s="11"/>
      <c r="Y463" s="9"/>
      <c r="Z463" s="11"/>
      <c r="AA463" s="9"/>
      <c r="AB463" s="9"/>
      <c r="AC463" s="11"/>
      <c r="AD463" s="9"/>
      <c r="AE463" s="9"/>
      <c r="AF463" s="9"/>
      <c r="AG463" s="9"/>
      <c r="AH463" s="9"/>
      <c r="AI463" s="9"/>
      <c r="AJ463" s="9"/>
      <c r="AK463" s="9"/>
      <c r="AL463" s="9"/>
      <c r="AM463" s="11"/>
      <c r="AN463" s="11"/>
      <c r="AO463" s="9"/>
      <c r="AP463" s="9"/>
      <c r="AQ463" s="9"/>
    </row>
    <row r="464" spans="1:43" x14ac:dyDescent="0.25">
      <c r="A464" s="9"/>
      <c r="B464" s="10"/>
      <c r="C464" s="9"/>
      <c r="D464" s="9"/>
      <c r="E464" s="9"/>
      <c r="F464" s="9"/>
      <c r="G464" s="9"/>
      <c r="H464" s="9"/>
      <c r="I464" s="10"/>
      <c r="J464" s="11"/>
      <c r="K464" s="11"/>
      <c r="L464" s="9"/>
      <c r="M464" s="9"/>
      <c r="N464" s="9"/>
      <c r="O464" s="9"/>
      <c r="P464" s="9"/>
      <c r="Q464" s="9"/>
      <c r="R464" s="9"/>
      <c r="S464" s="9"/>
      <c r="T464" s="9"/>
      <c r="U464" s="9"/>
      <c r="V464" s="9"/>
      <c r="W464" s="9"/>
      <c r="X464" s="11"/>
      <c r="Y464" s="9"/>
      <c r="Z464" s="11"/>
      <c r="AA464" s="9"/>
      <c r="AB464" s="9"/>
      <c r="AC464" s="11"/>
      <c r="AD464" s="9"/>
      <c r="AE464" s="9"/>
      <c r="AF464" s="9"/>
      <c r="AG464" s="9"/>
      <c r="AH464" s="9"/>
      <c r="AI464" s="9"/>
      <c r="AJ464" s="9"/>
      <c r="AK464" s="9"/>
      <c r="AL464" s="9"/>
      <c r="AM464" s="11"/>
      <c r="AN464" s="11"/>
      <c r="AO464" s="9"/>
      <c r="AP464" s="9"/>
      <c r="AQ464" s="9"/>
    </row>
    <row r="465" spans="1:43" x14ac:dyDescent="0.25">
      <c r="A465" s="9"/>
      <c r="B465" s="10"/>
      <c r="C465" s="9"/>
      <c r="D465" s="9"/>
      <c r="E465" s="9"/>
      <c r="F465" s="9"/>
      <c r="G465" s="9"/>
      <c r="H465" s="9"/>
      <c r="I465" s="10"/>
      <c r="J465" s="11"/>
      <c r="K465" s="11"/>
      <c r="L465" s="9"/>
      <c r="M465" s="9"/>
      <c r="N465" s="9"/>
      <c r="O465" s="9"/>
      <c r="P465" s="9"/>
      <c r="Q465" s="9"/>
      <c r="R465" s="9"/>
      <c r="S465" s="9"/>
      <c r="T465" s="9"/>
      <c r="U465" s="9"/>
      <c r="V465" s="9"/>
      <c r="W465" s="9"/>
      <c r="X465" s="11"/>
      <c r="Y465" s="9"/>
      <c r="Z465" s="11"/>
      <c r="AA465" s="9"/>
      <c r="AB465" s="9"/>
      <c r="AC465" s="11"/>
      <c r="AD465" s="9"/>
      <c r="AE465" s="9"/>
      <c r="AF465" s="9"/>
      <c r="AG465" s="9"/>
      <c r="AH465" s="9"/>
      <c r="AI465" s="9"/>
      <c r="AJ465" s="9"/>
      <c r="AK465" s="9"/>
      <c r="AL465" s="9"/>
      <c r="AM465" s="11"/>
      <c r="AN465" s="11"/>
      <c r="AO465" s="9"/>
      <c r="AP465" s="9"/>
      <c r="AQ465" s="9"/>
    </row>
    <row r="466" spans="1:43" x14ac:dyDescent="0.25">
      <c r="A466" s="9"/>
      <c r="B466" s="10"/>
      <c r="C466" s="9"/>
      <c r="D466" s="9"/>
      <c r="E466" s="9"/>
      <c r="F466" s="9"/>
      <c r="G466" s="9"/>
      <c r="H466" s="9"/>
      <c r="I466" s="10"/>
      <c r="J466" s="11"/>
      <c r="K466" s="11"/>
      <c r="L466" s="9"/>
      <c r="M466" s="9"/>
      <c r="N466" s="9"/>
      <c r="O466" s="9"/>
      <c r="P466" s="9"/>
      <c r="Q466" s="9"/>
      <c r="R466" s="9"/>
      <c r="S466" s="9"/>
      <c r="T466" s="9"/>
      <c r="U466" s="9"/>
      <c r="V466" s="9"/>
      <c r="W466" s="9"/>
      <c r="X466" s="11"/>
      <c r="Y466" s="9"/>
      <c r="Z466" s="11"/>
      <c r="AA466" s="9"/>
      <c r="AB466" s="9"/>
      <c r="AC466" s="11"/>
      <c r="AD466" s="9"/>
      <c r="AE466" s="9"/>
      <c r="AF466" s="9"/>
      <c r="AG466" s="9"/>
      <c r="AH466" s="9"/>
      <c r="AI466" s="9"/>
      <c r="AJ466" s="9"/>
      <c r="AK466" s="9"/>
      <c r="AL466" s="9"/>
      <c r="AM466" s="11"/>
      <c r="AN466" s="11"/>
      <c r="AO466" s="9"/>
      <c r="AP466" s="9"/>
      <c r="AQ466" s="9"/>
    </row>
    <row r="467" spans="1:43" x14ac:dyDescent="0.25">
      <c r="A467" s="9"/>
      <c r="B467" s="10"/>
      <c r="C467" s="9"/>
      <c r="D467" s="9"/>
      <c r="E467" s="9"/>
      <c r="F467" s="9"/>
      <c r="G467" s="9"/>
      <c r="H467" s="9"/>
      <c r="I467" s="10"/>
      <c r="J467" s="11"/>
      <c r="K467" s="11"/>
      <c r="L467" s="9"/>
      <c r="M467" s="9"/>
      <c r="N467" s="9"/>
      <c r="O467" s="9"/>
      <c r="P467" s="9"/>
      <c r="Q467" s="9"/>
      <c r="R467" s="9"/>
      <c r="S467" s="9"/>
      <c r="T467" s="9"/>
      <c r="U467" s="9"/>
      <c r="V467" s="9"/>
      <c r="W467" s="9"/>
      <c r="X467" s="11"/>
      <c r="Y467" s="9"/>
      <c r="Z467" s="11"/>
      <c r="AA467" s="9"/>
      <c r="AB467" s="9"/>
      <c r="AC467" s="11"/>
      <c r="AD467" s="9"/>
      <c r="AE467" s="9"/>
      <c r="AF467" s="9"/>
      <c r="AG467" s="9"/>
      <c r="AH467" s="9"/>
      <c r="AI467" s="9"/>
      <c r="AJ467" s="9"/>
      <c r="AK467" s="9"/>
      <c r="AL467" s="9"/>
      <c r="AM467" s="11"/>
      <c r="AN467" s="11"/>
      <c r="AO467" s="9"/>
      <c r="AP467" s="9"/>
      <c r="AQ467" s="9"/>
    </row>
    <row r="468" spans="1:43" x14ac:dyDescent="0.25">
      <c r="A468" s="9"/>
      <c r="B468" s="10"/>
      <c r="C468" s="9"/>
      <c r="D468" s="9"/>
      <c r="E468" s="9"/>
      <c r="F468" s="9"/>
      <c r="G468" s="9"/>
      <c r="H468" s="9"/>
      <c r="I468" s="10"/>
      <c r="J468" s="11"/>
      <c r="K468" s="11"/>
      <c r="L468" s="9"/>
      <c r="M468" s="9"/>
      <c r="N468" s="9"/>
      <c r="O468" s="9"/>
      <c r="P468" s="9"/>
      <c r="Q468" s="9"/>
      <c r="R468" s="9"/>
      <c r="S468" s="9"/>
      <c r="T468" s="9"/>
      <c r="U468" s="9"/>
      <c r="V468" s="9"/>
      <c r="W468" s="9"/>
      <c r="X468" s="11"/>
      <c r="Y468" s="9"/>
      <c r="Z468" s="11"/>
      <c r="AA468" s="9"/>
      <c r="AB468" s="9"/>
      <c r="AC468" s="11"/>
      <c r="AD468" s="9"/>
      <c r="AE468" s="9"/>
      <c r="AF468" s="9"/>
      <c r="AG468" s="9"/>
      <c r="AH468" s="9"/>
      <c r="AI468" s="9"/>
      <c r="AJ468" s="9"/>
      <c r="AK468" s="9"/>
      <c r="AL468" s="9"/>
      <c r="AM468" s="11"/>
      <c r="AN468" s="11"/>
      <c r="AO468" s="9"/>
      <c r="AP468" s="9"/>
      <c r="AQ468" s="9"/>
    </row>
    <row r="469" spans="1:43" x14ac:dyDescent="0.25">
      <c r="A469" s="9"/>
      <c r="B469" s="10"/>
      <c r="C469" s="9"/>
      <c r="D469" s="9"/>
      <c r="E469" s="9"/>
      <c r="F469" s="9"/>
      <c r="G469" s="9"/>
      <c r="H469" s="9"/>
      <c r="I469" s="10"/>
      <c r="J469" s="11"/>
      <c r="K469" s="11"/>
      <c r="L469" s="9"/>
      <c r="M469" s="9"/>
      <c r="N469" s="9"/>
      <c r="O469" s="9"/>
      <c r="P469" s="9"/>
      <c r="Q469" s="9"/>
      <c r="R469" s="9"/>
      <c r="S469" s="9"/>
      <c r="T469" s="9"/>
      <c r="U469" s="9"/>
      <c r="V469" s="9"/>
      <c r="W469" s="9"/>
      <c r="X469" s="11"/>
      <c r="Y469" s="9"/>
      <c r="Z469" s="11"/>
      <c r="AA469" s="9"/>
      <c r="AB469" s="9"/>
      <c r="AC469" s="11"/>
      <c r="AD469" s="9"/>
      <c r="AE469" s="9"/>
      <c r="AF469" s="9"/>
      <c r="AG469" s="9"/>
      <c r="AH469" s="9"/>
      <c r="AI469" s="9"/>
      <c r="AJ469" s="9"/>
      <c r="AK469" s="9"/>
      <c r="AL469" s="9"/>
      <c r="AM469" s="11"/>
      <c r="AN469" s="11"/>
      <c r="AO469" s="9"/>
      <c r="AP469" s="9"/>
      <c r="AQ469" s="9"/>
    </row>
    <row r="470" spans="1:43" x14ac:dyDescent="0.25">
      <c r="A470" s="9"/>
      <c r="B470" s="10"/>
      <c r="C470" s="9"/>
      <c r="D470" s="9"/>
      <c r="E470" s="9"/>
      <c r="F470" s="9"/>
      <c r="G470" s="9"/>
      <c r="H470" s="9"/>
      <c r="I470" s="10"/>
      <c r="J470" s="11"/>
      <c r="K470" s="11"/>
      <c r="L470" s="9"/>
      <c r="M470" s="9"/>
      <c r="N470" s="9"/>
      <c r="O470" s="9"/>
      <c r="P470" s="9"/>
      <c r="Q470" s="9"/>
      <c r="R470" s="9"/>
      <c r="S470" s="9"/>
      <c r="T470" s="9"/>
      <c r="U470" s="9"/>
      <c r="V470" s="9"/>
      <c r="W470" s="9"/>
      <c r="X470" s="11"/>
      <c r="Y470" s="9"/>
      <c r="Z470" s="11"/>
      <c r="AA470" s="9"/>
      <c r="AB470" s="9"/>
      <c r="AC470" s="11"/>
      <c r="AD470" s="9"/>
      <c r="AE470" s="9"/>
      <c r="AF470" s="9"/>
      <c r="AG470" s="9"/>
      <c r="AH470" s="9"/>
      <c r="AI470" s="9"/>
      <c r="AJ470" s="9"/>
      <c r="AK470" s="9"/>
      <c r="AL470" s="9"/>
      <c r="AM470" s="11"/>
      <c r="AN470" s="11"/>
      <c r="AO470" s="9"/>
      <c r="AP470" s="9"/>
      <c r="AQ470" s="9"/>
    </row>
    <row r="471" spans="1:43" x14ac:dyDescent="0.25">
      <c r="A471" s="9"/>
      <c r="B471" s="10"/>
      <c r="C471" s="9"/>
      <c r="D471" s="9"/>
      <c r="E471" s="9"/>
      <c r="F471" s="9"/>
      <c r="G471" s="9"/>
      <c r="H471" s="9"/>
      <c r="I471" s="10"/>
      <c r="J471" s="11"/>
      <c r="K471" s="11"/>
      <c r="L471" s="9"/>
      <c r="M471" s="9"/>
      <c r="N471" s="9"/>
      <c r="O471" s="9"/>
      <c r="P471" s="9"/>
      <c r="Q471" s="9"/>
      <c r="R471" s="9"/>
      <c r="S471" s="9"/>
      <c r="T471" s="9"/>
      <c r="U471" s="9"/>
      <c r="V471" s="9"/>
      <c r="W471" s="9"/>
      <c r="X471" s="11"/>
      <c r="Y471" s="9"/>
      <c r="Z471" s="11"/>
      <c r="AA471" s="9"/>
      <c r="AB471" s="9"/>
      <c r="AC471" s="11"/>
      <c r="AD471" s="9"/>
      <c r="AE471" s="9"/>
      <c r="AF471" s="9"/>
      <c r="AG471" s="9"/>
      <c r="AH471" s="9"/>
      <c r="AI471" s="9"/>
      <c r="AJ471" s="9"/>
      <c r="AK471" s="9"/>
      <c r="AL471" s="9"/>
      <c r="AM471" s="11"/>
      <c r="AN471" s="11"/>
      <c r="AO471" s="9"/>
      <c r="AP471" s="9"/>
      <c r="AQ471" s="9"/>
    </row>
    <row r="472" spans="1:43" x14ac:dyDescent="0.25">
      <c r="A472" s="9"/>
      <c r="B472" s="10"/>
      <c r="C472" s="9"/>
      <c r="D472" s="9"/>
      <c r="E472" s="9"/>
      <c r="F472" s="9"/>
      <c r="G472" s="9"/>
      <c r="H472" s="9"/>
      <c r="I472" s="10"/>
      <c r="J472" s="11"/>
      <c r="K472" s="11"/>
      <c r="L472" s="9"/>
      <c r="M472" s="9"/>
      <c r="N472" s="9"/>
      <c r="O472" s="9"/>
      <c r="P472" s="9"/>
      <c r="Q472" s="9"/>
      <c r="R472" s="9"/>
      <c r="S472" s="9"/>
      <c r="T472" s="9"/>
      <c r="U472" s="9"/>
      <c r="V472" s="9"/>
      <c r="W472" s="9"/>
      <c r="X472" s="11"/>
      <c r="Y472" s="9"/>
      <c r="Z472" s="11"/>
      <c r="AA472" s="9"/>
      <c r="AB472" s="9"/>
      <c r="AC472" s="11"/>
      <c r="AD472" s="9"/>
      <c r="AE472" s="9"/>
      <c r="AF472" s="9"/>
      <c r="AG472" s="9"/>
      <c r="AH472" s="9"/>
      <c r="AI472" s="9"/>
      <c r="AJ472" s="9"/>
      <c r="AK472" s="9"/>
      <c r="AL472" s="9"/>
      <c r="AM472" s="11"/>
      <c r="AN472" s="11"/>
      <c r="AO472" s="9"/>
      <c r="AP472" s="9"/>
      <c r="AQ472" s="9"/>
    </row>
    <row r="473" spans="1:43" x14ac:dyDescent="0.25">
      <c r="A473" s="9"/>
      <c r="B473" s="10"/>
      <c r="C473" s="9"/>
      <c r="D473" s="9"/>
      <c r="E473" s="9"/>
      <c r="F473" s="9"/>
      <c r="G473" s="9"/>
      <c r="H473" s="9"/>
      <c r="I473" s="10"/>
      <c r="J473" s="11"/>
      <c r="K473" s="11"/>
      <c r="L473" s="9"/>
      <c r="M473" s="9"/>
      <c r="N473" s="9"/>
      <c r="O473" s="9"/>
      <c r="P473" s="9"/>
      <c r="Q473" s="9"/>
      <c r="R473" s="9"/>
      <c r="S473" s="9"/>
      <c r="T473" s="9"/>
      <c r="U473" s="9"/>
      <c r="V473" s="9"/>
      <c r="W473" s="9"/>
      <c r="X473" s="11"/>
      <c r="Y473" s="9"/>
      <c r="Z473" s="11"/>
      <c r="AA473" s="9"/>
      <c r="AB473" s="9"/>
      <c r="AC473" s="11"/>
      <c r="AD473" s="9"/>
      <c r="AE473" s="9"/>
      <c r="AF473" s="9"/>
      <c r="AG473" s="9"/>
      <c r="AH473" s="9"/>
      <c r="AI473" s="9"/>
      <c r="AJ473" s="9"/>
      <c r="AK473" s="9"/>
      <c r="AL473" s="9"/>
      <c r="AM473" s="11"/>
      <c r="AN473" s="11"/>
      <c r="AO473" s="9"/>
      <c r="AP473" s="9"/>
      <c r="AQ473" s="9"/>
    </row>
    <row r="474" spans="1:43" x14ac:dyDescent="0.25">
      <c r="A474" s="9"/>
      <c r="B474" s="10"/>
      <c r="C474" s="9"/>
      <c r="D474" s="9"/>
      <c r="E474" s="9"/>
      <c r="F474" s="9"/>
      <c r="G474" s="9"/>
      <c r="H474" s="9"/>
      <c r="I474" s="10"/>
      <c r="J474" s="11"/>
      <c r="K474" s="10"/>
      <c r="L474" s="9"/>
      <c r="M474" s="9"/>
      <c r="N474" s="9"/>
      <c r="O474" s="9"/>
      <c r="P474" s="9"/>
      <c r="Q474" s="9"/>
      <c r="R474" s="9"/>
      <c r="S474" s="9"/>
      <c r="T474" s="9"/>
      <c r="U474" s="9"/>
      <c r="V474" s="9"/>
      <c r="W474" s="9"/>
      <c r="X474" s="11"/>
      <c r="Y474" s="9"/>
      <c r="Z474" s="10"/>
      <c r="AA474" s="9"/>
      <c r="AB474" s="9"/>
      <c r="AC474" s="10"/>
      <c r="AD474" s="9"/>
      <c r="AE474" s="9"/>
      <c r="AF474" s="9"/>
      <c r="AG474" s="9"/>
      <c r="AH474" s="9"/>
      <c r="AI474" s="9"/>
      <c r="AJ474" s="9"/>
      <c r="AK474" s="9"/>
      <c r="AL474" s="9"/>
      <c r="AM474" s="10"/>
      <c r="AN474" s="11"/>
      <c r="AO474" s="9"/>
      <c r="AP474" s="9"/>
      <c r="AQ474" s="9"/>
    </row>
    <row r="475" spans="1:43" x14ac:dyDescent="0.25">
      <c r="A475" s="9"/>
      <c r="B475" s="10"/>
      <c r="C475" s="9"/>
      <c r="D475" s="9"/>
      <c r="E475" s="9"/>
      <c r="F475" s="9"/>
      <c r="G475" s="9"/>
      <c r="H475" s="9"/>
      <c r="I475" s="10"/>
      <c r="J475" s="10"/>
      <c r="K475" s="11"/>
      <c r="L475" s="9"/>
      <c r="M475" s="9"/>
      <c r="N475" s="9"/>
      <c r="O475" s="9"/>
      <c r="P475" s="9"/>
      <c r="Q475" s="9"/>
      <c r="R475" s="9"/>
      <c r="S475" s="9"/>
      <c r="T475" s="9"/>
      <c r="U475" s="9"/>
      <c r="V475" s="9"/>
      <c r="W475" s="9"/>
      <c r="X475" s="10"/>
      <c r="Y475" s="9"/>
      <c r="Z475" s="11"/>
      <c r="AA475" s="9"/>
      <c r="AB475" s="9"/>
      <c r="AC475" s="10"/>
      <c r="AD475" s="9"/>
      <c r="AE475" s="9"/>
      <c r="AF475" s="9"/>
      <c r="AG475" s="9"/>
      <c r="AH475" s="9"/>
      <c r="AI475" s="9"/>
      <c r="AJ475" s="9"/>
      <c r="AK475" s="9"/>
      <c r="AL475" s="9"/>
      <c r="AM475" s="11"/>
      <c r="AN475" s="10"/>
      <c r="AO475" s="9"/>
      <c r="AP475" s="9"/>
      <c r="AQ475" s="9"/>
    </row>
    <row r="476" spans="1:43" x14ac:dyDescent="0.25">
      <c r="A476" s="9"/>
      <c r="B476" s="10"/>
      <c r="C476" s="9"/>
      <c r="D476" s="9"/>
      <c r="E476" s="9"/>
      <c r="F476" s="9"/>
      <c r="G476" s="9"/>
      <c r="H476" s="9"/>
      <c r="I476" s="10"/>
      <c r="J476" s="11"/>
      <c r="K476" s="11"/>
      <c r="L476" s="9"/>
      <c r="M476" s="9"/>
      <c r="N476" s="9"/>
      <c r="O476" s="9"/>
      <c r="P476" s="9"/>
      <c r="Q476" s="9"/>
      <c r="R476" s="9"/>
      <c r="S476" s="9"/>
      <c r="T476" s="9"/>
      <c r="U476" s="9"/>
      <c r="V476" s="9"/>
      <c r="W476" s="9"/>
      <c r="X476" s="11"/>
      <c r="Y476" s="9"/>
      <c r="Z476" s="11"/>
      <c r="AA476" s="9"/>
      <c r="AB476" s="9"/>
      <c r="AC476" s="11"/>
      <c r="AD476" s="9"/>
      <c r="AE476" s="9"/>
      <c r="AF476" s="9"/>
      <c r="AG476" s="9"/>
      <c r="AH476" s="9"/>
      <c r="AI476" s="9"/>
      <c r="AJ476" s="9"/>
      <c r="AK476" s="9"/>
      <c r="AL476" s="9"/>
      <c r="AM476" s="11"/>
      <c r="AN476" s="11"/>
      <c r="AO476" s="9"/>
      <c r="AP476" s="9"/>
      <c r="AQ476" s="9"/>
    </row>
    <row r="477" spans="1:43" x14ac:dyDescent="0.25">
      <c r="A477" s="9"/>
      <c r="B477" s="10"/>
      <c r="C477" s="9"/>
      <c r="D477" s="9"/>
      <c r="E477" s="9"/>
      <c r="F477" s="9"/>
      <c r="G477" s="9"/>
      <c r="H477" s="9"/>
      <c r="I477" s="10"/>
      <c r="J477" s="11"/>
      <c r="K477" s="11"/>
      <c r="L477" s="9"/>
      <c r="M477" s="9"/>
      <c r="N477" s="9"/>
      <c r="O477" s="9"/>
      <c r="P477" s="9"/>
      <c r="Q477" s="9"/>
      <c r="R477" s="9"/>
      <c r="S477" s="9"/>
      <c r="T477" s="9"/>
      <c r="U477" s="9"/>
      <c r="V477" s="9"/>
      <c r="W477" s="9"/>
      <c r="X477" s="11"/>
      <c r="Y477" s="9"/>
      <c r="Z477" s="11"/>
      <c r="AA477" s="9"/>
      <c r="AB477" s="9"/>
      <c r="AC477" s="11"/>
      <c r="AD477" s="9"/>
      <c r="AE477" s="9"/>
      <c r="AF477" s="9"/>
      <c r="AG477" s="9"/>
      <c r="AH477" s="9"/>
      <c r="AI477" s="9"/>
      <c r="AJ477" s="9"/>
      <c r="AK477" s="9"/>
      <c r="AL477" s="9"/>
      <c r="AM477" s="11"/>
      <c r="AN477" s="11"/>
      <c r="AO477" s="9"/>
      <c r="AP477" s="9"/>
      <c r="AQ477" s="9"/>
    </row>
    <row r="478" spans="1:43" x14ac:dyDescent="0.25">
      <c r="A478" s="9"/>
      <c r="B478" s="10"/>
      <c r="C478" s="9"/>
      <c r="D478" s="9"/>
      <c r="E478" s="9"/>
      <c r="F478" s="9"/>
      <c r="G478" s="9"/>
      <c r="H478" s="9"/>
      <c r="I478" s="10"/>
      <c r="J478" s="11"/>
      <c r="K478" s="11"/>
      <c r="L478" s="9"/>
      <c r="M478" s="9"/>
      <c r="N478" s="9"/>
      <c r="O478" s="9"/>
      <c r="P478" s="9"/>
      <c r="Q478" s="9"/>
      <c r="R478" s="9"/>
      <c r="S478" s="9"/>
      <c r="T478" s="9"/>
      <c r="U478" s="9"/>
      <c r="V478" s="9"/>
      <c r="W478" s="9"/>
      <c r="X478" s="11"/>
      <c r="Y478" s="9"/>
      <c r="Z478" s="11"/>
      <c r="AA478" s="9"/>
      <c r="AB478" s="9"/>
      <c r="AC478" s="11"/>
      <c r="AD478" s="9"/>
      <c r="AE478" s="9"/>
      <c r="AF478" s="9"/>
      <c r="AG478" s="9"/>
      <c r="AH478" s="9"/>
      <c r="AI478" s="9"/>
      <c r="AJ478" s="9"/>
      <c r="AK478" s="9"/>
      <c r="AL478" s="9"/>
      <c r="AM478" s="11"/>
      <c r="AN478" s="11"/>
      <c r="AO478" s="9"/>
      <c r="AP478" s="9"/>
      <c r="AQ478" s="9"/>
    </row>
    <row r="479" spans="1:43" x14ac:dyDescent="0.25">
      <c r="A479" s="9"/>
      <c r="B479" s="10"/>
      <c r="C479" s="9"/>
      <c r="D479" s="9"/>
      <c r="E479" s="9"/>
      <c r="F479" s="9"/>
      <c r="G479" s="9"/>
      <c r="H479" s="9"/>
      <c r="I479" s="10"/>
      <c r="J479" s="11"/>
      <c r="K479" s="11"/>
      <c r="L479" s="9"/>
      <c r="M479" s="9"/>
      <c r="N479" s="9"/>
      <c r="O479" s="9"/>
      <c r="P479" s="9"/>
      <c r="Q479" s="9"/>
      <c r="R479" s="9"/>
      <c r="S479" s="9"/>
      <c r="T479" s="9"/>
      <c r="U479" s="9"/>
      <c r="V479" s="9"/>
      <c r="W479" s="9"/>
      <c r="X479" s="11"/>
      <c r="Y479" s="9"/>
      <c r="Z479" s="11"/>
      <c r="AA479" s="9"/>
      <c r="AB479" s="9"/>
      <c r="AC479" s="11"/>
      <c r="AD479" s="9"/>
      <c r="AE479" s="9"/>
      <c r="AF479" s="9"/>
      <c r="AG479" s="9"/>
      <c r="AH479" s="9"/>
      <c r="AI479" s="9"/>
      <c r="AJ479" s="9"/>
      <c r="AK479" s="9"/>
      <c r="AL479" s="9"/>
      <c r="AM479" s="11"/>
      <c r="AN479" s="11"/>
      <c r="AO479" s="9"/>
      <c r="AP479" s="9"/>
      <c r="AQ479" s="9"/>
    </row>
    <row r="480" spans="1:43" x14ac:dyDescent="0.25">
      <c r="A480" s="9"/>
      <c r="B480" s="10"/>
      <c r="C480" s="9"/>
      <c r="D480" s="9"/>
      <c r="E480" s="9"/>
      <c r="F480" s="9"/>
      <c r="G480" s="9"/>
      <c r="H480" s="9"/>
      <c r="I480" s="10"/>
      <c r="J480" s="11"/>
      <c r="K480" s="11"/>
      <c r="L480" s="9"/>
      <c r="M480" s="9"/>
      <c r="N480" s="9"/>
      <c r="O480" s="9"/>
      <c r="P480" s="9"/>
      <c r="Q480" s="9"/>
      <c r="R480" s="9"/>
      <c r="S480" s="9"/>
      <c r="T480" s="9"/>
      <c r="U480" s="9"/>
      <c r="V480" s="9"/>
      <c r="W480" s="9"/>
      <c r="X480" s="11"/>
      <c r="Y480" s="9"/>
      <c r="Z480" s="11"/>
      <c r="AA480" s="9"/>
      <c r="AB480" s="9"/>
      <c r="AC480" s="11"/>
      <c r="AD480" s="9"/>
      <c r="AE480" s="9"/>
      <c r="AF480" s="9"/>
      <c r="AG480" s="9"/>
      <c r="AH480" s="9"/>
      <c r="AI480" s="9"/>
      <c r="AJ480" s="9"/>
      <c r="AK480" s="9"/>
      <c r="AL480" s="9"/>
      <c r="AM480" s="11"/>
      <c r="AN480" s="11"/>
      <c r="AO480" s="9"/>
      <c r="AP480" s="9"/>
      <c r="AQ480" s="9"/>
    </row>
    <row r="481" spans="1:43" x14ac:dyDescent="0.25">
      <c r="A481" s="9"/>
      <c r="B481" s="10"/>
      <c r="C481" s="9"/>
      <c r="D481" s="9"/>
      <c r="E481" s="9"/>
      <c r="F481" s="9"/>
      <c r="G481" s="9"/>
      <c r="H481" s="9"/>
      <c r="I481" s="10"/>
      <c r="J481" s="11"/>
      <c r="K481" s="11"/>
      <c r="L481" s="9"/>
      <c r="M481" s="9"/>
      <c r="N481" s="9"/>
      <c r="O481" s="9"/>
      <c r="P481" s="9"/>
      <c r="Q481" s="9"/>
      <c r="R481" s="9"/>
      <c r="S481" s="9"/>
      <c r="T481" s="9"/>
      <c r="U481" s="9"/>
      <c r="V481" s="9"/>
      <c r="W481" s="9"/>
      <c r="X481" s="11"/>
      <c r="Y481" s="9"/>
      <c r="Z481" s="11"/>
      <c r="AA481" s="9"/>
      <c r="AB481" s="9"/>
      <c r="AC481" s="11"/>
      <c r="AD481" s="9"/>
      <c r="AE481" s="9"/>
      <c r="AF481" s="9"/>
      <c r="AG481" s="9"/>
      <c r="AH481" s="9"/>
      <c r="AI481" s="9"/>
      <c r="AJ481" s="9"/>
      <c r="AK481" s="9"/>
      <c r="AL481" s="9"/>
      <c r="AM481" s="11"/>
      <c r="AN481" s="11"/>
      <c r="AO481" s="9"/>
      <c r="AP481" s="9"/>
      <c r="AQ481" s="9"/>
    </row>
    <row r="482" spans="1:43" x14ac:dyDescent="0.25">
      <c r="A482" s="9"/>
      <c r="B482" s="10"/>
      <c r="C482" s="9"/>
      <c r="D482" s="9"/>
      <c r="E482" s="9"/>
      <c r="F482" s="9"/>
      <c r="G482" s="9"/>
      <c r="H482" s="9"/>
      <c r="I482" s="10"/>
      <c r="J482" s="11"/>
      <c r="K482" s="11"/>
      <c r="L482" s="9"/>
      <c r="M482" s="9"/>
      <c r="N482" s="9"/>
      <c r="O482" s="9"/>
      <c r="P482" s="9"/>
      <c r="Q482" s="9"/>
      <c r="R482" s="9"/>
      <c r="S482" s="9"/>
      <c r="T482" s="9"/>
      <c r="U482" s="9"/>
      <c r="V482" s="9"/>
      <c r="W482" s="9"/>
      <c r="X482" s="11"/>
      <c r="Y482" s="9"/>
      <c r="Z482" s="11"/>
      <c r="AA482" s="9"/>
      <c r="AB482" s="9"/>
      <c r="AC482" s="11"/>
      <c r="AD482" s="9"/>
      <c r="AE482" s="9"/>
      <c r="AF482" s="9"/>
      <c r="AG482" s="9"/>
      <c r="AH482" s="9"/>
      <c r="AI482" s="9"/>
      <c r="AJ482" s="9"/>
      <c r="AK482" s="9"/>
      <c r="AL482" s="9"/>
      <c r="AM482" s="11"/>
      <c r="AN482" s="11"/>
      <c r="AO482" s="9"/>
      <c r="AP482" s="9"/>
      <c r="AQ482" s="9"/>
    </row>
    <row r="483" spans="1:43" x14ac:dyDescent="0.25">
      <c r="A483" s="9"/>
      <c r="B483" s="10"/>
      <c r="C483" s="9"/>
      <c r="D483" s="9"/>
      <c r="E483" s="9"/>
      <c r="F483" s="9"/>
      <c r="G483" s="9"/>
      <c r="H483" s="9"/>
      <c r="I483" s="10"/>
      <c r="J483" s="11"/>
      <c r="K483" s="11"/>
      <c r="L483" s="9"/>
      <c r="M483" s="9"/>
      <c r="N483" s="9"/>
      <c r="O483" s="9"/>
      <c r="P483" s="9"/>
      <c r="Q483" s="9"/>
      <c r="R483" s="9"/>
      <c r="S483" s="9"/>
      <c r="T483" s="9"/>
      <c r="U483" s="9"/>
      <c r="V483" s="9"/>
      <c r="W483" s="9"/>
      <c r="X483" s="11"/>
      <c r="Y483" s="9"/>
      <c r="Z483" s="11"/>
      <c r="AA483" s="9"/>
      <c r="AB483" s="9"/>
      <c r="AC483" s="11"/>
      <c r="AD483" s="9"/>
      <c r="AE483" s="9"/>
      <c r="AF483" s="9"/>
      <c r="AG483" s="9"/>
      <c r="AH483" s="9"/>
      <c r="AI483" s="9"/>
      <c r="AJ483" s="9"/>
      <c r="AK483" s="9"/>
      <c r="AL483" s="9"/>
      <c r="AM483" s="11"/>
      <c r="AN483" s="11"/>
      <c r="AO483" s="9"/>
      <c r="AP483" s="9"/>
      <c r="AQ483" s="9"/>
    </row>
    <row r="484" spans="1:43" x14ac:dyDescent="0.25">
      <c r="A484" s="9"/>
      <c r="B484" s="10"/>
      <c r="C484" s="9"/>
      <c r="D484" s="9"/>
      <c r="E484" s="9"/>
      <c r="F484" s="9"/>
      <c r="G484" s="9"/>
      <c r="H484" s="9"/>
      <c r="I484" s="10"/>
      <c r="J484" s="11"/>
      <c r="K484" s="11"/>
      <c r="L484" s="9"/>
      <c r="M484" s="9"/>
      <c r="N484" s="9"/>
      <c r="O484" s="9"/>
      <c r="P484" s="9"/>
      <c r="Q484" s="9"/>
      <c r="R484" s="9"/>
      <c r="S484" s="9"/>
      <c r="T484" s="9"/>
      <c r="U484" s="9"/>
      <c r="V484" s="9"/>
      <c r="W484" s="9"/>
      <c r="X484" s="11"/>
      <c r="Y484" s="9"/>
      <c r="Z484" s="11"/>
      <c r="AA484" s="9"/>
      <c r="AB484" s="9"/>
      <c r="AC484" s="11"/>
      <c r="AD484" s="9"/>
      <c r="AE484" s="9"/>
      <c r="AF484" s="9"/>
      <c r="AG484" s="9"/>
      <c r="AH484" s="9"/>
      <c r="AI484" s="9"/>
      <c r="AJ484" s="9"/>
      <c r="AK484" s="9"/>
      <c r="AL484" s="9"/>
      <c r="AM484" s="11"/>
      <c r="AN484" s="11"/>
      <c r="AO484" s="9"/>
      <c r="AP484" s="9"/>
      <c r="AQ484" s="9"/>
    </row>
    <row r="485" spans="1:43" x14ac:dyDescent="0.25">
      <c r="A485" s="9"/>
      <c r="B485" s="10"/>
      <c r="C485" s="9"/>
      <c r="D485" s="9"/>
      <c r="E485" s="9"/>
      <c r="F485" s="9"/>
      <c r="G485" s="9"/>
      <c r="H485" s="9"/>
      <c r="I485" s="10"/>
      <c r="J485" s="11"/>
      <c r="K485" s="11"/>
      <c r="L485" s="9"/>
      <c r="M485" s="9"/>
      <c r="N485" s="9"/>
      <c r="O485" s="9"/>
      <c r="P485" s="9"/>
      <c r="Q485" s="9"/>
      <c r="R485" s="9"/>
      <c r="S485" s="9"/>
      <c r="T485" s="9"/>
      <c r="U485" s="9"/>
      <c r="V485" s="9"/>
      <c r="W485" s="9"/>
      <c r="X485" s="11"/>
      <c r="Y485" s="9"/>
      <c r="Z485" s="11"/>
      <c r="AA485" s="9"/>
      <c r="AB485" s="9"/>
      <c r="AC485" s="11"/>
      <c r="AD485" s="9"/>
      <c r="AE485" s="9"/>
      <c r="AF485" s="9"/>
      <c r="AG485" s="9"/>
      <c r="AH485" s="9"/>
      <c r="AI485" s="9"/>
      <c r="AJ485" s="9"/>
      <c r="AK485" s="9"/>
      <c r="AL485" s="9"/>
      <c r="AM485" s="11"/>
      <c r="AN485" s="11"/>
      <c r="AO485" s="9"/>
      <c r="AP485" s="9"/>
      <c r="AQ485" s="9"/>
    </row>
    <row r="486" spans="1:43" x14ac:dyDescent="0.25">
      <c r="A486" s="9"/>
      <c r="B486" s="10"/>
      <c r="C486" s="9"/>
      <c r="D486" s="9"/>
      <c r="E486" s="9"/>
      <c r="F486" s="9"/>
      <c r="G486" s="9"/>
      <c r="H486" s="9"/>
      <c r="I486" s="10"/>
      <c r="J486" s="11"/>
      <c r="K486" s="11"/>
      <c r="L486" s="9"/>
      <c r="M486" s="9"/>
      <c r="N486" s="9"/>
      <c r="O486" s="9"/>
      <c r="P486" s="9"/>
      <c r="Q486" s="9"/>
      <c r="R486" s="9"/>
      <c r="S486" s="9"/>
      <c r="T486" s="9"/>
      <c r="U486" s="9"/>
      <c r="V486" s="9"/>
      <c r="W486" s="9"/>
      <c r="X486" s="11"/>
      <c r="Y486" s="9"/>
      <c r="Z486" s="11"/>
      <c r="AA486" s="9"/>
      <c r="AB486" s="9"/>
      <c r="AC486" s="11"/>
      <c r="AD486" s="9"/>
      <c r="AE486" s="9"/>
      <c r="AF486" s="9"/>
      <c r="AG486" s="9"/>
      <c r="AH486" s="9"/>
      <c r="AI486" s="9"/>
      <c r="AJ486" s="9"/>
      <c r="AK486" s="9"/>
      <c r="AL486" s="9"/>
      <c r="AM486" s="11"/>
      <c r="AN486" s="11"/>
      <c r="AO486" s="9"/>
      <c r="AP486" s="9"/>
      <c r="AQ486" s="9"/>
    </row>
    <row r="487" spans="1:43" x14ac:dyDescent="0.25">
      <c r="A487" s="9"/>
      <c r="B487" s="10"/>
      <c r="C487" s="9"/>
      <c r="D487" s="9"/>
      <c r="E487" s="9"/>
      <c r="F487" s="9"/>
      <c r="G487" s="9"/>
      <c r="H487" s="9"/>
      <c r="I487" s="10"/>
      <c r="J487" s="11"/>
      <c r="K487" s="11"/>
      <c r="L487" s="9"/>
      <c r="M487" s="9"/>
      <c r="N487" s="9"/>
      <c r="O487" s="9"/>
      <c r="P487" s="9"/>
      <c r="Q487" s="9"/>
      <c r="R487" s="9"/>
      <c r="S487" s="9"/>
      <c r="T487" s="9"/>
      <c r="U487" s="9"/>
      <c r="V487" s="9"/>
      <c r="W487" s="9"/>
      <c r="X487" s="11"/>
      <c r="Y487" s="9"/>
      <c r="Z487" s="11"/>
      <c r="AA487" s="9"/>
      <c r="AB487" s="9"/>
      <c r="AC487" s="11"/>
      <c r="AD487" s="9"/>
      <c r="AE487" s="9"/>
      <c r="AF487" s="9"/>
      <c r="AG487" s="9"/>
      <c r="AH487" s="9"/>
      <c r="AI487" s="9"/>
      <c r="AJ487" s="9"/>
      <c r="AK487" s="9"/>
      <c r="AL487" s="9"/>
      <c r="AM487" s="11"/>
      <c r="AN487" s="11"/>
      <c r="AO487" s="9"/>
      <c r="AP487" s="9"/>
      <c r="AQ487" s="9"/>
    </row>
    <row r="488" spans="1:43" x14ac:dyDescent="0.25">
      <c r="A488" s="9"/>
      <c r="B488" s="10"/>
      <c r="C488" s="9"/>
      <c r="D488" s="9"/>
      <c r="E488" s="9"/>
      <c r="F488" s="9"/>
      <c r="G488" s="9"/>
      <c r="H488" s="9"/>
      <c r="I488" s="10"/>
      <c r="J488" s="11"/>
      <c r="K488" s="11"/>
      <c r="L488" s="9"/>
      <c r="M488" s="9"/>
      <c r="N488" s="9"/>
      <c r="O488" s="9"/>
      <c r="P488" s="9"/>
      <c r="Q488" s="9"/>
      <c r="R488" s="9"/>
      <c r="S488" s="9"/>
      <c r="T488" s="9"/>
      <c r="U488" s="9"/>
      <c r="V488" s="9"/>
      <c r="W488" s="9"/>
      <c r="X488" s="11"/>
      <c r="Y488" s="9"/>
      <c r="Z488" s="11"/>
      <c r="AA488" s="9"/>
      <c r="AB488" s="9"/>
      <c r="AC488" s="11"/>
      <c r="AD488" s="9"/>
      <c r="AE488" s="9"/>
      <c r="AF488" s="9"/>
      <c r="AG488" s="9"/>
      <c r="AH488" s="9"/>
      <c r="AI488" s="9"/>
      <c r="AJ488" s="9"/>
      <c r="AK488" s="9"/>
      <c r="AL488" s="9"/>
      <c r="AM488" s="11"/>
      <c r="AN488" s="11"/>
      <c r="AO488" s="9"/>
      <c r="AP488" s="9"/>
      <c r="AQ488" s="9"/>
    </row>
    <row r="489" spans="1:43" x14ac:dyDescent="0.25">
      <c r="A489" s="9"/>
      <c r="B489" s="10"/>
      <c r="C489" s="9"/>
      <c r="D489" s="9"/>
      <c r="E489" s="9"/>
      <c r="F489" s="9"/>
      <c r="G489" s="9"/>
      <c r="H489" s="9"/>
      <c r="I489" s="10"/>
      <c r="J489" s="10"/>
      <c r="K489" s="11"/>
      <c r="L489" s="9"/>
      <c r="M489" s="9"/>
      <c r="N489" s="9"/>
      <c r="O489" s="9"/>
      <c r="P489" s="9"/>
      <c r="Q489" s="9"/>
      <c r="R489" s="9"/>
      <c r="S489" s="9"/>
      <c r="T489" s="9"/>
      <c r="U489" s="9"/>
      <c r="V489" s="9"/>
      <c r="W489" s="9"/>
      <c r="X489" s="10"/>
      <c r="Y489" s="9"/>
      <c r="Z489" s="11"/>
      <c r="AA489" s="9"/>
      <c r="AB489" s="9"/>
      <c r="AC489" s="10"/>
      <c r="AD489" s="9"/>
      <c r="AE489" s="9"/>
      <c r="AF489" s="9"/>
      <c r="AG489" s="9"/>
      <c r="AH489" s="9"/>
      <c r="AI489" s="9"/>
      <c r="AJ489" s="9"/>
      <c r="AK489" s="9"/>
      <c r="AL489" s="9"/>
      <c r="AM489" s="11"/>
      <c r="AN489" s="11"/>
      <c r="AO489" s="9"/>
      <c r="AP489" s="9"/>
      <c r="AQ489" s="9"/>
    </row>
    <row r="490" spans="1:43" x14ac:dyDescent="0.25">
      <c r="A490" s="9"/>
      <c r="B490" s="10"/>
      <c r="C490" s="9"/>
      <c r="D490" s="9"/>
      <c r="E490" s="9"/>
      <c r="F490" s="9"/>
      <c r="G490" s="9"/>
      <c r="H490" s="9"/>
      <c r="I490" s="10"/>
      <c r="J490" s="11"/>
      <c r="K490" s="11"/>
      <c r="L490" s="9"/>
      <c r="M490" s="9"/>
      <c r="N490" s="9"/>
      <c r="O490" s="9"/>
      <c r="P490" s="9"/>
      <c r="Q490" s="9"/>
      <c r="R490" s="9"/>
      <c r="S490" s="9"/>
      <c r="T490" s="9"/>
      <c r="U490" s="9"/>
      <c r="V490" s="9"/>
      <c r="W490" s="9"/>
      <c r="X490" s="11"/>
      <c r="Y490" s="9"/>
      <c r="Z490" s="11"/>
      <c r="AA490" s="9"/>
      <c r="AB490" s="9"/>
      <c r="AC490" s="11"/>
      <c r="AD490" s="9"/>
      <c r="AE490" s="9"/>
      <c r="AF490" s="9"/>
      <c r="AG490" s="9"/>
      <c r="AH490" s="9"/>
      <c r="AI490" s="9"/>
      <c r="AJ490" s="9"/>
      <c r="AK490" s="9"/>
      <c r="AL490" s="9"/>
      <c r="AM490" s="11"/>
      <c r="AN490" s="11"/>
      <c r="AO490" s="9"/>
      <c r="AP490" s="9"/>
      <c r="AQ490" s="9"/>
    </row>
    <row r="491" spans="1:43" x14ac:dyDescent="0.25">
      <c r="A491" s="9"/>
      <c r="B491" s="10"/>
      <c r="C491" s="9"/>
      <c r="D491" s="9"/>
      <c r="E491" s="9"/>
      <c r="F491" s="9"/>
      <c r="G491" s="9"/>
      <c r="H491" s="9"/>
      <c r="I491" s="10"/>
      <c r="J491" s="11"/>
      <c r="K491" s="10"/>
      <c r="L491" s="9"/>
      <c r="M491" s="9"/>
      <c r="N491" s="9"/>
      <c r="O491" s="9"/>
      <c r="P491" s="9"/>
      <c r="Q491" s="9"/>
      <c r="R491" s="9"/>
      <c r="S491" s="9"/>
      <c r="T491" s="9"/>
      <c r="U491" s="9"/>
      <c r="V491" s="9"/>
      <c r="W491" s="9"/>
      <c r="X491" s="11"/>
      <c r="Y491" s="9"/>
      <c r="Z491" s="10"/>
      <c r="AA491" s="9"/>
      <c r="AB491" s="9"/>
      <c r="AC491" s="10"/>
      <c r="AD491" s="9"/>
      <c r="AE491" s="9"/>
      <c r="AF491" s="9"/>
      <c r="AG491" s="9"/>
      <c r="AH491" s="9"/>
      <c r="AI491" s="9"/>
      <c r="AJ491" s="9"/>
      <c r="AK491" s="9"/>
      <c r="AL491" s="9"/>
      <c r="AM491" s="11"/>
      <c r="AN491" s="11"/>
      <c r="AO491" s="9"/>
      <c r="AP491" s="9"/>
      <c r="AQ491" s="9"/>
    </row>
    <row r="492" spans="1:43" x14ac:dyDescent="0.25">
      <c r="A492" s="9"/>
      <c r="B492" s="10"/>
      <c r="C492" s="9"/>
      <c r="D492" s="9"/>
      <c r="E492" s="9"/>
      <c r="F492" s="9"/>
      <c r="G492" s="9"/>
      <c r="H492" s="9"/>
      <c r="I492" s="10"/>
      <c r="J492" s="11"/>
      <c r="K492" s="11"/>
      <c r="L492" s="9"/>
      <c r="M492" s="9"/>
      <c r="N492" s="9"/>
      <c r="O492" s="9"/>
      <c r="P492" s="9"/>
      <c r="Q492" s="9"/>
      <c r="R492" s="9"/>
      <c r="S492" s="9"/>
      <c r="T492" s="9"/>
      <c r="U492" s="9"/>
      <c r="V492" s="9"/>
      <c r="W492" s="9"/>
      <c r="X492" s="11"/>
      <c r="Y492" s="9"/>
      <c r="Z492" s="11"/>
      <c r="AA492" s="9"/>
      <c r="AB492" s="9"/>
      <c r="AC492" s="11"/>
      <c r="AD492" s="9"/>
      <c r="AE492" s="9"/>
      <c r="AF492" s="9"/>
      <c r="AG492" s="9"/>
      <c r="AH492" s="9"/>
      <c r="AI492" s="9"/>
      <c r="AJ492" s="9"/>
      <c r="AK492" s="9"/>
      <c r="AL492" s="9"/>
      <c r="AM492" s="11"/>
      <c r="AN492" s="11"/>
      <c r="AO492" s="9"/>
      <c r="AP492" s="9"/>
      <c r="AQ492" s="9"/>
    </row>
    <row r="493" spans="1:43" x14ac:dyDescent="0.25">
      <c r="A493" s="9"/>
      <c r="B493" s="10"/>
      <c r="C493" s="9"/>
      <c r="D493" s="9"/>
      <c r="E493" s="9"/>
      <c r="F493" s="9"/>
      <c r="G493" s="9"/>
      <c r="H493" s="9"/>
      <c r="I493" s="10"/>
      <c r="J493" s="11"/>
      <c r="K493" s="11"/>
      <c r="L493" s="9"/>
      <c r="M493" s="9"/>
      <c r="N493" s="9"/>
      <c r="O493" s="9"/>
      <c r="P493" s="9"/>
      <c r="Q493" s="9"/>
      <c r="R493" s="9"/>
      <c r="S493" s="9"/>
      <c r="T493" s="9"/>
      <c r="U493" s="9"/>
      <c r="V493" s="9"/>
      <c r="W493" s="9"/>
      <c r="X493" s="11"/>
      <c r="Y493" s="9"/>
      <c r="Z493" s="11"/>
      <c r="AA493" s="9"/>
      <c r="AB493" s="9"/>
      <c r="AC493" s="11"/>
      <c r="AD493" s="9"/>
      <c r="AE493" s="9"/>
      <c r="AF493" s="9"/>
      <c r="AG493" s="9"/>
      <c r="AH493" s="9"/>
      <c r="AI493" s="9"/>
      <c r="AJ493" s="9"/>
      <c r="AK493" s="9"/>
      <c r="AL493" s="9"/>
      <c r="AM493" s="11"/>
      <c r="AN493" s="11"/>
      <c r="AO493" s="9"/>
      <c r="AP493" s="9"/>
      <c r="AQ493" s="9"/>
    </row>
    <row r="494" spans="1:43" x14ac:dyDescent="0.25">
      <c r="A494" s="9"/>
      <c r="B494" s="10"/>
      <c r="C494" s="9"/>
      <c r="D494" s="9"/>
      <c r="E494" s="9"/>
      <c r="F494" s="9"/>
      <c r="G494" s="9"/>
      <c r="H494" s="9"/>
      <c r="I494" s="10"/>
      <c r="J494" s="11"/>
      <c r="K494" s="11"/>
      <c r="L494" s="9"/>
      <c r="M494" s="9"/>
      <c r="N494" s="9"/>
      <c r="O494" s="9"/>
      <c r="P494" s="9"/>
      <c r="Q494" s="9"/>
      <c r="R494" s="9"/>
      <c r="S494" s="9"/>
      <c r="T494" s="9"/>
      <c r="U494" s="9"/>
      <c r="V494" s="9"/>
      <c r="W494" s="9"/>
      <c r="X494" s="11"/>
      <c r="Y494" s="9"/>
      <c r="Z494" s="11"/>
      <c r="AA494" s="9"/>
      <c r="AB494" s="9"/>
      <c r="AC494" s="11"/>
      <c r="AD494" s="9"/>
      <c r="AE494" s="9"/>
      <c r="AF494" s="9"/>
      <c r="AG494" s="9"/>
      <c r="AH494" s="9"/>
      <c r="AI494" s="9"/>
      <c r="AJ494" s="9"/>
      <c r="AK494" s="9"/>
      <c r="AL494" s="9"/>
      <c r="AM494" s="11"/>
      <c r="AN494" s="11"/>
      <c r="AO494" s="9"/>
      <c r="AP494" s="9"/>
      <c r="AQ494" s="9"/>
    </row>
    <row r="495" spans="1:43" x14ac:dyDescent="0.25">
      <c r="A495" s="9"/>
      <c r="B495" s="10"/>
      <c r="C495" s="9"/>
      <c r="D495" s="9"/>
      <c r="E495" s="9"/>
      <c r="F495" s="9"/>
      <c r="G495" s="9"/>
      <c r="H495" s="9"/>
      <c r="I495" s="10"/>
      <c r="J495" s="11"/>
      <c r="K495" s="11"/>
      <c r="L495" s="9"/>
      <c r="M495" s="9"/>
      <c r="N495" s="9"/>
      <c r="O495" s="9"/>
      <c r="P495" s="9"/>
      <c r="Q495" s="9"/>
      <c r="R495" s="9"/>
      <c r="S495" s="9"/>
      <c r="T495" s="9"/>
      <c r="U495" s="9"/>
      <c r="V495" s="9"/>
      <c r="W495" s="9"/>
      <c r="X495" s="11"/>
      <c r="Y495" s="9"/>
      <c r="Z495" s="11"/>
      <c r="AA495" s="9"/>
      <c r="AB495" s="9"/>
      <c r="AC495" s="11"/>
      <c r="AD495" s="9"/>
      <c r="AE495" s="9"/>
      <c r="AF495" s="9"/>
      <c r="AG495" s="9"/>
      <c r="AH495" s="9"/>
      <c r="AI495" s="9"/>
      <c r="AJ495" s="9"/>
      <c r="AK495" s="9"/>
      <c r="AL495" s="9"/>
      <c r="AM495" s="11"/>
      <c r="AN495" s="11"/>
      <c r="AO495" s="9"/>
      <c r="AP495" s="9"/>
      <c r="AQ495" s="9"/>
    </row>
    <row r="496" spans="1:43" x14ac:dyDescent="0.25">
      <c r="A496" s="9"/>
      <c r="B496" s="10"/>
      <c r="C496" s="9"/>
      <c r="D496" s="9"/>
      <c r="E496" s="9"/>
      <c r="F496" s="9"/>
      <c r="G496" s="9"/>
      <c r="H496" s="9"/>
      <c r="I496" s="10"/>
      <c r="J496" s="11"/>
      <c r="K496" s="10"/>
      <c r="L496" s="9"/>
      <c r="M496" s="9"/>
      <c r="N496" s="9"/>
      <c r="O496" s="9"/>
      <c r="P496" s="9"/>
      <c r="Q496" s="9"/>
      <c r="R496" s="9"/>
      <c r="S496" s="9"/>
      <c r="T496" s="9"/>
      <c r="U496" s="9"/>
      <c r="V496" s="9"/>
      <c r="W496" s="9"/>
      <c r="X496" s="11"/>
      <c r="Y496" s="9"/>
      <c r="Z496" s="10"/>
      <c r="AA496" s="9"/>
      <c r="AB496" s="9"/>
      <c r="AC496" s="10"/>
      <c r="AD496" s="9"/>
      <c r="AE496" s="9"/>
      <c r="AF496" s="9"/>
      <c r="AG496" s="9"/>
      <c r="AH496" s="9"/>
      <c r="AI496" s="9"/>
      <c r="AJ496" s="9"/>
      <c r="AK496" s="9"/>
      <c r="AL496" s="9"/>
      <c r="AM496" s="10"/>
      <c r="AN496" s="11"/>
      <c r="AO496" s="9"/>
      <c r="AP496" s="9"/>
      <c r="AQ496" s="9"/>
    </row>
    <row r="497" spans="1:43" x14ac:dyDescent="0.25">
      <c r="A497" s="9"/>
      <c r="B497" s="10"/>
      <c r="C497" s="9"/>
      <c r="D497" s="9"/>
      <c r="E497" s="9"/>
      <c r="F497" s="9"/>
      <c r="G497" s="9"/>
      <c r="H497" s="9"/>
      <c r="I497" s="10"/>
      <c r="J497" s="11"/>
      <c r="K497" s="11"/>
      <c r="L497" s="9"/>
      <c r="M497" s="9"/>
      <c r="N497" s="9"/>
      <c r="O497" s="9"/>
      <c r="P497" s="9"/>
      <c r="Q497" s="9"/>
      <c r="R497" s="9"/>
      <c r="S497" s="9"/>
      <c r="T497" s="9"/>
      <c r="U497" s="9"/>
      <c r="V497" s="9"/>
      <c r="W497" s="9"/>
      <c r="X497" s="11"/>
      <c r="Y497" s="9"/>
      <c r="Z497" s="11"/>
      <c r="AA497" s="9"/>
      <c r="AB497" s="9"/>
      <c r="AC497" s="11"/>
      <c r="AD497" s="9"/>
      <c r="AE497" s="9"/>
      <c r="AF497" s="9"/>
      <c r="AG497" s="9"/>
      <c r="AH497" s="9"/>
      <c r="AI497" s="9"/>
      <c r="AJ497" s="9"/>
      <c r="AK497" s="9"/>
      <c r="AL497" s="9"/>
      <c r="AM497" s="11"/>
      <c r="AN497" s="11"/>
      <c r="AO497" s="9"/>
      <c r="AP497" s="9"/>
      <c r="AQ497" s="9"/>
    </row>
    <row r="498" spans="1:43" x14ac:dyDescent="0.25">
      <c r="A498" s="9"/>
      <c r="B498" s="10"/>
      <c r="C498" s="9"/>
      <c r="D498" s="9"/>
      <c r="E498" s="9"/>
      <c r="F498" s="9"/>
      <c r="G498" s="9"/>
      <c r="H498" s="9"/>
      <c r="I498" s="10"/>
      <c r="J498" s="10"/>
      <c r="K498" s="11"/>
      <c r="L498" s="9"/>
      <c r="M498" s="9"/>
      <c r="N498" s="9"/>
      <c r="O498" s="9"/>
      <c r="P498" s="9"/>
      <c r="Q498" s="9"/>
      <c r="R498" s="9"/>
      <c r="S498" s="9"/>
      <c r="T498" s="9"/>
      <c r="U498" s="9"/>
      <c r="V498" s="9"/>
      <c r="W498" s="9"/>
      <c r="X498" s="10"/>
      <c r="Y498" s="9"/>
      <c r="Z498" s="11"/>
      <c r="AA498" s="9"/>
      <c r="AB498" s="9"/>
      <c r="AC498" s="10"/>
      <c r="AD498" s="9"/>
      <c r="AE498" s="9"/>
      <c r="AF498" s="9"/>
      <c r="AG498" s="9"/>
      <c r="AH498" s="9"/>
      <c r="AI498" s="9"/>
      <c r="AJ498" s="9"/>
      <c r="AK498" s="9"/>
      <c r="AL498" s="9"/>
      <c r="AM498" s="11"/>
      <c r="AN498" s="11"/>
      <c r="AO498" s="9"/>
      <c r="AP498" s="9"/>
      <c r="AQ498" s="9"/>
    </row>
    <row r="499" spans="1:43" x14ac:dyDescent="0.25">
      <c r="A499" s="9"/>
      <c r="B499" s="10"/>
      <c r="C499" s="9"/>
      <c r="D499" s="9"/>
      <c r="E499" s="9"/>
      <c r="F499" s="9"/>
      <c r="G499" s="9"/>
      <c r="H499" s="9"/>
      <c r="I499" s="10"/>
      <c r="J499" s="11"/>
      <c r="K499" s="10"/>
      <c r="L499" s="9"/>
      <c r="M499" s="9"/>
      <c r="N499" s="9"/>
      <c r="O499" s="9"/>
      <c r="P499" s="9"/>
      <c r="Q499" s="9"/>
      <c r="R499" s="9"/>
      <c r="S499" s="9"/>
      <c r="T499" s="9"/>
      <c r="U499" s="9"/>
      <c r="V499" s="9"/>
      <c r="W499" s="9"/>
      <c r="X499" s="11"/>
      <c r="Y499" s="9"/>
      <c r="Z499" s="10"/>
      <c r="AA499" s="9"/>
      <c r="AB499" s="9"/>
      <c r="AC499" s="10"/>
      <c r="AD499" s="9"/>
      <c r="AE499" s="9"/>
      <c r="AF499" s="9"/>
      <c r="AG499" s="9"/>
      <c r="AH499" s="9"/>
      <c r="AI499" s="9"/>
      <c r="AJ499" s="9"/>
      <c r="AK499" s="9"/>
      <c r="AL499" s="9"/>
      <c r="AM499" s="11"/>
      <c r="AN499" s="11"/>
      <c r="AO499" s="9"/>
      <c r="AP499" s="9"/>
      <c r="AQ499" s="9"/>
    </row>
    <row r="500" spans="1:43" x14ac:dyDescent="0.25">
      <c r="A500" s="9"/>
      <c r="B500" s="10"/>
      <c r="C500" s="9"/>
      <c r="D500" s="9"/>
      <c r="E500" s="9"/>
      <c r="F500" s="9"/>
      <c r="G500" s="9"/>
      <c r="H500" s="9"/>
      <c r="I500" s="10"/>
      <c r="J500" s="11"/>
      <c r="K500" s="11"/>
      <c r="L500" s="9"/>
      <c r="M500" s="9"/>
      <c r="N500" s="9"/>
      <c r="O500" s="9"/>
      <c r="P500" s="9"/>
      <c r="Q500" s="9"/>
      <c r="R500" s="9"/>
      <c r="S500" s="9"/>
      <c r="T500" s="9"/>
      <c r="U500" s="9"/>
      <c r="V500" s="9"/>
      <c r="W500" s="9"/>
      <c r="X500" s="11"/>
      <c r="Y500" s="9"/>
      <c r="Z500" s="11"/>
      <c r="AA500" s="9"/>
      <c r="AB500" s="9"/>
      <c r="AC500" s="11"/>
      <c r="AD500" s="9"/>
      <c r="AE500" s="9"/>
      <c r="AF500" s="9"/>
      <c r="AG500" s="9"/>
      <c r="AH500" s="9"/>
      <c r="AI500" s="9"/>
      <c r="AJ500" s="9"/>
      <c r="AK500" s="9"/>
      <c r="AL500" s="9"/>
      <c r="AM500" s="11"/>
      <c r="AN500" s="11"/>
      <c r="AO500" s="9"/>
      <c r="AP500" s="9"/>
      <c r="AQ500" s="9"/>
    </row>
    <row r="501" spans="1:43" x14ac:dyDescent="0.25">
      <c r="A501" s="9"/>
      <c r="B501" s="10"/>
      <c r="C501" s="9"/>
      <c r="D501" s="9"/>
      <c r="E501" s="9"/>
      <c r="F501" s="9"/>
      <c r="G501" s="9"/>
      <c r="H501" s="9"/>
      <c r="I501" s="10"/>
      <c r="J501" s="11"/>
      <c r="K501" s="10"/>
      <c r="L501" s="9"/>
      <c r="M501" s="9"/>
      <c r="N501" s="9"/>
      <c r="O501" s="9"/>
      <c r="P501" s="9"/>
      <c r="Q501" s="9"/>
      <c r="R501" s="9"/>
      <c r="S501" s="9"/>
      <c r="T501" s="9"/>
      <c r="U501" s="9"/>
      <c r="V501" s="9"/>
      <c r="W501" s="9"/>
      <c r="X501" s="11"/>
      <c r="Y501" s="9"/>
      <c r="Z501" s="10"/>
      <c r="AA501" s="9"/>
      <c r="AB501" s="9"/>
      <c r="AC501" s="10"/>
      <c r="AD501" s="9"/>
      <c r="AE501" s="9"/>
      <c r="AF501" s="9"/>
      <c r="AG501" s="9"/>
      <c r="AH501" s="9"/>
      <c r="AI501" s="9"/>
      <c r="AJ501" s="9"/>
      <c r="AK501" s="9"/>
      <c r="AL501" s="9"/>
      <c r="AM501" s="10"/>
      <c r="AN501" s="11"/>
      <c r="AO501" s="9"/>
      <c r="AP501" s="9"/>
      <c r="AQ501" s="9"/>
    </row>
    <row r="502" spans="1:43" x14ac:dyDescent="0.25">
      <c r="A502" s="9"/>
      <c r="B502" s="10"/>
      <c r="C502" s="9"/>
      <c r="D502" s="9"/>
      <c r="E502" s="9"/>
      <c r="F502" s="9"/>
      <c r="G502" s="9"/>
      <c r="H502" s="9"/>
      <c r="I502" s="10"/>
      <c r="J502" s="11"/>
      <c r="K502" s="11"/>
      <c r="L502" s="9"/>
      <c r="M502" s="9"/>
      <c r="N502" s="9"/>
      <c r="O502" s="9"/>
      <c r="P502" s="9"/>
      <c r="Q502" s="9"/>
      <c r="R502" s="9"/>
      <c r="S502" s="9"/>
      <c r="T502" s="9"/>
      <c r="U502" s="9"/>
      <c r="V502" s="9"/>
      <c r="W502" s="9"/>
      <c r="X502" s="11"/>
      <c r="Y502" s="9"/>
      <c r="Z502" s="11"/>
      <c r="AA502" s="9"/>
      <c r="AB502" s="9"/>
      <c r="AC502" s="11"/>
      <c r="AD502" s="9"/>
      <c r="AE502" s="9"/>
      <c r="AF502" s="9"/>
      <c r="AG502" s="9"/>
      <c r="AH502" s="9"/>
      <c r="AI502" s="9"/>
      <c r="AJ502" s="9"/>
      <c r="AK502" s="9"/>
      <c r="AL502" s="9"/>
      <c r="AM502" s="11"/>
      <c r="AN502" s="11"/>
      <c r="AO502" s="9"/>
      <c r="AP502" s="9"/>
      <c r="AQ502" s="9"/>
    </row>
    <row r="503" spans="1:43" x14ac:dyDescent="0.25">
      <c r="A503" s="9"/>
      <c r="B503" s="10"/>
      <c r="C503" s="9"/>
      <c r="D503" s="9"/>
      <c r="E503" s="9"/>
      <c r="F503" s="9"/>
      <c r="G503" s="9"/>
      <c r="H503" s="9"/>
      <c r="I503" s="10"/>
      <c r="J503" s="11"/>
      <c r="K503" s="11"/>
      <c r="L503" s="9"/>
      <c r="M503" s="9"/>
      <c r="N503" s="9"/>
      <c r="O503" s="9"/>
      <c r="P503" s="9"/>
      <c r="Q503" s="9"/>
      <c r="R503" s="9"/>
      <c r="S503" s="9"/>
      <c r="T503" s="9"/>
      <c r="U503" s="9"/>
      <c r="V503" s="9"/>
      <c r="W503" s="9"/>
      <c r="X503" s="11"/>
      <c r="Y503" s="9"/>
      <c r="Z503" s="11"/>
      <c r="AA503" s="9"/>
      <c r="AB503" s="9"/>
      <c r="AC503" s="11"/>
      <c r="AD503" s="9"/>
      <c r="AE503" s="9"/>
      <c r="AF503" s="9"/>
      <c r="AG503" s="9"/>
      <c r="AH503" s="9"/>
      <c r="AI503" s="9"/>
      <c r="AJ503" s="9"/>
      <c r="AK503" s="9"/>
      <c r="AL503" s="9"/>
      <c r="AM503" s="11"/>
      <c r="AN503" s="11"/>
      <c r="AO503" s="9"/>
      <c r="AP503" s="9"/>
      <c r="AQ503" s="9"/>
    </row>
    <row r="504" spans="1:43" x14ac:dyDescent="0.25">
      <c r="A504" s="9"/>
      <c r="B504" s="10"/>
      <c r="C504" s="9"/>
      <c r="D504" s="9"/>
      <c r="E504" s="9"/>
      <c r="F504" s="9"/>
      <c r="G504" s="9"/>
      <c r="H504" s="9"/>
      <c r="I504" s="10"/>
      <c r="J504" s="11"/>
      <c r="K504" s="11"/>
      <c r="L504" s="9"/>
      <c r="M504" s="9"/>
      <c r="N504" s="9"/>
      <c r="O504" s="9"/>
      <c r="P504" s="9"/>
      <c r="Q504" s="9"/>
      <c r="R504" s="9"/>
      <c r="S504" s="9"/>
      <c r="T504" s="9"/>
      <c r="U504" s="9"/>
      <c r="V504" s="9"/>
      <c r="W504" s="9"/>
      <c r="X504" s="11"/>
      <c r="Y504" s="9"/>
      <c r="Z504" s="11"/>
      <c r="AA504" s="9"/>
      <c r="AB504" s="9"/>
      <c r="AC504" s="11"/>
      <c r="AD504" s="9"/>
      <c r="AE504" s="9"/>
      <c r="AF504" s="9"/>
      <c r="AG504" s="9"/>
      <c r="AH504" s="9"/>
      <c r="AI504" s="9"/>
      <c r="AJ504" s="9"/>
      <c r="AK504" s="9"/>
      <c r="AL504" s="9"/>
      <c r="AM504" s="11"/>
      <c r="AN504" s="11"/>
      <c r="AO504" s="9"/>
      <c r="AP504" s="9"/>
      <c r="AQ504" s="9"/>
    </row>
    <row r="505" spans="1:43" x14ac:dyDescent="0.25">
      <c r="A505" s="9"/>
      <c r="B505" s="10"/>
      <c r="C505" s="9"/>
      <c r="D505" s="9"/>
      <c r="E505" s="9"/>
      <c r="F505" s="9"/>
      <c r="G505" s="9"/>
      <c r="H505" s="9"/>
      <c r="I505" s="10"/>
      <c r="J505" s="11"/>
      <c r="K505" s="10"/>
      <c r="L505" s="9"/>
      <c r="M505" s="9"/>
      <c r="N505" s="9"/>
      <c r="O505" s="9"/>
      <c r="P505" s="9"/>
      <c r="Q505" s="9"/>
      <c r="R505" s="9"/>
      <c r="S505" s="9"/>
      <c r="T505" s="9"/>
      <c r="U505" s="9"/>
      <c r="V505" s="9"/>
      <c r="W505" s="9"/>
      <c r="X505" s="11"/>
      <c r="Y505" s="9"/>
      <c r="Z505" s="10"/>
      <c r="AA505" s="9"/>
      <c r="AB505" s="9"/>
      <c r="AC505" s="10"/>
      <c r="AD505" s="9"/>
      <c r="AE505" s="9"/>
      <c r="AF505" s="9"/>
      <c r="AG505" s="9"/>
      <c r="AH505" s="9"/>
      <c r="AI505" s="9"/>
      <c r="AJ505" s="9"/>
      <c r="AK505" s="9"/>
      <c r="AL505" s="9"/>
      <c r="AM505" s="10"/>
      <c r="AN505" s="11"/>
      <c r="AO505" s="9"/>
      <c r="AP505" s="9"/>
      <c r="AQ505" s="9"/>
    </row>
    <row r="506" spans="1:43" x14ac:dyDescent="0.25">
      <c r="A506" s="9"/>
      <c r="B506" s="10"/>
      <c r="C506" s="9"/>
      <c r="D506" s="9"/>
      <c r="E506" s="9"/>
      <c r="F506" s="9"/>
      <c r="G506" s="9"/>
      <c r="H506" s="9"/>
      <c r="I506" s="10"/>
      <c r="J506" s="10"/>
      <c r="K506" s="11"/>
      <c r="L506" s="9"/>
      <c r="M506" s="9"/>
      <c r="N506" s="9"/>
      <c r="O506" s="9"/>
      <c r="P506" s="9"/>
      <c r="Q506" s="9"/>
      <c r="R506" s="9"/>
      <c r="S506" s="9"/>
      <c r="T506" s="9"/>
      <c r="U506" s="9"/>
      <c r="V506" s="9"/>
      <c r="W506" s="9"/>
      <c r="X506" s="10"/>
      <c r="Y506" s="9"/>
      <c r="Z506" s="11"/>
      <c r="AA506" s="9"/>
      <c r="AB506" s="9"/>
      <c r="AC506" s="10"/>
      <c r="AD506" s="9"/>
      <c r="AE506" s="9"/>
      <c r="AF506" s="9"/>
      <c r="AG506" s="9"/>
      <c r="AH506" s="9"/>
      <c r="AI506" s="9"/>
      <c r="AJ506" s="9"/>
      <c r="AK506" s="9"/>
      <c r="AL506" s="9"/>
      <c r="AM506" s="11"/>
      <c r="AN506" s="10"/>
      <c r="AO506" s="9"/>
      <c r="AP506" s="9"/>
      <c r="AQ506" s="9"/>
    </row>
    <row r="507" spans="1:43" x14ac:dyDescent="0.25">
      <c r="A507" s="9"/>
      <c r="B507" s="10"/>
      <c r="C507" s="9"/>
      <c r="D507" s="9"/>
      <c r="E507" s="9"/>
      <c r="F507" s="9"/>
      <c r="G507" s="9"/>
      <c r="H507" s="9"/>
      <c r="I507" s="10"/>
      <c r="J507" s="11"/>
      <c r="K507" s="10"/>
      <c r="L507" s="9"/>
      <c r="M507" s="9"/>
      <c r="N507" s="9"/>
      <c r="O507" s="9"/>
      <c r="P507" s="9"/>
      <c r="Q507" s="9"/>
      <c r="R507" s="9"/>
      <c r="S507" s="9"/>
      <c r="T507" s="9"/>
      <c r="U507" s="9"/>
      <c r="V507" s="9"/>
      <c r="W507" s="9"/>
      <c r="X507" s="11"/>
      <c r="Y507" s="9"/>
      <c r="Z507" s="10"/>
      <c r="AA507" s="9"/>
      <c r="AB507" s="9"/>
      <c r="AC507" s="10"/>
      <c r="AD507" s="9"/>
      <c r="AE507" s="9"/>
      <c r="AF507" s="9"/>
      <c r="AG507" s="9"/>
      <c r="AH507" s="9"/>
      <c r="AI507" s="9"/>
      <c r="AJ507" s="9"/>
      <c r="AK507" s="9"/>
      <c r="AL507" s="9"/>
      <c r="AM507" s="10"/>
      <c r="AN507" s="11"/>
      <c r="AO507" s="9"/>
      <c r="AP507" s="9"/>
      <c r="AQ507" s="9"/>
    </row>
    <row r="508" spans="1:43" x14ac:dyDescent="0.25">
      <c r="A508" s="9"/>
      <c r="B508" s="10"/>
      <c r="C508" s="9"/>
      <c r="D508" s="9"/>
      <c r="E508" s="9"/>
      <c r="F508" s="9"/>
      <c r="G508" s="9"/>
      <c r="H508" s="9"/>
      <c r="I508" s="10"/>
      <c r="J508" s="11"/>
      <c r="K508" s="11"/>
      <c r="L508" s="9"/>
      <c r="M508" s="9"/>
      <c r="N508" s="9"/>
      <c r="O508" s="9"/>
      <c r="P508" s="9"/>
      <c r="Q508" s="9"/>
      <c r="R508" s="9"/>
      <c r="S508" s="9"/>
      <c r="T508" s="9"/>
      <c r="U508" s="9"/>
      <c r="V508" s="9"/>
      <c r="W508" s="9"/>
      <c r="X508" s="11"/>
      <c r="Y508" s="9"/>
      <c r="Z508" s="11"/>
      <c r="AA508" s="9"/>
      <c r="AB508" s="9"/>
      <c r="AC508" s="11"/>
      <c r="AD508" s="9"/>
      <c r="AE508" s="9"/>
      <c r="AF508" s="9"/>
      <c r="AG508" s="9"/>
      <c r="AH508" s="9"/>
      <c r="AI508" s="9"/>
      <c r="AJ508" s="9"/>
      <c r="AK508" s="9"/>
      <c r="AL508" s="9"/>
      <c r="AM508" s="11"/>
      <c r="AN508" s="11"/>
      <c r="AO508" s="9"/>
      <c r="AP508" s="9"/>
      <c r="AQ508" s="9"/>
    </row>
    <row r="509" spans="1:43" x14ac:dyDescent="0.25">
      <c r="A509" s="9"/>
      <c r="B509" s="10"/>
      <c r="C509" s="9"/>
      <c r="D509" s="9"/>
      <c r="E509" s="9"/>
      <c r="F509" s="9"/>
      <c r="G509" s="9"/>
      <c r="H509" s="9"/>
      <c r="I509" s="10"/>
      <c r="J509" s="10"/>
      <c r="K509" s="11"/>
      <c r="L509" s="9"/>
      <c r="M509" s="9"/>
      <c r="N509" s="9"/>
      <c r="O509" s="9"/>
      <c r="P509" s="9"/>
      <c r="Q509" s="9"/>
      <c r="R509" s="9"/>
      <c r="S509" s="9"/>
      <c r="T509" s="9"/>
      <c r="U509" s="9"/>
      <c r="V509" s="9"/>
      <c r="W509" s="9"/>
      <c r="X509" s="10"/>
      <c r="Y509" s="9"/>
      <c r="Z509" s="11"/>
      <c r="AA509" s="9"/>
      <c r="AB509" s="9"/>
      <c r="AC509" s="10"/>
      <c r="AD509" s="9"/>
      <c r="AE509" s="9"/>
      <c r="AF509" s="9"/>
      <c r="AG509" s="9"/>
      <c r="AH509" s="9"/>
      <c r="AI509" s="9"/>
      <c r="AJ509" s="9"/>
      <c r="AK509" s="9"/>
      <c r="AL509" s="9"/>
      <c r="AM509" s="11"/>
      <c r="AN509" s="10"/>
      <c r="AO509" s="9"/>
      <c r="AP509" s="9"/>
      <c r="AQ509" s="9"/>
    </row>
    <row r="510" spans="1:43" x14ac:dyDescent="0.25">
      <c r="A510" s="9"/>
      <c r="B510" s="10"/>
      <c r="C510" s="9"/>
      <c r="D510" s="9"/>
      <c r="E510" s="9"/>
      <c r="F510" s="9"/>
      <c r="G510" s="9"/>
      <c r="H510" s="9"/>
      <c r="I510" s="10"/>
      <c r="J510" s="11"/>
      <c r="K510" s="11"/>
      <c r="L510" s="9"/>
      <c r="M510" s="9"/>
      <c r="N510" s="9"/>
      <c r="O510" s="9"/>
      <c r="P510" s="9"/>
      <c r="Q510" s="9"/>
      <c r="R510" s="9"/>
      <c r="S510" s="9"/>
      <c r="T510" s="9"/>
      <c r="U510" s="9"/>
      <c r="V510" s="9"/>
      <c r="W510" s="9"/>
      <c r="X510" s="11"/>
      <c r="Y510" s="9"/>
      <c r="Z510" s="11"/>
      <c r="AA510" s="9"/>
      <c r="AB510" s="9"/>
      <c r="AC510" s="11"/>
      <c r="AD510" s="9"/>
      <c r="AE510" s="9"/>
      <c r="AF510" s="9"/>
      <c r="AG510" s="9"/>
      <c r="AH510" s="9"/>
      <c r="AI510" s="9"/>
      <c r="AJ510" s="9"/>
      <c r="AK510" s="9"/>
      <c r="AL510" s="9"/>
      <c r="AM510" s="11"/>
      <c r="AN510" s="11"/>
      <c r="AO510" s="9"/>
      <c r="AP510" s="9"/>
      <c r="AQ510" s="9"/>
    </row>
    <row r="511" spans="1:43" x14ac:dyDescent="0.25">
      <c r="A511" s="9"/>
      <c r="B511" s="10"/>
      <c r="C511" s="9"/>
      <c r="D511" s="9"/>
      <c r="E511" s="9"/>
      <c r="F511" s="9"/>
      <c r="G511" s="9"/>
      <c r="H511" s="9"/>
      <c r="I511" s="10"/>
      <c r="J511" s="11"/>
      <c r="K511" s="11"/>
      <c r="L511" s="9"/>
      <c r="M511" s="9"/>
      <c r="N511" s="9"/>
      <c r="O511" s="9"/>
      <c r="P511" s="9"/>
      <c r="Q511" s="9"/>
      <c r="R511" s="9"/>
      <c r="S511" s="9"/>
      <c r="T511" s="9"/>
      <c r="U511" s="9"/>
      <c r="V511" s="9"/>
      <c r="W511" s="9"/>
      <c r="X511" s="11"/>
      <c r="Y511" s="9"/>
      <c r="Z511" s="11"/>
      <c r="AA511" s="9"/>
      <c r="AB511" s="9"/>
      <c r="AC511" s="11"/>
      <c r="AD511" s="9"/>
      <c r="AE511" s="9"/>
      <c r="AF511" s="9"/>
      <c r="AG511" s="9"/>
      <c r="AH511" s="9"/>
      <c r="AI511" s="9"/>
      <c r="AJ511" s="9"/>
      <c r="AK511" s="9"/>
      <c r="AL511" s="9"/>
      <c r="AM511" s="11"/>
      <c r="AN511" s="11"/>
      <c r="AO511" s="9"/>
      <c r="AP511" s="9"/>
      <c r="AQ511" s="9"/>
    </row>
    <row r="512" spans="1:43" x14ac:dyDescent="0.25">
      <c r="A512" s="9"/>
      <c r="B512" s="10"/>
      <c r="C512" s="9"/>
      <c r="D512" s="9"/>
      <c r="E512" s="9"/>
      <c r="F512" s="9"/>
      <c r="G512" s="9"/>
      <c r="H512" s="9"/>
      <c r="I512" s="10"/>
      <c r="J512" s="11"/>
      <c r="K512" s="11"/>
      <c r="L512" s="9"/>
      <c r="M512" s="9"/>
      <c r="N512" s="9"/>
      <c r="O512" s="9"/>
      <c r="P512" s="9"/>
      <c r="Q512" s="9"/>
      <c r="R512" s="9"/>
      <c r="S512" s="9"/>
      <c r="T512" s="9"/>
      <c r="U512" s="9"/>
      <c r="V512" s="9"/>
      <c r="W512" s="9"/>
      <c r="X512" s="11"/>
      <c r="Y512" s="9"/>
      <c r="Z512" s="11"/>
      <c r="AA512" s="9"/>
      <c r="AB512" s="9"/>
      <c r="AC512" s="11"/>
      <c r="AD512" s="9"/>
      <c r="AE512" s="9"/>
      <c r="AF512" s="9"/>
      <c r="AG512" s="9"/>
      <c r="AH512" s="9"/>
      <c r="AI512" s="9"/>
      <c r="AJ512" s="9"/>
      <c r="AK512" s="9"/>
      <c r="AL512" s="9"/>
      <c r="AM512" s="11"/>
      <c r="AN512" s="11"/>
      <c r="AO512" s="9"/>
      <c r="AP512" s="9"/>
      <c r="AQ512" s="9"/>
    </row>
    <row r="513" spans="1:43" x14ac:dyDescent="0.25">
      <c r="A513" s="9"/>
      <c r="B513" s="10"/>
      <c r="C513" s="9"/>
      <c r="D513" s="9"/>
      <c r="E513" s="9"/>
      <c r="F513" s="9"/>
      <c r="G513" s="9"/>
      <c r="H513" s="9"/>
      <c r="I513" s="10"/>
      <c r="J513" s="11"/>
      <c r="K513" s="11"/>
      <c r="L513" s="9"/>
      <c r="M513" s="9"/>
      <c r="N513" s="9"/>
      <c r="O513" s="9"/>
      <c r="P513" s="9"/>
      <c r="Q513" s="9"/>
      <c r="R513" s="9"/>
      <c r="S513" s="9"/>
      <c r="T513" s="9"/>
      <c r="U513" s="9"/>
      <c r="V513" s="9"/>
      <c r="W513" s="9"/>
      <c r="X513" s="11"/>
      <c r="Y513" s="9"/>
      <c r="Z513" s="11"/>
      <c r="AA513" s="9"/>
      <c r="AB513" s="9"/>
      <c r="AC513" s="11"/>
      <c r="AD513" s="9"/>
      <c r="AE513" s="9"/>
      <c r="AF513" s="9"/>
      <c r="AG513" s="9"/>
      <c r="AH513" s="9"/>
      <c r="AI513" s="9"/>
      <c r="AJ513" s="9"/>
      <c r="AK513" s="9"/>
      <c r="AL513" s="9"/>
      <c r="AM513" s="11"/>
      <c r="AN513" s="11"/>
      <c r="AO513" s="9"/>
      <c r="AP513" s="9"/>
      <c r="AQ513" s="9"/>
    </row>
    <row r="514" spans="1:43" x14ac:dyDescent="0.25">
      <c r="A514" s="9"/>
      <c r="B514" s="10"/>
      <c r="C514" s="9"/>
      <c r="D514" s="9"/>
      <c r="E514" s="9"/>
      <c r="F514" s="9"/>
      <c r="G514" s="9"/>
      <c r="H514" s="9"/>
      <c r="I514" s="10"/>
      <c r="J514" s="10"/>
      <c r="K514" s="11"/>
      <c r="L514" s="9"/>
      <c r="M514" s="9"/>
      <c r="N514" s="9"/>
      <c r="O514" s="9"/>
      <c r="P514" s="9"/>
      <c r="Q514" s="9"/>
      <c r="R514" s="9"/>
      <c r="S514" s="9"/>
      <c r="T514" s="9"/>
      <c r="U514" s="9"/>
      <c r="V514" s="9"/>
      <c r="W514" s="9"/>
      <c r="X514" s="10"/>
      <c r="Y514" s="9"/>
      <c r="Z514" s="11"/>
      <c r="AA514" s="9"/>
      <c r="AB514" s="9"/>
      <c r="AC514" s="10"/>
      <c r="AD514" s="9"/>
      <c r="AE514" s="9"/>
      <c r="AF514" s="9"/>
      <c r="AG514" s="9"/>
      <c r="AH514" s="9"/>
      <c r="AI514" s="9"/>
      <c r="AJ514" s="9"/>
      <c r="AK514" s="9"/>
      <c r="AL514" s="9"/>
      <c r="AM514" s="11"/>
      <c r="AN514" s="10"/>
      <c r="AO514" s="9"/>
      <c r="AP514" s="9"/>
      <c r="AQ514" s="9"/>
    </row>
    <row r="515" spans="1:43" x14ac:dyDescent="0.25">
      <c r="A515" s="9"/>
      <c r="B515" s="10"/>
      <c r="C515" s="9"/>
      <c r="D515" s="9"/>
      <c r="E515" s="9"/>
      <c r="F515" s="9"/>
      <c r="G515" s="9"/>
      <c r="H515" s="9"/>
      <c r="I515" s="10"/>
      <c r="J515" s="11"/>
      <c r="K515" s="10"/>
      <c r="L515" s="9"/>
      <c r="M515" s="9"/>
      <c r="N515" s="9"/>
      <c r="O515" s="9"/>
      <c r="P515" s="9"/>
      <c r="Q515" s="9"/>
      <c r="R515" s="9"/>
      <c r="S515" s="9"/>
      <c r="T515" s="9"/>
      <c r="U515" s="9"/>
      <c r="V515" s="9"/>
      <c r="W515" s="9"/>
      <c r="X515" s="11"/>
      <c r="Y515" s="9"/>
      <c r="Z515" s="10"/>
      <c r="AA515" s="9"/>
      <c r="AB515" s="9"/>
      <c r="AC515" s="10"/>
      <c r="AD515" s="9"/>
      <c r="AE515" s="9"/>
      <c r="AF515" s="9"/>
      <c r="AG515" s="9"/>
      <c r="AH515" s="9"/>
      <c r="AI515" s="9"/>
      <c r="AJ515" s="9"/>
      <c r="AK515" s="9"/>
      <c r="AL515" s="9"/>
      <c r="AM515" s="10"/>
      <c r="AN515" s="11"/>
      <c r="AO515" s="9"/>
      <c r="AP515" s="9"/>
      <c r="AQ515" s="9"/>
    </row>
    <row r="516" spans="1:43" x14ac:dyDescent="0.25">
      <c r="A516" s="9"/>
      <c r="B516" s="10"/>
      <c r="C516" s="9"/>
      <c r="D516" s="9"/>
      <c r="E516" s="9"/>
      <c r="F516" s="9"/>
      <c r="G516" s="9"/>
      <c r="H516" s="9"/>
      <c r="I516" s="10"/>
      <c r="J516" s="11"/>
      <c r="K516" s="11"/>
      <c r="L516" s="9"/>
      <c r="M516" s="9"/>
      <c r="N516" s="9"/>
      <c r="O516" s="9"/>
      <c r="P516" s="9"/>
      <c r="Q516" s="9"/>
      <c r="R516" s="9"/>
      <c r="S516" s="9"/>
      <c r="T516" s="9"/>
      <c r="U516" s="9"/>
      <c r="V516" s="9"/>
      <c r="W516" s="9"/>
      <c r="X516" s="11"/>
      <c r="Y516" s="9"/>
      <c r="Z516" s="11"/>
      <c r="AA516" s="9"/>
      <c r="AB516" s="9"/>
      <c r="AC516" s="11"/>
      <c r="AD516" s="9"/>
      <c r="AE516" s="9"/>
      <c r="AF516" s="9"/>
      <c r="AG516" s="9"/>
      <c r="AH516" s="9"/>
      <c r="AI516" s="9"/>
      <c r="AJ516" s="9"/>
      <c r="AK516" s="9"/>
      <c r="AL516" s="9"/>
      <c r="AM516" s="11"/>
      <c r="AN516" s="11"/>
      <c r="AO516" s="9"/>
      <c r="AP516" s="9"/>
      <c r="AQ516" s="9"/>
    </row>
    <row r="517" spans="1:43" x14ac:dyDescent="0.25">
      <c r="A517" s="9"/>
      <c r="B517" s="10"/>
      <c r="C517" s="9"/>
      <c r="D517" s="9"/>
      <c r="E517" s="9"/>
      <c r="F517" s="9"/>
      <c r="G517" s="9"/>
      <c r="H517" s="9"/>
      <c r="I517" s="10"/>
      <c r="J517" s="11"/>
      <c r="K517" s="11"/>
      <c r="L517" s="9"/>
      <c r="M517" s="9"/>
      <c r="N517" s="9"/>
      <c r="O517" s="9"/>
      <c r="P517" s="9"/>
      <c r="Q517" s="9"/>
      <c r="R517" s="9"/>
      <c r="S517" s="9"/>
      <c r="T517" s="9"/>
      <c r="U517" s="9"/>
      <c r="V517" s="9"/>
      <c r="W517" s="9"/>
      <c r="X517" s="11"/>
      <c r="Y517" s="9"/>
      <c r="Z517" s="11"/>
      <c r="AA517" s="9"/>
      <c r="AB517" s="9"/>
      <c r="AC517" s="11"/>
      <c r="AD517" s="9"/>
      <c r="AE517" s="9"/>
      <c r="AF517" s="9"/>
      <c r="AG517" s="9"/>
      <c r="AH517" s="9"/>
      <c r="AI517" s="9"/>
      <c r="AJ517" s="9"/>
      <c r="AK517" s="9"/>
      <c r="AL517" s="9"/>
      <c r="AM517" s="11"/>
      <c r="AN517" s="11"/>
      <c r="AO517" s="9"/>
      <c r="AP517" s="9"/>
      <c r="AQ517" s="9"/>
    </row>
    <row r="518" spans="1:43" x14ac:dyDescent="0.25">
      <c r="A518" s="9"/>
      <c r="B518" s="10"/>
      <c r="C518" s="9"/>
      <c r="D518" s="9"/>
      <c r="E518" s="9"/>
      <c r="F518" s="9"/>
      <c r="G518" s="9"/>
      <c r="H518" s="9"/>
      <c r="I518" s="10"/>
      <c r="J518" s="11"/>
      <c r="K518" s="11"/>
      <c r="L518" s="9"/>
      <c r="M518" s="9"/>
      <c r="N518" s="9"/>
      <c r="O518" s="9"/>
      <c r="P518" s="9"/>
      <c r="Q518" s="9"/>
      <c r="R518" s="9"/>
      <c r="S518" s="9"/>
      <c r="T518" s="9"/>
      <c r="U518" s="9"/>
      <c r="V518" s="9"/>
      <c r="W518" s="9"/>
      <c r="X518" s="11"/>
      <c r="Y518" s="9"/>
      <c r="Z518" s="11"/>
      <c r="AA518" s="9"/>
      <c r="AB518" s="9"/>
      <c r="AC518" s="11"/>
      <c r="AD518" s="9"/>
      <c r="AE518" s="9"/>
      <c r="AF518" s="9"/>
      <c r="AG518" s="9"/>
      <c r="AH518" s="9"/>
      <c r="AI518" s="9"/>
      <c r="AJ518" s="9"/>
      <c r="AK518" s="9"/>
      <c r="AL518" s="9"/>
      <c r="AM518" s="11"/>
      <c r="AN518" s="11"/>
      <c r="AO518" s="9"/>
      <c r="AP518" s="9"/>
      <c r="AQ518" s="9"/>
    </row>
    <row r="519" spans="1:43" x14ac:dyDescent="0.25">
      <c r="A519" s="9"/>
      <c r="B519" s="10"/>
      <c r="C519" s="9"/>
      <c r="D519" s="9"/>
      <c r="E519" s="9"/>
      <c r="F519" s="9"/>
      <c r="G519" s="9"/>
      <c r="H519" s="9"/>
      <c r="I519" s="10"/>
      <c r="J519" s="11"/>
      <c r="K519" s="11"/>
      <c r="L519" s="9"/>
      <c r="M519" s="9"/>
      <c r="N519" s="9"/>
      <c r="O519" s="9"/>
      <c r="P519" s="9"/>
      <c r="Q519" s="9"/>
      <c r="R519" s="9"/>
      <c r="S519" s="9"/>
      <c r="T519" s="9"/>
      <c r="U519" s="9"/>
      <c r="V519" s="9"/>
      <c r="W519" s="9"/>
      <c r="X519" s="11"/>
      <c r="Y519" s="9"/>
      <c r="Z519" s="11"/>
      <c r="AA519" s="9"/>
      <c r="AB519" s="9"/>
      <c r="AC519" s="11"/>
      <c r="AD519" s="9"/>
      <c r="AE519" s="9"/>
      <c r="AF519" s="9"/>
      <c r="AG519" s="9"/>
      <c r="AH519" s="9"/>
      <c r="AI519" s="9"/>
      <c r="AJ519" s="9"/>
      <c r="AK519" s="9"/>
      <c r="AL519" s="9"/>
      <c r="AM519" s="11"/>
      <c r="AN519" s="11"/>
      <c r="AO519" s="9"/>
      <c r="AP519" s="9"/>
      <c r="AQ519" s="9"/>
    </row>
    <row r="520" spans="1:43" x14ac:dyDescent="0.25">
      <c r="A520" s="9"/>
      <c r="B520" s="10"/>
      <c r="C520" s="9"/>
      <c r="D520" s="9"/>
      <c r="E520" s="9"/>
      <c r="F520" s="9"/>
      <c r="G520" s="9"/>
      <c r="H520" s="9"/>
      <c r="I520" s="10"/>
      <c r="J520" s="11"/>
      <c r="K520" s="11"/>
      <c r="L520" s="9"/>
      <c r="M520" s="9"/>
      <c r="N520" s="9"/>
      <c r="O520" s="9"/>
      <c r="P520" s="9"/>
      <c r="Q520" s="9"/>
      <c r="R520" s="9"/>
      <c r="S520" s="9"/>
      <c r="T520" s="9"/>
      <c r="U520" s="9"/>
      <c r="V520" s="9"/>
      <c r="W520" s="9"/>
      <c r="X520" s="11"/>
      <c r="Y520" s="9"/>
      <c r="Z520" s="11"/>
      <c r="AA520" s="9"/>
      <c r="AB520" s="9"/>
      <c r="AC520" s="11"/>
      <c r="AD520" s="9"/>
      <c r="AE520" s="9"/>
      <c r="AF520" s="9"/>
      <c r="AG520" s="9"/>
      <c r="AH520" s="9"/>
      <c r="AI520" s="9"/>
      <c r="AJ520" s="9"/>
      <c r="AK520" s="9"/>
      <c r="AL520" s="9"/>
      <c r="AM520" s="11"/>
      <c r="AN520" s="11"/>
      <c r="AO520" s="9"/>
      <c r="AP520" s="9"/>
      <c r="AQ520" s="9"/>
    </row>
    <row r="521" spans="1:43" x14ac:dyDescent="0.25">
      <c r="A521" s="9"/>
      <c r="B521" s="10"/>
      <c r="C521" s="9"/>
      <c r="D521" s="9"/>
      <c r="E521" s="9"/>
      <c r="F521" s="9"/>
      <c r="G521" s="9"/>
      <c r="H521" s="9"/>
      <c r="I521" s="10"/>
      <c r="J521" s="11"/>
      <c r="K521" s="11"/>
      <c r="L521" s="9"/>
      <c r="M521" s="9"/>
      <c r="N521" s="9"/>
      <c r="O521" s="9"/>
      <c r="P521" s="9"/>
      <c r="Q521" s="9"/>
      <c r="R521" s="9"/>
      <c r="S521" s="9"/>
      <c r="T521" s="9"/>
      <c r="U521" s="9"/>
      <c r="V521" s="9"/>
      <c r="W521" s="9"/>
      <c r="X521" s="11"/>
      <c r="Y521" s="9"/>
      <c r="Z521" s="11"/>
      <c r="AA521" s="9"/>
      <c r="AB521" s="9"/>
      <c r="AC521" s="11"/>
      <c r="AD521" s="9"/>
      <c r="AE521" s="9"/>
      <c r="AF521" s="9"/>
      <c r="AG521" s="9"/>
      <c r="AH521" s="9"/>
      <c r="AI521" s="9"/>
      <c r="AJ521" s="9"/>
      <c r="AK521" s="9"/>
      <c r="AL521" s="9"/>
      <c r="AM521" s="11"/>
      <c r="AN521" s="11"/>
      <c r="AO521" s="9"/>
      <c r="AP521" s="9"/>
      <c r="AQ521" s="9"/>
    </row>
    <row r="522" spans="1:43" x14ac:dyDescent="0.25">
      <c r="A522" s="9"/>
      <c r="B522" s="10"/>
      <c r="C522" s="9"/>
      <c r="D522" s="9"/>
      <c r="E522" s="9"/>
      <c r="F522" s="9"/>
      <c r="G522" s="9"/>
      <c r="H522" s="9"/>
      <c r="I522" s="10"/>
      <c r="J522" s="10"/>
      <c r="K522" s="11"/>
      <c r="L522" s="9"/>
      <c r="M522" s="9"/>
      <c r="N522" s="9"/>
      <c r="O522" s="9"/>
      <c r="P522" s="9"/>
      <c r="Q522" s="9"/>
      <c r="R522" s="9"/>
      <c r="S522" s="9"/>
      <c r="T522" s="9"/>
      <c r="U522" s="9"/>
      <c r="V522" s="9"/>
      <c r="W522" s="9"/>
      <c r="X522" s="10"/>
      <c r="Y522" s="9"/>
      <c r="Z522" s="11"/>
      <c r="AA522" s="9"/>
      <c r="AB522" s="9"/>
      <c r="AC522" s="10"/>
      <c r="AD522" s="9"/>
      <c r="AE522" s="9"/>
      <c r="AF522" s="9"/>
      <c r="AG522" s="9"/>
      <c r="AH522" s="9"/>
      <c r="AI522" s="9"/>
      <c r="AJ522" s="9"/>
      <c r="AK522" s="9"/>
      <c r="AL522" s="9"/>
      <c r="AM522" s="11"/>
      <c r="AN522" s="10"/>
      <c r="AO522" s="9"/>
      <c r="AP522" s="9"/>
      <c r="AQ522" s="9"/>
    </row>
    <row r="523" spans="1:43" x14ac:dyDescent="0.25">
      <c r="A523" s="9"/>
      <c r="B523" s="10"/>
      <c r="C523" s="9"/>
      <c r="D523" s="9"/>
      <c r="E523" s="9"/>
      <c r="F523" s="9"/>
      <c r="G523" s="9"/>
      <c r="H523" s="9"/>
      <c r="I523" s="10"/>
      <c r="J523" s="11"/>
      <c r="K523" s="11"/>
      <c r="L523" s="9"/>
      <c r="M523" s="9"/>
      <c r="N523" s="9"/>
      <c r="O523" s="9"/>
      <c r="P523" s="9"/>
      <c r="Q523" s="9"/>
      <c r="R523" s="9"/>
      <c r="S523" s="9"/>
      <c r="T523" s="9"/>
      <c r="U523" s="9"/>
      <c r="V523" s="9"/>
      <c r="W523" s="9"/>
      <c r="X523" s="11"/>
      <c r="Y523" s="9"/>
      <c r="Z523" s="11"/>
      <c r="AA523" s="9"/>
      <c r="AB523" s="9"/>
      <c r="AC523" s="11"/>
      <c r="AD523" s="9"/>
      <c r="AE523" s="9"/>
      <c r="AF523" s="9"/>
      <c r="AG523" s="9"/>
      <c r="AH523" s="9"/>
      <c r="AI523" s="9"/>
      <c r="AJ523" s="9"/>
      <c r="AK523" s="9"/>
      <c r="AL523" s="9"/>
      <c r="AM523" s="11"/>
      <c r="AN523" s="11"/>
      <c r="AO523" s="9"/>
      <c r="AP523" s="9"/>
      <c r="AQ523" s="9"/>
    </row>
    <row r="524" spans="1:43" x14ac:dyDescent="0.25">
      <c r="A524" s="9"/>
      <c r="B524" s="10"/>
      <c r="C524" s="9"/>
      <c r="D524" s="9"/>
      <c r="E524" s="9"/>
      <c r="F524" s="9"/>
      <c r="G524" s="9"/>
      <c r="H524" s="9"/>
      <c r="I524" s="10"/>
      <c r="J524" s="11"/>
      <c r="K524" s="11"/>
      <c r="L524" s="9"/>
      <c r="M524" s="9"/>
      <c r="N524" s="9"/>
      <c r="O524" s="9"/>
      <c r="P524" s="9"/>
      <c r="Q524" s="9"/>
      <c r="R524" s="9"/>
      <c r="S524" s="9"/>
      <c r="T524" s="9"/>
      <c r="U524" s="9"/>
      <c r="V524" s="9"/>
      <c r="W524" s="9"/>
      <c r="X524" s="11"/>
      <c r="Y524" s="9"/>
      <c r="Z524" s="11"/>
      <c r="AA524" s="9"/>
      <c r="AB524" s="9"/>
      <c r="AC524" s="11"/>
      <c r="AD524" s="9"/>
      <c r="AE524" s="9"/>
      <c r="AF524" s="9"/>
      <c r="AG524" s="9"/>
      <c r="AH524" s="9"/>
      <c r="AI524" s="9"/>
      <c r="AJ524" s="9"/>
      <c r="AK524" s="9"/>
      <c r="AL524" s="9"/>
      <c r="AM524" s="11"/>
      <c r="AN524" s="11"/>
      <c r="AO524" s="9"/>
      <c r="AP524" s="9"/>
      <c r="AQ524" s="9"/>
    </row>
    <row r="525" spans="1:43" x14ac:dyDescent="0.25">
      <c r="A525" s="9"/>
      <c r="B525" s="10"/>
      <c r="C525" s="9"/>
      <c r="D525" s="9"/>
      <c r="E525" s="9"/>
      <c r="F525" s="9"/>
      <c r="G525" s="9"/>
      <c r="H525" s="9"/>
      <c r="I525" s="10"/>
      <c r="J525" s="10"/>
      <c r="K525" s="11"/>
      <c r="L525" s="9"/>
      <c r="M525" s="9"/>
      <c r="N525" s="9"/>
      <c r="O525" s="9"/>
      <c r="P525" s="9"/>
      <c r="Q525" s="9"/>
      <c r="R525" s="9"/>
      <c r="S525" s="9"/>
      <c r="T525" s="9"/>
      <c r="U525" s="9"/>
      <c r="V525" s="9"/>
      <c r="W525" s="9"/>
      <c r="X525" s="10"/>
      <c r="Y525" s="9"/>
      <c r="Z525" s="11"/>
      <c r="AA525" s="9"/>
      <c r="AB525" s="9"/>
      <c r="AC525" s="10"/>
      <c r="AD525" s="9"/>
      <c r="AE525" s="9"/>
      <c r="AF525" s="9"/>
      <c r="AG525" s="9"/>
      <c r="AH525" s="9"/>
      <c r="AI525" s="9"/>
      <c r="AJ525" s="9"/>
      <c r="AK525" s="9"/>
      <c r="AL525" s="9"/>
      <c r="AM525" s="11"/>
      <c r="AN525" s="10"/>
      <c r="AO525" s="9"/>
      <c r="AP525" s="9"/>
      <c r="AQ525" s="9"/>
    </row>
    <row r="526" spans="1:43" x14ac:dyDescent="0.25">
      <c r="A526" s="9"/>
      <c r="B526" s="10"/>
      <c r="C526" s="9"/>
      <c r="D526" s="9"/>
      <c r="E526" s="9"/>
      <c r="F526" s="9"/>
      <c r="G526" s="9"/>
      <c r="H526" s="9"/>
      <c r="I526" s="10"/>
      <c r="J526" s="10"/>
      <c r="K526" s="11"/>
      <c r="L526" s="9"/>
      <c r="M526" s="9"/>
      <c r="N526" s="9"/>
      <c r="O526" s="9"/>
      <c r="P526" s="9"/>
      <c r="Q526" s="9"/>
      <c r="R526" s="9"/>
      <c r="S526" s="9"/>
      <c r="T526" s="9"/>
      <c r="U526" s="9"/>
      <c r="V526" s="9"/>
      <c r="W526" s="9"/>
      <c r="X526" s="10"/>
      <c r="Y526" s="9"/>
      <c r="Z526" s="11"/>
      <c r="AA526" s="9"/>
      <c r="AB526" s="9"/>
      <c r="AC526" s="10"/>
      <c r="AD526" s="9"/>
      <c r="AE526" s="9"/>
      <c r="AF526" s="9"/>
      <c r="AG526" s="9"/>
      <c r="AH526" s="9"/>
      <c r="AI526" s="9"/>
      <c r="AJ526" s="9"/>
      <c r="AK526" s="9"/>
      <c r="AL526" s="9"/>
      <c r="AM526" s="11"/>
      <c r="AN526" s="10"/>
      <c r="AO526" s="9"/>
      <c r="AP526" s="9"/>
      <c r="AQ526" s="9"/>
    </row>
    <row r="527" spans="1:43" x14ac:dyDescent="0.25">
      <c r="A527" s="9"/>
      <c r="B527" s="10"/>
      <c r="C527" s="9"/>
      <c r="D527" s="9"/>
      <c r="E527" s="9"/>
      <c r="F527" s="9"/>
      <c r="G527" s="9"/>
      <c r="H527" s="9"/>
      <c r="I527" s="10"/>
      <c r="J527" s="11"/>
      <c r="K527" s="10"/>
      <c r="L527" s="9"/>
      <c r="M527" s="9"/>
      <c r="N527" s="9"/>
      <c r="O527" s="9"/>
      <c r="P527" s="9"/>
      <c r="Q527" s="9"/>
      <c r="R527" s="9"/>
      <c r="S527" s="9"/>
      <c r="T527" s="9"/>
      <c r="U527" s="9"/>
      <c r="V527" s="9"/>
      <c r="W527" s="9"/>
      <c r="X527" s="11"/>
      <c r="Y527" s="9"/>
      <c r="Z527" s="10"/>
      <c r="AA527" s="9"/>
      <c r="AB527" s="9"/>
      <c r="AC527" s="10"/>
      <c r="AD527" s="9"/>
      <c r="AE527" s="9"/>
      <c r="AF527" s="9"/>
      <c r="AG527" s="9"/>
      <c r="AH527" s="9"/>
      <c r="AI527" s="9"/>
      <c r="AJ527" s="9"/>
      <c r="AK527" s="9"/>
      <c r="AL527" s="9"/>
      <c r="AM527" s="10"/>
      <c r="AN527" s="11"/>
      <c r="AO527" s="9"/>
      <c r="AP527" s="9"/>
      <c r="AQ527" s="9"/>
    </row>
    <row r="528" spans="1:43" x14ac:dyDescent="0.25">
      <c r="A528" s="9"/>
      <c r="B528" s="10"/>
      <c r="C528" s="9"/>
      <c r="D528" s="9"/>
      <c r="E528" s="9"/>
      <c r="F528" s="9"/>
      <c r="G528" s="9"/>
      <c r="H528" s="9"/>
      <c r="I528" s="10"/>
      <c r="J528" s="11"/>
      <c r="K528" s="11"/>
      <c r="L528" s="9"/>
      <c r="M528" s="9"/>
      <c r="N528" s="9"/>
      <c r="O528" s="9"/>
      <c r="P528" s="9"/>
      <c r="Q528" s="9"/>
      <c r="R528" s="9"/>
      <c r="S528" s="9"/>
      <c r="T528" s="9"/>
      <c r="U528" s="9"/>
      <c r="V528" s="9"/>
      <c r="W528" s="9"/>
      <c r="X528" s="11"/>
      <c r="Y528" s="9"/>
      <c r="Z528" s="11"/>
      <c r="AA528" s="9"/>
      <c r="AB528" s="9"/>
      <c r="AC528" s="11"/>
      <c r="AD528" s="9"/>
      <c r="AE528" s="9"/>
      <c r="AF528" s="9"/>
      <c r="AG528" s="9"/>
      <c r="AH528" s="9"/>
      <c r="AI528" s="9"/>
      <c r="AJ528" s="9"/>
      <c r="AK528" s="9"/>
      <c r="AL528" s="9"/>
      <c r="AM528" s="11"/>
      <c r="AN528" s="11"/>
      <c r="AO528" s="9"/>
      <c r="AP528" s="9"/>
      <c r="AQ528" s="9"/>
    </row>
    <row r="529" spans="1:43" x14ac:dyDescent="0.25">
      <c r="A529" s="9"/>
      <c r="B529" s="10"/>
      <c r="C529" s="9"/>
      <c r="D529" s="9"/>
      <c r="E529" s="9"/>
      <c r="F529" s="9"/>
      <c r="G529" s="9"/>
      <c r="H529" s="9"/>
      <c r="I529" s="10"/>
      <c r="J529" s="11"/>
      <c r="K529" s="11"/>
      <c r="L529" s="9"/>
      <c r="M529" s="9"/>
      <c r="N529" s="9"/>
      <c r="O529" s="9"/>
      <c r="P529" s="9"/>
      <c r="Q529" s="9"/>
      <c r="R529" s="9"/>
      <c r="S529" s="9"/>
      <c r="T529" s="9"/>
      <c r="U529" s="9"/>
      <c r="V529" s="9"/>
      <c r="W529" s="9"/>
      <c r="X529" s="11"/>
      <c r="Y529" s="9"/>
      <c r="Z529" s="11"/>
      <c r="AA529" s="9"/>
      <c r="AB529" s="9"/>
      <c r="AC529" s="11"/>
      <c r="AD529" s="9"/>
      <c r="AE529" s="9"/>
      <c r="AF529" s="9"/>
      <c r="AG529" s="9"/>
      <c r="AH529" s="9"/>
      <c r="AI529" s="9"/>
      <c r="AJ529" s="9"/>
      <c r="AK529" s="9"/>
      <c r="AL529" s="9"/>
      <c r="AM529" s="11"/>
      <c r="AN529" s="11"/>
      <c r="AO529" s="9"/>
      <c r="AP529" s="9"/>
      <c r="AQ529" s="9"/>
    </row>
    <row r="530" spans="1:43" x14ac:dyDescent="0.25">
      <c r="A530" s="9"/>
      <c r="B530" s="10"/>
      <c r="C530" s="9"/>
      <c r="D530" s="9"/>
      <c r="E530" s="9"/>
      <c r="F530" s="9"/>
      <c r="G530" s="9"/>
      <c r="H530" s="9"/>
      <c r="I530" s="10"/>
      <c r="J530" s="11"/>
      <c r="K530" s="11"/>
      <c r="L530" s="9"/>
      <c r="M530" s="9"/>
      <c r="N530" s="9"/>
      <c r="O530" s="9"/>
      <c r="P530" s="9"/>
      <c r="Q530" s="9"/>
      <c r="R530" s="9"/>
      <c r="S530" s="9"/>
      <c r="T530" s="9"/>
      <c r="U530" s="9"/>
      <c r="V530" s="9"/>
      <c r="W530" s="9"/>
      <c r="X530" s="11"/>
      <c r="Y530" s="9"/>
      <c r="Z530" s="11"/>
      <c r="AA530" s="9"/>
      <c r="AB530" s="9"/>
      <c r="AC530" s="11"/>
      <c r="AD530" s="9"/>
      <c r="AE530" s="9"/>
      <c r="AF530" s="9"/>
      <c r="AG530" s="9"/>
      <c r="AH530" s="9"/>
      <c r="AI530" s="9"/>
      <c r="AJ530" s="9"/>
      <c r="AK530" s="9"/>
      <c r="AL530" s="9"/>
      <c r="AM530" s="11"/>
      <c r="AN530" s="11"/>
      <c r="AO530" s="9"/>
      <c r="AP530" s="9"/>
      <c r="AQ530" s="9"/>
    </row>
    <row r="531" spans="1:43" x14ac:dyDescent="0.25">
      <c r="A531" s="9"/>
      <c r="B531" s="10"/>
      <c r="C531" s="9"/>
      <c r="D531" s="9"/>
      <c r="E531" s="9"/>
      <c r="F531" s="9"/>
      <c r="G531" s="9"/>
      <c r="H531" s="9"/>
      <c r="I531" s="10"/>
      <c r="J531" s="11"/>
      <c r="K531" s="11"/>
      <c r="L531" s="9"/>
      <c r="M531" s="9"/>
      <c r="N531" s="9"/>
      <c r="O531" s="9"/>
      <c r="P531" s="9"/>
      <c r="Q531" s="9"/>
      <c r="R531" s="9"/>
      <c r="S531" s="9"/>
      <c r="T531" s="9"/>
      <c r="U531" s="9"/>
      <c r="V531" s="9"/>
      <c r="W531" s="9"/>
      <c r="X531" s="11"/>
      <c r="Y531" s="9"/>
      <c r="Z531" s="11"/>
      <c r="AA531" s="9"/>
      <c r="AB531" s="9"/>
      <c r="AC531" s="11"/>
      <c r="AD531" s="9"/>
      <c r="AE531" s="9"/>
      <c r="AF531" s="9"/>
      <c r="AG531" s="9"/>
      <c r="AH531" s="9"/>
      <c r="AI531" s="9"/>
      <c r="AJ531" s="9"/>
      <c r="AK531" s="9"/>
      <c r="AL531" s="9"/>
      <c r="AM531" s="11"/>
      <c r="AN531" s="11"/>
      <c r="AO531" s="9"/>
      <c r="AP531" s="9"/>
      <c r="AQ531" s="9"/>
    </row>
    <row r="532" spans="1:43" x14ac:dyDescent="0.25">
      <c r="A532" s="9"/>
      <c r="B532" s="10"/>
      <c r="C532" s="9"/>
      <c r="D532" s="9"/>
      <c r="E532" s="9"/>
      <c r="F532" s="9"/>
      <c r="G532" s="9"/>
      <c r="H532" s="9"/>
      <c r="I532" s="10"/>
      <c r="J532" s="11"/>
      <c r="K532" s="11"/>
      <c r="L532" s="9"/>
      <c r="M532" s="9"/>
      <c r="N532" s="9"/>
      <c r="O532" s="9"/>
      <c r="P532" s="9"/>
      <c r="Q532" s="9"/>
      <c r="R532" s="9"/>
      <c r="S532" s="9"/>
      <c r="T532" s="9"/>
      <c r="U532" s="9"/>
      <c r="V532" s="9"/>
      <c r="W532" s="9"/>
      <c r="X532" s="11"/>
      <c r="Y532" s="9"/>
      <c r="Z532" s="11"/>
      <c r="AA532" s="9"/>
      <c r="AB532" s="9"/>
      <c r="AC532" s="11"/>
      <c r="AD532" s="9"/>
      <c r="AE532" s="9"/>
      <c r="AF532" s="9"/>
      <c r="AG532" s="9"/>
      <c r="AH532" s="9"/>
      <c r="AI532" s="9"/>
      <c r="AJ532" s="9"/>
      <c r="AK532" s="9"/>
      <c r="AL532" s="9"/>
      <c r="AM532" s="11"/>
      <c r="AN532" s="11"/>
      <c r="AO532" s="9"/>
      <c r="AP532" s="9"/>
      <c r="AQ532" s="9"/>
    </row>
    <row r="533" spans="1:43" x14ac:dyDescent="0.25">
      <c r="A533" s="9"/>
      <c r="B533" s="10"/>
      <c r="C533" s="9"/>
      <c r="D533" s="9"/>
      <c r="E533" s="9"/>
      <c r="F533" s="9"/>
      <c r="G533" s="9"/>
      <c r="H533" s="9"/>
      <c r="I533" s="10"/>
      <c r="J533" s="11"/>
      <c r="K533" s="10"/>
      <c r="L533" s="9"/>
      <c r="M533" s="9"/>
      <c r="N533" s="9"/>
      <c r="O533" s="9"/>
      <c r="P533" s="9"/>
      <c r="Q533" s="9"/>
      <c r="R533" s="9"/>
      <c r="S533" s="9"/>
      <c r="T533" s="9"/>
      <c r="U533" s="9"/>
      <c r="V533" s="9"/>
      <c r="W533" s="9"/>
      <c r="X533" s="11"/>
      <c r="Y533" s="9"/>
      <c r="Z533" s="10"/>
      <c r="AA533" s="9"/>
      <c r="AB533" s="9"/>
      <c r="AC533" s="10"/>
      <c r="AD533" s="9"/>
      <c r="AE533" s="9"/>
      <c r="AF533" s="9"/>
      <c r="AG533" s="9"/>
      <c r="AH533" s="9"/>
      <c r="AI533" s="9"/>
      <c r="AJ533" s="9"/>
      <c r="AK533" s="9"/>
      <c r="AL533" s="9"/>
      <c r="AM533" s="11"/>
      <c r="AN533" s="11"/>
      <c r="AO533" s="9"/>
      <c r="AP533" s="9"/>
      <c r="AQ533" s="9"/>
    </row>
    <row r="534" spans="1:43" x14ac:dyDescent="0.25">
      <c r="A534" s="9"/>
      <c r="B534" s="10"/>
      <c r="C534" s="9"/>
      <c r="D534" s="9"/>
      <c r="E534" s="9"/>
      <c r="F534" s="9"/>
      <c r="G534" s="9"/>
      <c r="H534" s="9"/>
      <c r="I534" s="10"/>
      <c r="J534" s="11"/>
      <c r="K534" s="11"/>
      <c r="L534" s="9"/>
      <c r="M534" s="9"/>
      <c r="N534" s="9"/>
      <c r="O534" s="9"/>
      <c r="P534" s="9"/>
      <c r="Q534" s="9"/>
      <c r="R534" s="9"/>
      <c r="S534" s="9"/>
      <c r="T534" s="9"/>
      <c r="U534" s="9"/>
      <c r="V534" s="9"/>
      <c r="W534" s="9"/>
      <c r="X534" s="11"/>
      <c r="Y534" s="9"/>
      <c r="Z534" s="11"/>
      <c r="AA534" s="9"/>
      <c r="AB534" s="9"/>
      <c r="AC534" s="11"/>
      <c r="AD534" s="9"/>
      <c r="AE534" s="9"/>
      <c r="AF534" s="9"/>
      <c r="AG534" s="9"/>
      <c r="AH534" s="9"/>
      <c r="AI534" s="9"/>
      <c r="AJ534" s="9"/>
      <c r="AK534" s="9"/>
      <c r="AL534" s="9"/>
      <c r="AM534" s="11"/>
      <c r="AN534" s="11"/>
      <c r="AO534" s="9"/>
      <c r="AP534" s="9"/>
      <c r="AQ534" s="9"/>
    </row>
    <row r="535" spans="1:43" x14ac:dyDescent="0.25">
      <c r="A535" s="9"/>
      <c r="B535" s="10"/>
      <c r="C535" s="9"/>
      <c r="D535" s="9"/>
      <c r="E535" s="9"/>
      <c r="F535" s="9"/>
      <c r="G535" s="9"/>
      <c r="H535" s="9"/>
      <c r="I535" s="10"/>
      <c r="J535" s="11"/>
      <c r="K535" s="11"/>
      <c r="L535" s="9"/>
      <c r="M535" s="9"/>
      <c r="N535" s="9"/>
      <c r="O535" s="9"/>
      <c r="P535" s="9"/>
      <c r="Q535" s="9"/>
      <c r="R535" s="9"/>
      <c r="S535" s="9"/>
      <c r="T535" s="9"/>
      <c r="U535" s="9"/>
      <c r="V535" s="9"/>
      <c r="W535" s="9"/>
      <c r="X535" s="11"/>
      <c r="Y535" s="9"/>
      <c r="Z535" s="11"/>
      <c r="AA535" s="9"/>
      <c r="AB535" s="9"/>
      <c r="AC535" s="11"/>
      <c r="AD535" s="9"/>
      <c r="AE535" s="9"/>
      <c r="AF535" s="9"/>
      <c r="AG535" s="9"/>
      <c r="AH535" s="9"/>
      <c r="AI535" s="9"/>
      <c r="AJ535" s="9"/>
      <c r="AK535" s="9"/>
      <c r="AL535" s="9"/>
      <c r="AM535" s="11"/>
      <c r="AN535" s="11"/>
      <c r="AO535" s="9"/>
      <c r="AP535" s="9"/>
      <c r="AQ535" s="9"/>
    </row>
    <row r="536" spans="1:43" x14ac:dyDescent="0.25">
      <c r="A536" s="9"/>
      <c r="B536" s="10"/>
      <c r="C536" s="9"/>
      <c r="D536" s="9"/>
      <c r="E536" s="9"/>
      <c r="F536" s="9"/>
      <c r="G536" s="9"/>
      <c r="H536" s="9"/>
      <c r="I536" s="10"/>
      <c r="J536" s="11"/>
      <c r="K536" s="10"/>
      <c r="L536" s="9"/>
      <c r="M536" s="9"/>
      <c r="N536" s="9"/>
      <c r="O536" s="9"/>
      <c r="P536" s="9"/>
      <c r="Q536" s="9"/>
      <c r="R536" s="9"/>
      <c r="S536" s="9"/>
      <c r="T536" s="9"/>
      <c r="U536" s="9"/>
      <c r="V536" s="9"/>
      <c r="W536" s="9"/>
      <c r="X536" s="11"/>
      <c r="Y536" s="9"/>
      <c r="Z536" s="10"/>
      <c r="AA536" s="9"/>
      <c r="AB536" s="9"/>
      <c r="AC536" s="10"/>
      <c r="AD536" s="9"/>
      <c r="AE536" s="9"/>
      <c r="AF536" s="9"/>
      <c r="AG536" s="9"/>
      <c r="AH536" s="9"/>
      <c r="AI536" s="9"/>
      <c r="AJ536" s="9"/>
      <c r="AK536" s="9"/>
      <c r="AL536" s="9"/>
      <c r="AM536" s="11"/>
      <c r="AN536" s="11"/>
      <c r="AO536" s="9"/>
      <c r="AP536" s="9"/>
      <c r="AQ536" s="9"/>
    </row>
    <row r="537" spans="1:43" x14ac:dyDescent="0.25">
      <c r="A537" s="9"/>
      <c r="B537" s="10"/>
      <c r="C537" s="9"/>
      <c r="D537" s="9"/>
      <c r="E537" s="9"/>
      <c r="F537" s="9"/>
      <c r="G537" s="9"/>
      <c r="H537" s="9"/>
      <c r="I537" s="10"/>
      <c r="J537" s="11"/>
      <c r="K537" s="11"/>
      <c r="L537" s="9"/>
      <c r="M537" s="9"/>
      <c r="N537" s="9"/>
      <c r="O537" s="9"/>
      <c r="P537" s="9"/>
      <c r="Q537" s="9"/>
      <c r="R537" s="9"/>
      <c r="S537" s="9"/>
      <c r="T537" s="9"/>
      <c r="U537" s="9"/>
      <c r="V537" s="9"/>
      <c r="W537" s="9"/>
      <c r="X537" s="11"/>
      <c r="Y537" s="9"/>
      <c r="Z537" s="11"/>
      <c r="AA537" s="9"/>
      <c r="AB537" s="9"/>
      <c r="AC537" s="11"/>
      <c r="AD537" s="9"/>
      <c r="AE537" s="9"/>
      <c r="AF537" s="9"/>
      <c r="AG537" s="9"/>
      <c r="AH537" s="9"/>
      <c r="AI537" s="9"/>
      <c r="AJ537" s="9"/>
      <c r="AK537" s="9"/>
      <c r="AL537" s="9"/>
      <c r="AM537" s="11"/>
      <c r="AN537" s="11"/>
      <c r="AO537" s="9"/>
      <c r="AP537" s="9"/>
      <c r="AQ537" s="9"/>
    </row>
    <row r="538" spans="1:43" x14ac:dyDescent="0.25">
      <c r="A538" s="9"/>
      <c r="B538" s="10"/>
      <c r="C538" s="9"/>
      <c r="D538" s="9"/>
      <c r="E538" s="9"/>
      <c r="F538" s="9"/>
      <c r="G538" s="9"/>
      <c r="H538" s="9"/>
      <c r="I538" s="10"/>
      <c r="J538" s="11"/>
      <c r="K538" s="11"/>
      <c r="L538" s="9"/>
      <c r="M538" s="9"/>
      <c r="N538" s="9"/>
      <c r="O538" s="9"/>
      <c r="P538" s="9"/>
      <c r="Q538" s="9"/>
      <c r="R538" s="9"/>
      <c r="S538" s="9"/>
      <c r="T538" s="9"/>
      <c r="U538" s="9"/>
      <c r="V538" s="9"/>
      <c r="W538" s="9"/>
      <c r="X538" s="11"/>
      <c r="Y538" s="9"/>
      <c r="Z538" s="11"/>
      <c r="AA538" s="9"/>
      <c r="AB538" s="9"/>
      <c r="AC538" s="11"/>
      <c r="AD538" s="9"/>
      <c r="AE538" s="9"/>
      <c r="AF538" s="9"/>
      <c r="AG538" s="9"/>
      <c r="AH538" s="9"/>
      <c r="AI538" s="9"/>
      <c r="AJ538" s="9"/>
      <c r="AK538" s="9"/>
      <c r="AL538" s="9"/>
      <c r="AM538" s="11"/>
      <c r="AN538" s="11"/>
      <c r="AO538" s="9"/>
      <c r="AP538" s="9"/>
      <c r="AQ538" s="9"/>
    </row>
    <row r="539" spans="1:43" x14ac:dyDescent="0.25">
      <c r="A539" s="9"/>
      <c r="B539" s="10"/>
      <c r="C539" s="9"/>
      <c r="D539" s="9"/>
      <c r="E539" s="9"/>
      <c r="F539" s="9"/>
      <c r="G539" s="9"/>
      <c r="H539" s="9"/>
      <c r="I539" s="10"/>
      <c r="J539" s="11"/>
      <c r="K539" s="11"/>
      <c r="L539" s="9"/>
      <c r="M539" s="9"/>
      <c r="N539" s="9"/>
      <c r="O539" s="9"/>
      <c r="P539" s="9"/>
      <c r="Q539" s="9"/>
      <c r="R539" s="9"/>
      <c r="S539" s="9"/>
      <c r="T539" s="9"/>
      <c r="U539" s="9"/>
      <c r="V539" s="9"/>
      <c r="W539" s="9"/>
      <c r="X539" s="11"/>
      <c r="Y539" s="9"/>
      <c r="Z539" s="11"/>
      <c r="AA539" s="9"/>
      <c r="AB539" s="9"/>
      <c r="AC539" s="11"/>
      <c r="AD539" s="9"/>
      <c r="AE539" s="9"/>
      <c r="AF539" s="9"/>
      <c r="AG539" s="9"/>
      <c r="AH539" s="9"/>
      <c r="AI539" s="9"/>
      <c r="AJ539" s="9"/>
      <c r="AK539" s="9"/>
      <c r="AL539" s="9"/>
      <c r="AM539" s="11"/>
      <c r="AN539" s="11"/>
      <c r="AO539" s="9"/>
      <c r="AP539" s="9"/>
      <c r="AQ539" s="9"/>
    </row>
    <row r="540" spans="1:43" x14ac:dyDescent="0.25">
      <c r="A540" s="9"/>
      <c r="B540" s="10"/>
      <c r="C540" s="9"/>
      <c r="D540" s="9"/>
      <c r="E540" s="9"/>
      <c r="F540" s="9"/>
      <c r="G540" s="9"/>
      <c r="H540" s="9"/>
      <c r="I540" s="10"/>
      <c r="J540" s="11"/>
      <c r="K540" s="11"/>
      <c r="L540" s="9"/>
      <c r="M540" s="9"/>
      <c r="N540" s="9"/>
      <c r="O540" s="9"/>
      <c r="P540" s="9"/>
      <c r="Q540" s="9"/>
      <c r="R540" s="9"/>
      <c r="S540" s="9"/>
      <c r="T540" s="9"/>
      <c r="U540" s="9"/>
      <c r="V540" s="9"/>
      <c r="W540" s="9"/>
      <c r="X540" s="11"/>
      <c r="Y540" s="9"/>
      <c r="Z540" s="11"/>
      <c r="AA540" s="9"/>
      <c r="AB540" s="9"/>
      <c r="AC540" s="11"/>
      <c r="AD540" s="9"/>
      <c r="AE540" s="9"/>
      <c r="AF540" s="9"/>
      <c r="AG540" s="9"/>
      <c r="AH540" s="9"/>
      <c r="AI540" s="9"/>
      <c r="AJ540" s="9"/>
      <c r="AK540" s="9"/>
      <c r="AL540" s="9"/>
      <c r="AM540" s="11"/>
      <c r="AN540" s="11"/>
      <c r="AO540" s="9"/>
      <c r="AP540" s="9"/>
      <c r="AQ540" s="9"/>
    </row>
    <row r="541" spans="1:43" x14ac:dyDescent="0.25">
      <c r="A541" s="9"/>
      <c r="B541" s="10"/>
      <c r="C541" s="9"/>
      <c r="D541" s="9"/>
      <c r="E541" s="9"/>
      <c r="F541" s="9"/>
      <c r="G541" s="9"/>
      <c r="H541" s="9"/>
      <c r="I541" s="10"/>
      <c r="J541" s="10"/>
      <c r="K541" s="11"/>
      <c r="L541" s="9"/>
      <c r="M541" s="9"/>
      <c r="N541" s="9"/>
      <c r="O541" s="9"/>
      <c r="P541" s="9"/>
      <c r="Q541" s="9"/>
      <c r="R541" s="9"/>
      <c r="S541" s="9"/>
      <c r="T541" s="9"/>
      <c r="U541" s="9"/>
      <c r="V541" s="9"/>
      <c r="W541" s="9"/>
      <c r="X541" s="10"/>
      <c r="Y541" s="9"/>
      <c r="Z541" s="11"/>
      <c r="AA541" s="9"/>
      <c r="AB541" s="9"/>
      <c r="AC541" s="10"/>
      <c r="AD541" s="9"/>
      <c r="AE541" s="9"/>
      <c r="AF541" s="9"/>
      <c r="AG541" s="9"/>
      <c r="AH541" s="9"/>
      <c r="AI541" s="9"/>
      <c r="AJ541" s="9"/>
      <c r="AK541" s="9"/>
      <c r="AL541" s="9"/>
      <c r="AM541" s="11"/>
      <c r="AN541" s="11"/>
      <c r="AO541" s="9"/>
      <c r="AP541" s="9"/>
      <c r="AQ541" s="9"/>
    </row>
    <row r="542" spans="1:43" x14ac:dyDescent="0.25">
      <c r="A542" s="9"/>
      <c r="B542" s="10"/>
      <c r="C542" s="9"/>
      <c r="D542" s="9"/>
      <c r="E542" s="9"/>
      <c r="F542" s="9"/>
      <c r="G542" s="9"/>
      <c r="H542" s="9"/>
      <c r="I542" s="10"/>
      <c r="J542" s="11"/>
      <c r="K542" s="11"/>
      <c r="L542" s="9"/>
      <c r="M542" s="9"/>
      <c r="N542" s="9"/>
      <c r="O542" s="9"/>
      <c r="P542" s="9"/>
      <c r="Q542" s="9"/>
      <c r="R542" s="9"/>
      <c r="S542" s="9"/>
      <c r="T542" s="9"/>
      <c r="U542" s="9"/>
      <c r="V542" s="9"/>
      <c r="W542" s="9"/>
      <c r="X542" s="11"/>
      <c r="Y542" s="9"/>
      <c r="Z542" s="11"/>
      <c r="AA542" s="9"/>
      <c r="AB542" s="9"/>
      <c r="AC542" s="11"/>
      <c r="AD542" s="9"/>
      <c r="AE542" s="9"/>
      <c r="AF542" s="9"/>
      <c r="AG542" s="9"/>
      <c r="AH542" s="9"/>
      <c r="AI542" s="9"/>
      <c r="AJ542" s="9"/>
      <c r="AK542" s="9"/>
      <c r="AL542" s="9"/>
      <c r="AM542" s="11"/>
      <c r="AN542" s="11"/>
      <c r="AO542" s="9"/>
      <c r="AP542" s="9"/>
      <c r="AQ542" s="9"/>
    </row>
    <row r="543" spans="1:43" x14ac:dyDescent="0.25">
      <c r="A543" s="9"/>
      <c r="B543" s="10"/>
      <c r="C543" s="9"/>
      <c r="D543" s="9"/>
      <c r="E543" s="9"/>
      <c r="F543" s="9"/>
      <c r="G543" s="9"/>
      <c r="H543" s="9"/>
      <c r="I543" s="10"/>
      <c r="J543" s="11"/>
      <c r="K543" s="11"/>
      <c r="L543" s="9"/>
      <c r="M543" s="9"/>
      <c r="N543" s="9"/>
      <c r="O543" s="9"/>
      <c r="P543" s="9"/>
      <c r="Q543" s="9"/>
      <c r="R543" s="9"/>
      <c r="S543" s="9"/>
      <c r="T543" s="9"/>
      <c r="U543" s="9"/>
      <c r="V543" s="9"/>
      <c r="W543" s="9"/>
      <c r="X543" s="11"/>
      <c r="Y543" s="9"/>
      <c r="Z543" s="11"/>
      <c r="AA543" s="9"/>
      <c r="AB543" s="9"/>
      <c r="AC543" s="11"/>
      <c r="AD543" s="9"/>
      <c r="AE543" s="9"/>
      <c r="AF543" s="9"/>
      <c r="AG543" s="9"/>
      <c r="AH543" s="9"/>
      <c r="AI543" s="9"/>
      <c r="AJ543" s="9"/>
      <c r="AK543" s="9"/>
      <c r="AL543" s="9"/>
      <c r="AM543" s="11"/>
      <c r="AN543" s="11"/>
      <c r="AO543" s="9"/>
      <c r="AP543" s="9"/>
      <c r="AQ543" s="9"/>
    </row>
    <row r="544" spans="1:43" x14ac:dyDescent="0.25">
      <c r="A544" s="9"/>
      <c r="B544" s="10"/>
      <c r="C544" s="9"/>
      <c r="D544" s="9"/>
      <c r="E544" s="9"/>
      <c r="F544" s="9"/>
      <c r="G544" s="9"/>
      <c r="H544" s="9"/>
      <c r="I544" s="10"/>
      <c r="J544" s="11"/>
      <c r="K544" s="11"/>
      <c r="L544" s="9"/>
      <c r="M544" s="9"/>
      <c r="N544" s="9"/>
      <c r="O544" s="9"/>
      <c r="P544" s="9"/>
      <c r="Q544" s="9"/>
      <c r="R544" s="9"/>
      <c r="S544" s="9"/>
      <c r="T544" s="9"/>
      <c r="U544" s="9"/>
      <c r="V544" s="9"/>
      <c r="W544" s="9"/>
      <c r="X544" s="11"/>
      <c r="Y544" s="9"/>
      <c r="Z544" s="11"/>
      <c r="AA544" s="9"/>
      <c r="AB544" s="9"/>
      <c r="AC544" s="11"/>
      <c r="AD544" s="9"/>
      <c r="AE544" s="9"/>
      <c r="AF544" s="9"/>
      <c r="AG544" s="9"/>
      <c r="AH544" s="9"/>
      <c r="AI544" s="9"/>
      <c r="AJ544" s="9"/>
      <c r="AK544" s="9"/>
      <c r="AL544" s="9"/>
      <c r="AM544" s="11"/>
      <c r="AN544" s="11"/>
      <c r="AO544" s="9"/>
      <c r="AP544" s="9"/>
      <c r="AQ544" s="9"/>
    </row>
    <row r="545" spans="1:43" x14ac:dyDescent="0.25">
      <c r="A545" s="9"/>
      <c r="B545" s="10"/>
      <c r="C545" s="9"/>
      <c r="D545" s="9"/>
      <c r="E545" s="9"/>
      <c r="F545" s="9"/>
      <c r="G545" s="9"/>
      <c r="H545" s="9"/>
      <c r="I545" s="10"/>
      <c r="J545" s="11"/>
      <c r="K545" s="10"/>
      <c r="L545" s="9"/>
      <c r="M545" s="9"/>
      <c r="N545" s="9"/>
      <c r="O545" s="9"/>
      <c r="P545" s="9"/>
      <c r="Q545" s="9"/>
      <c r="R545" s="9"/>
      <c r="S545" s="9"/>
      <c r="T545" s="9"/>
      <c r="U545" s="9"/>
      <c r="V545" s="9"/>
      <c r="W545" s="9"/>
      <c r="X545" s="11"/>
      <c r="Y545" s="9"/>
      <c r="Z545" s="10"/>
      <c r="AA545" s="9"/>
      <c r="AB545" s="9"/>
      <c r="AC545" s="10"/>
      <c r="AD545" s="9"/>
      <c r="AE545" s="9"/>
      <c r="AF545" s="9"/>
      <c r="AG545" s="9"/>
      <c r="AH545" s="9"/>
      <c r="AI545" s="9"/>
      <c r="AJ545" s="9"/>
      <c r="AK545" s="9"/>
      <c r="AL545" s="9"/>
      <c r="AM545" s="10"/>
      <c r="AN545" s="11"/>
      <c r="AO545" s="9"/>
      <c r="AP545" s="9"/>
      <c r="AQ545" s="9"/>
    </row>
    <row r="546" spans="1:43" x14ac:dyDescent="0.25">
      <c r="A546" s="9"/>
      <c r="B546" s="10"/>
      <c r="C546" s="9"/>
      <c r="D546" s="9"/>
      <c r="E546" s="9"/>
      <c r="F546" s="9"/>
      <c r="G546" s="9"/>
      <c r="H546" s="9"/>
      <c r="I546" s="10"/>
      <c r="J546" s="11"/>
      <c r="K546" s="11"/>
      <c r="L546" s="9"/>
      <c r="M546" s="9"/>
      <c r="N546" s="9"/>
      <c r="O546" s="9"/>
      <c r="P546" s="9"/>
      <c r="Q546" s="9"/>
      <c r="R546" s="9"/>
      <c r="S546" s="9"/>
      <c r="T546" s="9"/>
      <c r="U546" s="9"/>
      <c r="V546" s="9"/>
      <c r="W546" s="9"/>
      <c r="X546" s="11"/>
      <c r="Y546" s="9"/>
      <c r="Z546" s="11"/>
      <c r="AA546" s="9"/>
      <c r="AB546" s="9"/>
      <c r="AC546" s="11"/>
      <c r="AD546" s="9"/>
      <c r="AE546" s="9"/>
      <c r="AF546" s="9"/>
      <c r="AG546" s="9"/>
      <c r="AH546" s="9"/>
      <c r="AI546" s="9"/>
      <c r="AJ546" s="9"/>
      <c r="AK546" s="9"/>
      <c r="AL546" s="9"/>
      <c r="AM546" s="11"/>
      <c r="AN546" s="11"/>
      <c r="AO546" s="9"/>
      <c r="AP546" s="9"/>
      <c r="AQ546" s="9"/>
    </row>
    <row r="547" spans="1:43" x14ac:dyDescent="0.25">
      <c r="A547" s="9"/>
      <c r="B547" s="10"/>
      <c r="C547" s="9"/>
      <c r="D547" s="9"/>
      <c r="E547" s="9"/>
      <c r="F547" s="9"/>
      <c r="G547" s="9"/>
      <c r="H547" s="9"/>
      <c r="I547" s="10"/>
      <c r="J547" s="11"/>
      <c r="K547" s="10"/>
      <c r="L547" s="9"/>
      <c r="M547" s="9"/>
      <c r="N547" s="9"/>
      <c r="O547" s="9"/>
      <c r="P547" s="9"/>
      <c r="Q547" s="9"/>
      <c r="R547" s="9"/>
      <c r="S547" s="9"/>
      <c r="T547" s="9"/>
      <c r="U547" s="9"/>
      <c r="V547" s="9"/>
      <c r="W547" s="9"/>
      <c r="X547" s="11"/>
      <c r="Y547" s="9"/>
      <c r="Z547" s="10"/>
      <c r="AA547" s="9"/>
      <c r="AB547" s="9"/>
      <c r="AC547" s="10"/>
      <c r="AD547" s="9"/>
      <c r="AE547" s="9"/>
      <c r="AF547" s="9"/>
      <c r="AG547" s="9"/>
      <c r="AH547" s="9"/>
      <c r="AI547" s="9"/>
      <c r="AJ547" s="9"/>
      <c r="AK547" s="9"/>
      <c r="AL547" s="9"/>
      <c r="AM547" s="10"/>
      <c r="AN547" s="11"/>
      <c r="AO547" s="9"/>
      <c r="AP547" s="9"/>
      <c r="AQ547" s="9"/>
    </row>
    <row r="548" spans="1:43" x14ac:dyDescent="0.25">
      <c r="A548" s="9"/>
      <c r="B548" s="10"/>
      <c r="C548" s="9"/>
      <c r="D548" s="9"/>
      <c r="E548" s="9"/>
      <c r="F548" s="9"/>
      <c r="G548" s="9"/>
      <c r="H548" s="9"/>
      <c r="I548" s="10"/>
      <c r="J548" s="11"/>
      <c r="K548" s="10"/>
      <c r="L548" s="9"/>
      <c r="M548" s="9"/>
      <c r="N548" s="9"/>
      <c r="O548" s="9"/>
      <c r="P548" s="9"/>
      <c r="Q548" s="9"/>
      <c r="R548" s="9"/>
      <c r="S548" s="9"/>
      <c r="T548" s="9"/>
      <c r="U548" s="9"/>
      <c r="V548" s="9"/>
      <c r="W548" s="9"/>
      <c r="X548" s="11"/>
      <c r="Y548" s="9"/>
      <c r="Z548" s="10"/>
      <c r="AA548" s="9"/>
      <c r="AB548" s="9"/>
      <c r="AC548" s="10"/>
      <c r="AD548" s="9"/>
      <c r="AE548" s="9"/>
      <c r="AF548" s="9"/>
      <c r="AG548" s="9"/>
      <c r="AH548" s="9"/>
      <c r="AI548" s="9"/>
      <c r="AJ548" s="9"/>
      <c r="AK548" s="9"/>
      <c r="AL548" s="9"/>
      <c r="AM548" s="11"/>
      <c r="AN548" s="11"/>
      <c r="AO548" s="9"/>
      <c r="AP548" s="9"/>
      <c r="AQ548" s="9"/>
    </row>
    <row r="549" spans="1:43" x14ac:dyDescent="0.25">
      <c r="A549" s="9"/>
      <c r="B549" s="10"/>
      <c r="C549" s="9"/>
      <c r="D549" s="9"/>
      <c r="E549" s="9"/>
      <c r="F549" s="9"/>
      <c r="G549" s="9"/>
      <c r="H549" s="9"/>
      <c r="I549" s="10"/>
      <c r="J549" s="10"/>
      <c r="K549" s="11"/>
      <c r="L549" s="9"/>
      <c r="M549" s="9"/>
      <c r="N549" s="9"/>
      <c r="O549" s="9"/>
      <c r="P549" s="9"/>
      <c r="Q549" s="9"/>
      <c r="R549" s="9"/>
      <c r="S549" s="9"/>
      <c r="T549" s="9"/>
      <c r="U549" s="9"/>
      <c r="V549" s="9"/>
      <c r="W549" s="9"/>
      <c r="X549" s="10"/>
      <c r="Y549" s="9"/>
      <c r="Z549" s="11"/>
      <c r="AA549" s="9"/>
      <c r="AB549" s="9"/>
      <c r="AC549" s="10"/>
      <c r="AD549" s="9"/>
      <c r="AE549" s="9"/>
      <c r="AF549" s="9"/>
      <c r="AG549" s="9"/>
      <c r="AH549" s="9"/>
      <c r="AI549" s="9"/>
      <c r="AJ549" s="9"/>
      <c r="AK549" s="9"/>
      <c r="AL549" s="9"/>
      <c r="AM549" s="11"/>
      <c r="AN549" s="11"/>
      <c r="AO549" s="9"/>
      <c r="AP549" s="9"/>
      <c r="AQ549" s="9"/>
    </row>
    <row r="550" spans="1:43" x14ac:dyDescent="0.25">
      <c r="A550" s="9"/>
      <c r="B550" s="10"/>
      <c r="C550" s="9"/>
      <c r="D550" s="9"/>
      <c r="E550" s="9"/>
      <c r="F550" s="9"/>
      <c r="G550" s="9"/>
      <c r="H550" s="9"/>
      <c r="I550" s="10"/>
      <c r="J550" s="11"/>
      <c r="K550" s="11"/>
      <c r="L550" s="9"/>
      <c r="M550" s="9"/>
      <c r="N550" s="9"/>
      <c r="O550" s="9"/>
      <c r="P550" s="9"/>
      <c r="Q550" s="9"/>
      <c r="R550" s="9"/>
      <c r="S550" s="9"/>
      <c r="T550" s="9"/>
      <c r="U550" s="9"/>
      <c r="V550" s="9"/>
      <c r="W550" s="9"/>
      <c r="X550" s="11"/>
      <c r="Y550" s="9"/>
      <c r="Z550" s="11"/>
      <c r="AA550" s="9"/>
      <c r="AB550" s="9"/>
      <c r="AC550" s="11"/>
      <c r="AD550" s="9"/>
      <c r="AE550" s="9"/>
      <c r="AF550" s="9"/>
      <c r="AG550" s="9"/>
      <c r="AH550" s="9"/>
      <c r="AI550" s="9"/>
      <c r="AJ550" s="9"/>
      <c r="AK550" s="9"/>
      <c r="AL550" s="9"/>
      <c r="AM550" s="11"/>
      <c r="AN550" s="11"/>
      <c r="AO550" s="9"/>
      <c r="AP550" s="9"/>
      <c r="AQ550" s="9"/>
    </row>
    <row r="551" spans="1:43" x14ac:dyDescent="0.25">
      <c r="A551" s="9"/>
      <c r="B551" s="10"/>
      <c r="C551" s="9"/>
      <c r="D551" s="9"/>
      <c r="E551" s="9"/>
      <c r="F551" s="9"/>
      <c r="G551" s="9"/>
      <c r="H551" s="9"/>
      <c r="I551" s="10"/>
      <c r="J551" s="11"/>
      <c r="K551" s="11"/>
      <c r="L551" s="9"/>
      <c r="M551" s="9"/>
      <c r="N551" s="9"/>
      <c r="O551" s="9"/>
      <c r="P551" s="9"/>
      <c r="Q551" s="9"/>
      <c r="R551" s="9"/>
      <c r="S551" s="9"/>
      <c r="T551" s="9"/>
      <c r="U551" s="9"/>
      <c r="V551" s="9"/>
      <c r="W551" s="9"/>
      <c r="X551" s="11"/>
      <c r="Y551" s="9"/>
      <c r="Z551" s="11"/>
      <c r="AA551" s="9"/>
      <c r="AB551" s="9"/>
      <c r="AC551" s="11"/>
      <c r="AD551" s="9"/>
      <c r="AE551" s="9"/>
      <c r="AF551" s="9"/>
      <c r="AG551" s="9"/>
      <c r="AH551" s="9"/>
      <c r="AI551" s="9"/>
      <c r="AJ551" s="9"/>
      <c r="AK551" s="9"/>
      <c r="AL551" s="9"/>
      <c r="AM551" s="11"/>
      <c r="AN551" s="11"/>
      <c r="AO551" s="9"/>
      <c r="AP551" s="9"/>
      <c r="AQ551" s="9"/>
    </row>
    <row r="552" spans="1:43" x14ac:dyDescent="0.25">
      <c r="A552" s="9"/>
      <c r="B552" s="10"/>
      <c r="C552" s="9"/>
      <c r="D552" s="9"/>
      <c r="E552" s="9"/>
      <c r="F552" s="9"/>
      <c r="G552" s="9"/>
      <c r="H552" s="9"/>
      <c r="I552" s="10"/>
      <c r="J552" s="11"/>
      <c r="K552" s="11"/>
      <c r="L552" s="9"/>
      <c r="M552" s="9"/>
      <c r="N552" s="9"/>
      <c r="O552" s="9"/>
      <c r="P552" s="9"/>
      <c r="Q552" s="9"/>
      <c r="R552" s="9"/>
      <c r="S552" s="9"/>
      <c r="T552" s="9"/>
      <c r="U552" s="9"/>
      <c r="V552" s="9"/>
      <c r="W552" s="9"/>
      <c r="X552" s="11"/>
      <c r="Y552" s="9"/>
      <c r="Z552" s="11"/>
      <c r="AA552" s="9"/>
      <c r="AB552" s="9"/>
      <c r="AC552" s="11"/>
      <c r="AD552" s="9"/>
      <c r="AE552" s="9"/>
      <c r="AF552" s="9"/>
      <c r="AG552" s="9"/>
      <c r="AH552" s="9"/>
      <c r="AI552" s="9"/>
      <c r="AJ552" s="9"/>
      <c r="AK552" s="9"/>
      <c r="AL552" s="9"/>
      <c r="AM552" s="11"/>
      <c r="AN552" s="11"/>
      <c r="AO552" s="9"/>
      <c r="AP552" s="9"/>
      <c r="AQ552" s="9"/>
    </row>
    <row r="553" spans="1:43" x14ac:dyDescent="0.25">
      <c r="A553" s="9"/>
      <c r="B553" s="10"/>
      <c r="C553" s="9"/>
      <c r="D553" s="9"/>
      <c r="E553" s="9"/>
      <c r="F553" s="9"/>
      <c r="G553" s="9"/>
      <c r="H553" s="9"/>
      <c r="I553" s="10"/>
      <c r="J553" s="11"/>
      <c r="K553" s="11"/>
      <c r="L553" s="9"/>
      <c r="M553" s="9"/>
      <c r="N553" s="9"/>
      <c r="O553" s="9"/>
      <c r="P553" s="9"/>
      <c r="Q553" s="9"/>
      <c r="R553" s="9"/>
      <c r="S553" s="9"/>
      <c r="T553" s="9"/>
      <c r="U553" s="9"/>
      <c r="V553" s="9"/>
      <c r="W553" s="9"/>
      <c r="X553" s="11"/>
      <c r="Y553" s="9"/>
      <c r="Z553" s="11"/>
      <c r="AA553" s="9"/>
      <c r="AB553" s="9"/>
      <c r="AC553" s="11"/>
      <c r="AD553" s="9"/>
      <c r="AE553" s="9"/>
      <c r="AF553" s="9"/>
      <c r="AG553" s="9"/>
      <c r="AH553" s="9"/>
      <c r="AI553" s="9"/>
      <c r="AJ553" s="9"/>
      <c r="AK553" s="9"/>
      <c r="AL553" s="9"/>
      <c r="AM553" s="11"/>
      <c r="AN553" s="11"/>
      <c r="AO553" s="9"/>
      <c r="AP553" s="9"/>
      <c r="AQ553" s="9"/>
    </row>
    <row r="554" spans="1:43" x14ac:dyDescent="0.25">
      <c r="A554" s="9"/>
      <c r="B554" s="10"/>
      <c r="C554" s="9"/>
      <c r="D554" s="9"/>
      <c r="E554" s="9"/>
      <c r="F554" s="9"/>
      <c r="G554" s="9"/>
      <c r="H554" s="9"/>
      <c r="I554" s="10"/>
      <c r="J554" s="11"/>
      <c r="K554" s="11"/>
      <c r="L554" s="9"/>
      <c r="M554" s="9"/>
      <c r="N554" s="9"/>
      <c r="O554" s="9"/>
      <c r="P554" s="9"/>
      <c r="Q554" s="9"/>
      <c r="R554" s="9"/>
      <c r="S554" s="9"/>
      <c r="T554" s="9"/>
      <c r="U554" s="9"/>
      <c r="V554" s="9"/>
      <c r="W554" s="9"/>
      <c r="X554" s="11"/>
      <c r="Y554" s="9"/>
      <c r="Z554" s="11"/>
      <c r="AA554" s="9"/>
      <c r="AB554" s="9"/>
      <c r="AC554" s="11"/>
      <c r="AD554" s="9"/>
      <c r="AE554" s="9"/>
      <c r="AF554" s="9"/>
      <c r="AG554" s="9"/>
      <c r="AH554" s="9"/>
      <c r="AI554" s="9"/>
      <c r="AJ554" s="9"/>
      <c r="AK554" s="9"/>
      <c r="AL554" s="9"/>
      <c r="AM554" s="11"/>
      <c r="AN554" s="11"/>
      <c r="AO554" s="9"/>
      <c r="AP554" s="9"/>
      <c r="AQ554" s="9"/>
    </row>
    <row r="555" spans="1:43" x14ac:dyDescent="0.25">
      <c r="A555" s="9"/>
      <c r="B555" s="10"/>
      <c r="C555" s="9"/>
      <c r="D555" s="9"/>
      <c r="E555" s="9"/>
      <c r="F555" s="9"/>
      <c r="G555" s="9"/>
      <c r="H555" s="9"/>
      <c r="I555" s="10"/>
      <c r="J555" s="11"/>
      <c r="K555" s="11"/>
      <c r="L555" s="9"/>
      <c r="M555" s="9"/>
      <c r="N555" s="9"/>
      <c r="O555" s="9"/>
      <c r="P555" s="9"/>
      <c r="Q555" s="9"/>
      <c r="R555" s="9"/>
      <c r="S555" s="9"/>
      <c r="T555" s="9"/>
      <c r="U555" s="9"/>
      <c r="V555" s="9"/>
      <c r="W555" s="9"/>
      <c r="X555" s="11"/>
      <c r="Y555" s="9"/>
      <c r="Z555" s="11"/>
      <c r="AA555" s="9"/>
      <c r="AB555" s="9"/>
      <c r="AC555" s="11"/>
      <c r="AD555" s="9"/>
      <c r="AE555" s="9"/>
      <c r="AF555" s="9"/>
      <c r="AG555" s="9"/>
      <c r="AH555" s="9"/>
      <c r="AI555" s="9"/>
      <c r="AJ555" s="9"/>
      <c r="AK555" s="9"/>
      <c r="AL555" s="9"/>
      <c r="AM555" s="11"/>
      <c r="AN555" s="11"/>
      <c r="AO555" s="9"/>
      <c r="AP555" s="9"/>
      <c r="AQ555" s="9"/>
    </row>
    <row r="556" spans="1:43" x14ac:dyDescent="0.25">
      <c r="A556" s="9"/>
      <c r="B556" s="10"/>
      <c r="C556" s="9"/>
      <c r="D556" s="9"/>
      <c r="E556" s="9"/>
      <c r="F556" s="9"/>
      <c r="G556" s="9"/>
      <c r="H556" s="9"/>
      <c r="I556" s="10"/>
      <c r="J556" s="10"/>
      <c r="K556" s="11"/>
      <c r="L556" s="9"/>
      <c r="M556" s="9"/>
      <c r="N556" s="9"/>
      <c r="O556" s="9"/>
      <c r="P556" s="9"/>
      <c r="Q556" s="9"/>
      <c r="R556" s="9"/>
      <c r="S556" s="9"/>
      <c r="T556" s="9"/>
      <c r="U556" s="9"/>
      <c r="V556" s="9"/>
      <c r="W556" s="9"/>
      <c r="X556" s="10"/>
      <c r="Y556" s="9"/>
      <c r="Z556" s="11"/>
      <c r="AA556" s="9"/>
      <c r="AB556" s="9"/>
      <c r="AC556" s="10"/>
      <c r="AD556" s="9"/>
      <c r="AE556" s="9"/>
      <c r="AF556" s="9"/>
      <c r="AG556" s="9"/>
      <c r="AH556" s="9"/>
      <c r="AI556" s="9"/>
      <c r="AJ556" s="9"/>
      <c r="AK556" s="9"/>
      <c r="AL556" s="9"/>
      <c r="AM556" s="11"/>
      <c r="AN556" s="11"/>
      <c r="AO556" s="9"/>
      <c r="AP556" s="9"/>
      <c r="AQ556" s="9"/>
    </row>
    <row r="557" spans="1:43" x14ac:dyDescent="0.25">
      <c r="A557" s="9"/>
      <c r="B557" s="10"/>
      <c r="C557" s="9"/>
      <c r="D557" s="9"/>
      <c r="E557" s="9"/>
      <c r="F557" s="9"/>
      <c r="G557" s="9"/>
      <c r="H557" s="9"/>
      <c r="I557" s="10"/>
      <c r="J557" s="11"/>
      <c r="K557" s="11"/>
      <c r="L557" s="9"/>
      <c r="M557" s="9"/>
      <c r="N557" s="9"/>
      <c r="O557" s="9"/>
      <c r="P557" s="9"/>
      <c r="Q557" s="9"/>
      <c r="R557" s="9"/>
      <c r="S557" s="9"/>
      <c r="T557" s="9"/>
      <c r="U557" s="9"/>
      <c r="V557" s="9"/>
      <c r="W557" s="9"/>
      <c r="X557" s="11"/>
      <c r="Y557" s="9"/>
      <c r="Z557" s="11"/>
      <c r="AA557" s="9"/>
      <c r="AB557" s="9"/>
      <c r="AC557" s="11"/>
      <c r="AD557" s="9"/>
      <c r="AE557" s="9"/>
      <c r="AF557" s="9"/>
      <c r="AG557" s="9"/>
      <c r="AH557" s="9"/>
      <c r="AI557" s="9"/>
      <c r="AJ557" s="9"/>
      <c r="AK557" s="9"/>
      <c r="AL557" s="9"/>
      <c r="AM557" s="11"/>
      <c r="AN557" s="11"/>
      <c r="AO557" s="9"/>
      <c r="AP557" s="9"/>
      <c r="AQ557" s="9"/>
    </row>
    <row r="558" spans="1:43" x14ac:dyDescent="0.25">
      <c r="A558" s="9"/>
      <c r="B558" s="10"/>
      <c r="C558" s="9"/>
      <c r="D558" s="9"/>
      <c r="E558" s="9"/>
      <c r="F558" s="9"/>
      <c r="G558" s="9"/>
      <c r="H558" s="9"/>
      <c r="I558" s="10"/>
      <c r="J558" s="11"/>
      <c r="K558" s="11"/>
      <c r="L558" s="9"/>
      <c r="M558" s="9"/>
      <c r="N558" s="9"/>
      <c r="O558" s="9"/>
      <c r="P558" s="9"/>
      <c r="Q558" s="9"/>
      <c r="R558" s="9"/>
      <c r="S558" s="9"/>
      <c r="T558" s="9"/>
      <c r="U558" s="9"/>
      <c r="V558" s="9"/>
      <c r="W558" s="9"/>
      <c r="X558" s="11"/>
      <c r="Y558" s="9"/>
      <c r="Z558" s="11"/>
      <c r="AA558" s="9"/>
      <c r="AB558" s="9"/>
      <c r="AC558" s="11"/>
      <c r="AD558" s="9"/>
      <c r="AE558" s="9"/>
      <c r="AF558" s="9"/>
      <c r="AG558" s="9"/>
      <c r="AH558" s="9"/>
      <c r="AI558" s="9"/>
      <c r="AJ558" s="9"/>
      <c r="AK558" s="9"/>
      <c r="AL558" s="9"/>
      <c r="AM558" s="11"/>
      <c r="AN558" s="11"/>
      <c r="AO558" s="9"/>
      <c r="AP558" s="9"/>
      <c r="AQ558" s="9"/>
    </row>
    <row r="559" spans="1:43" x14ac:dyDescent="0.25">
      <c r="A559" s="9"/>
      <c r="B559" s="10"/>
      <c r="C559" s="9"/>
      <c r="D559" s="9"/>
      <c r="E559" s="9"/>
      <c r="F559" s="9"/>
      <c r="G559" s="9"/>
      <c r="H559" s="9"/>
      <c r="I559" s="10"/>
      <c r="J559" s="11"/>
      <c r="K559" s="11"/>
      <c r="L559" s="9"/>
      <c r="M559" s="9"/>
      <c r="N559" s="9"/>
      <c r="O559" s="9"/>
      <c r="P559" s="9"/>
      <c r="Q559" s="9"/>
      <c r="R559" s="9"/>
      <c r="S559" s="9"/>
      <c r="T559" s="9"/>
      <c r="U559" s="9"/>
      <c r="V559" s="9"/>
      <c r="W559" s="9"/>
      <c r="X559" s="11"/>
      <c r="Y559" s="9"/>
      <c r="Z559" s="11"/>
      <c r="AA559" s="9"/>
      <c r="AB559" s="9"/>
      <c r="AC559" s="11"/>
      <c r="AD559" s="9"/>
      <c r="AE559" s="9"/>
      <c r="AF559" s="9"/>
      <c r="AG559" s="9"/>
      <c r="AH559" s="9"/>
      <c r="AI559" s="9"/>
      <c r="AJ559" s="9"/>
      <c r="AK559" s="9"/>
      <c r="AL559" s="9"/>
      <c r="AM559" s="11"/>
      <c r="AN559" s="11"/>
      <c r="AO559" s="9"/>
      <c r="AP559" s="9"/>
      <c r="AQ559" s="9"/>
    </row>
    <row r="560" spans="1:43" x14ac:dyDescent="0.25">
      <c r="A560" s="9"/>
      <c r="B560" s="10"/>
      <c r="C560" s="9"/>
      <c r="D560" s="9"/>
      <c r="E560" s="9"/>
      <c r="F560" s="9"/>
      <c r="G560" s="9"/>
      <c r="H560" s="9"/>
      <c r="I560" s="10"/>
      <c r="J560" s="11"/>
      <c r="K560" s="11"/>
      <c r="L560" s="9"/>
      <c r="M560" s="9"/>
      <c r="N560" s="9"/>
      <c r="O560" s="9"/>
      <c r="P560" s="9"/>
      <c r="Q560" s="9"/>
      <c r="R560" s="9"/>
      <c r="S560" s="9"/>
      <c r="T560" s="9"/>
      <c r="U560" s="9"/>
      <c r="V560" s="9"/>
      <c r="W560" s="9"/>
      <c r="X560" s="11"/>
      <c r="Y560" s="9"/>
      <c r="Z560" s="11"/>
      <c r="AA560" s="9"/>
      <c r="AB560" s="9"/>
      <c r="AC560" s="11"/>
      <c r="AD560" s="9"/>
      <c r="AE560" s="9"/>
      <c r="AF560" s="9"/>
      <c r="AG560" s="9"/>
      <c r="AH560" s="9"/>
      <c r="AI560" s="9"/>
      <c r="AJ560" s="9"/>
      <c r="AK560" s="9"/>
      <c r="AL560" s="9"/>
      <c r="AM560" s="11"/>
      <c r="AN560" s="11"/>
      <c r="AO560" s="9"/>
      <c r="AP560" s="9"/>
      <c r="AQ560" s="9"/>
    </row>
    <row r="561" spans="1:43" x14ac:dyDescent="0.25">
      <c r="A561" s="9"/>
      <c r="B561" s="10"/>
      <c r="C561" s="9"/>
      <c r="D561" s="9"/>
      <c r="E561" s="9"/>
      <c r="F561" s="9"/>
      <c r="G561" s="9"/>
      <c r="H561" s="9"/>
      <c r="I561" s="10"/>
      <c r="J561" s="10"/>
      <c r="K561" s="11"/>
      <c r="L561" s="9"/>
      <c r="M561" s="9"/>
      <c r="N561" s="9"/>
      <c r="O561" s="9"/>
      <c r="P561" s="9"/>
      <c r="Q561" s="9"/>
      <c r="R561" s="9"/>
      <c r="S561" s="9"/>
      <c r="T561" s="9"/>
      <c r="U561" s="9"/>
      <c r="V561" s="9"/>
      <c r="W561" s="9"/>
      <c r="X561" s="10"/>
      <c r="Y561" s="9"/>
      <c r="Z561" s="11"/>
      <c r="AA561" s="9"/>
      <c r="AB561" s="9"/>
      <c r="AC561" s="10"/>
      <c r="AD561" s="9"/>
      <c r="AE561" s="9"/>
      <c r="AF561" s="9"/>
      <c r="AG561" s="9"/>
      <c r="AH561" s="9"/>
      <c r="AI561" s="9"/>
      <c r="AJ561" s="9"/>
      <c r="AK561" s="9"/>
      <c r="AL561" s="9"/>
      <c r="AM561" s="11"/>
      <c r="AN561" s="11"/>
      <c r="AO561" s="9"/>
      <c r="AP561" s="9"/>
      <c r="AQ561" s="9"/>
    </row>
    <row r="562" spans="1:43" x14ac:dyDescent="0.25">
      <c r="A562" s="9"/>
      <c r="B562" s="10"/>
      <c r="C562" s="9"/>
      <c r="D562" s="9"/>
      <c r="E562" s="9"/>
      <c r="F562" s="9"/>
      <c r="G562" s="9"/>
      <c r="H562" s="9"/>
      <c r="I562" s="10"/>
      <c r="J562" s="11"/>
      <c r="K562" s="11"/>
      <c r="L562" s="9"/>
      <c r="M562" s="9"/>
      <c r="N562" s="9"/>
      <c r="O562" s="9"/>
      <c r="P562" s="9"/>
      <c r="Q562" s="9"/>
      <c r="R562" s="9"/>
      <c r="S562" s="9"/>
      <c r="T562" s="9"/>
      <c r="U562" s="9"/>
      <c r="V562" s="9"/>
      <c r="W562" s="9"/>
      <c r="X562" s="11"/>
      <c r="Y562" s="9"/>
      <c r="Z562" s="11"/>
      <c r="AA562" s="9"/>
      <c r="AB562" s="9"/>
      <c r="AC562" s="11"/>
      <c r="AD562" s="9"/>
      <c r="AE562" s="9"/>
      <c r="AF562" s="9"/>
      <c r="AG562" s="9"/>
      <c r="AH562" s="9"/>
      <c r="AI562" s="9"/>
      <c r="AJ562" s="9"/>
      <c r="AK562" s="9"/>
      <c r="AL562" s="9"/>
      <c r="AM562" s="11"/>
      <c r="AN562" s="11"/>
      <c r="AO562" s="9"/>
      <c r="AP562" s="9"/>
      <c r="AQ562" s="9"/>
    </row>
    <row r="563" spans="1:43" x14ac:dyDescent="0.25">
      <c r="A563" s="9"/>
      <c r="B563" s="10"/>
      <c r="C563" s="9"/>
      <c r="D563" s="9"/>
      <c r="E563" s="9"/>
      <c r="F563" s="9"/>
      <c r="G563" s="9"/>
      <c r="H563" s="9"/>
      <c r="I563" s="10"/>
      <c r="J563" s="11"/>
      <c r="K563" s="11"/>
      <c r="L563" s="9"/>
      <c r="M563" s="9"/>
      <c r="N563" s="9"/>
      <c r="O563" s="9"/>
      <c r="P563" s="9"/>
      <c r="Q563" s="9"/>
      <c r="R563" s="9"/>
      <c r="S563" s="9"/>
      <c r="T563" s="9"/>
      <c r="U563" s="9"/>
      <c r="V563" s="9"/>
      <c r="W563" s="9"/>
      <c r="X563" s="11"/>
      <c r="Y563" s="9"/>
      <c r="Z563" s="11"/>
      <c r="AA563" s="9"/>
      <c r="AB563" s="9"/>
      <c r="AC563" s="11"/>
      <c r="AD563" s="9"/>
      <c r="AE563" s="9"/>
      <c r="AF563" s="9"/>
      <c r="AG563" s="9"/>
      <c r="AH563" s="9"/>
      <c r="AI563" s="9"/>
      <c r="AJ563" s="9"/>
      <c r="AK563" s="9"/>
      <c r="AL563" s="9"/>
      <c r="AM563" s="11"/>
      <c r="AN563" s="11"/>
      <c r="AO563" s="9"/>
      <c r="AP563" s="9"/>
      <c r="AQ563" s="9"/>
    </row>
    <row r="564" spans="1:43" x14ac:dyDescent="0.25">
      <c r="A564" s="9"/>
      <c r="B564" s="10"/>
      <c r="C564" s="9"/>
      <c r="D564" s="9"/>
      <c r="E564" s="9"/>
      <c r="F564" s="9"/>
      <c r="G564" s="9"/>
      <c r="H564" s="9"/>
      <c r="I564" s="10"/>
      <c r="J564" s="11"/>
      <c r="K564" s="11"/>
      <c r="L564" s="9"/>
      <c r="M564" s="9"/>
      <c r="N564" s="9"/>
      <c r="O564" s="9"/>
      <c r="P564" s="9"/>
      <c r="Q564" s="9"/>
      <c r="R564" s="9"/>
      <c r="S564" s="9"/>
      <c r="T564" s="9"/>
      <c r="U564" s="9"/>
      <c r="V564" s="9"/>
      <c r="W564" s="9"/>
      <c r="X564" s="11"/>
      <c r="Y564" s="9"/>
      <c r="Z564" s="11"/>
      <c r="AA564" s="9"/>
      <c r="AB564" s="9"/>
      <c r="AC564" s="11"/>
      <c r="AD564" s="9"/>
      <c r="AE564" s="9"/>
      <c r="AF564" s="9"/>
      <c r="AG564" s="9"/>
      <c r="AH564" s="9"/>
      <c r="AI564" s="9"/>
      <c r="AJ564" s="9"/>
      <c r="AK564" s="9"/>
      <c r="AL564" s="9"/>
      <c r="AM564" s="11"/>
      <c r="AN564" s="11"/>
      <c r="AO564" s="9"/>
      <c r="AP564" s="9"/>
      <c r="AQ564" s="9"/>
    </row>
    <row r="565" spans="1:43" x14ac:dyDescent="0.25">
      <c r="A565" s="9"/>
      <c r="B565" s="10"/>
      <c r="C565" s="9"/>
      <c r="D565" s="9"/>
      <c r="E565" s="9"/>
      <c r="F565" s="9"/>
      <c r="G565" s="9"/>
      <c r="H565" s="9"/>
      <c r="I565" s="10"/>
      <c r="J565" s="11"/>
      <c r="K565" s="11"/>
      <c r="L565" s="9"/>
      <c r="M565" s="9"/>
      <c r="N565" s="9"/>
      <c r="O565" s="9"/>
      <c r="P565" s="9"/>
      <c r="Q565" s="9"/>
      <c r="R565" s="9"/>
      <c r="S565" s="9"/>
      <c r="T565" s="9"/>
      <c r="U565" s="9"/>
      <c r="V565" s="9"/>
      <c r="W565" s="9"/>
      <c r="X565" s="11"/>
      <c r="Y565" s="9"/>
      <c r="Z565" s="11"/>
      <c r="AA565" s="9"/>
      <c r="AB565" s="9"/>
      <c r="AC565" s="11"/>
      <c r="AD565" s="9"/>
      <c r="AE565" s="9"/>
      <c r="AF565" s="9"/>
      <c r="AG565" s="9"/>
      <c r="AH565" s="9"/>
      <c r="AI565" s="9"/>
      <c r="AJ565" s="9"/>
      <c r="AK565" s="9"/>
      <c r="AL565" s="9"/>
      <c r="AM565" s="11"/>
      <c r="AN565" s="11"/>
      <c r="AO565" s="9"/>
      <c r="AP565" s="9"/>
      <c r="AQ565" s="9"/>
    </row>
    <row r="566" spans="1:43" x14ac:dyDescent="0.25">
      <c r="A566" s="9"/>
      <c r="B566" s="10"/>
      <c r="C566" s="9"/>
      <c r="D566" s="9"/>
      <c r="E566" s="9"/>
      <c r="F566" s="9"/>
      <c r="G566" s="9"/>
      <c r="H566" s="9"/>
      <c r="I566" s="10"/>
      <c r="J566" s="11"/>
      <c r="K566" s="11"/>
      <c r="L566" s="9"/>
      <c r="M566" s="9"/>
      <c r="N566" s="9"/>
      <c r="O566" s="9"/>
      <c r="P566" s="9"/>
      <c r="Q566" s="9"/>
      <c r="R566" s="9"/>
      <c r="S566" s="9"/>
      <c r="T566" s="9"/>
      <c r="U566" s="9"/>
      <c r="V566" s="9"/>
      <c r="W566" s="9"/>
      <c r="X566" s="11"/>
      <c r="Y566" s="9"/>
      <c r="Z566" s="11"/>
      <c r="AA566" s="9"/>
      <c r="AB566" s="9"/>
      <c r="AC566" s="11"/>
      <c r="AD566" s="9"/>
      <c r="AE566" s="9"/>
      <c r="AF566" s="9"/>
      <c r="AG566" s="9"/>
      <c r="AH566" s="9"/>
      <c r="AI566" s="9"/>
      <c r="AJ566" s="9"/>
      <c r="AK566" s="9"/>
      <c r="AL566" s="9"/>
      <c r="AM566" s="11"/>
      <c r="AN566" s="11"/>
      <c r="AO566" s="9"/>
      <c r="AP566" s="9"/>
      <c r="AQ566" s="9"/>
    </row>
    <row r="567" spans="1:43" x14ac:dyDescent="0.25">
      <c r="A567" s="9"/>
      <c r="B567" s="10"/>
      <c r="C567" s="9"/>
      <c r="D567" s="9"/>
      <c r="E567" s="9"/>
      <c r="F567" s="9"/>
      <c r="G567" s="9"/>
      <c r="H567" s="9"/>
      <c r="I567" s="10"/>
      <c r="J567" s="11"/>
      <c r="K567" s="11"/>
      <c r="L567" s="9"/>
      <c r="M567" s="9"/>
      <c r="N567" s="9"/>
      <c r="O567" s="9"/>
      <c r="P567" s="9"/>
      <c r="Q567" s="9"/>
      <c r="R567" s="9"/>
      <c r="S567" s="9"/>
      <c r="T567" s="9"/>
      <c r="U567" s="9"/>
      <c r="V567" s="9"/>
      <c r="W567" s="9"/>
      <c r="X567" s="11"/>
      <c r="Y567" s="9"/>
      <c r="Z567" s="11"/>
      <c r="AA567" s="9"/>
      <c r="AB567" s="9"/>
      <c r="AC567" s="11"/>
      <c r="AD567" s="9"/>
      <c r="AE567" s="9"/>
      <c r="AF567" s="9"/>
      <c r="AG567" s="9"/>
      <c r="AH567" s="9"/>
      <c r="AI567" s="9"/>
      <c r="AJ567" s="9"/>
      <c r="AK567" s="9"/>
      <c r="AL567" s="9"/>
      <c r="AM567" s="11"/>
      <c r="AN567" s="11"/>
      <c r="AO567" s="9"/>
      <c r="AP567" s="9"/>
      <c r="AQ567" s="9"/>
    </row>
    <row r="568" spans="1:43" x14ac:dyDescent="0.25">
      <c r="A568" s="9"/>
      <c r="B568" s="10"/>
      <c r="C568" s="9"/>
      <c r="D568" s="9"/>
      <c r="E568" s="9"/>
      <c r="F568" s="9"/>
      <c r="G568" s="9"/>
      <c r="H568" s="9"/>
      <c r="I568" s="10"/>
      <c r="J568" s="11"/>
      <c r="K568" s="11"/>
      <c r="L568" s="9"/>
      <c r="M568" s="9"/>
      <c r="N568" s="9"/>
      <c r="O568" s="9"/>
      <c r="P568" s="9"/>
      <c r="Q568" s="9"/>
      <c r="R568" s="9"/>
      <c r="S568" s="9"/>
      <c r="T568" s="9"/>
      <c r="U568" s="9"/>
      <c r="V568" s="9"/>
      <c r="W568" s="9"/>
      <c r="X568" s="11"/>
      <c r="Y568" s="9"/>
      <c r="Z568" s="11"/>
      <c r="AA568" s="9"/>
      <c r="AB568" s="9"/>
      <c r="AC568" s="11"/>
      <c r="AD568" s="9"/>
      <c r="AE568" s="9"/>
      <c r="AF568" s="9"/>
      <c r="AG568" s="9"/>
      <c r="AH568" s="9"/>
      <c r="AI568" s="9"/>
      <c r="AJ568" s="9"/>
      <c r="AK568" s="9"/>
      <c r="AL568" s="9"/>
      <c r="AM568" s="11"/>
      <c r="AN568" s="11"/>
      <c r="AO568" s="9"/>
      <c r="AP568" s="9"/>
      <c r="AQ568" s="9"/>
    </row>
    <row r="569" spans="1:43" x14ac:dyDescent="0.25">
      <c r="A569" s="9"/>
      <c r="B569" s="10"/>
      <c r="C569" s="9"/>
      <c r="D569" s="9"/>
      <c r="E569" s="9"/>
      <c r="F569" s="9"/>
      <c r="G569" s="9"/>
      <c r="H569" s="9"/>
      <c r="I569" s="10"/>
      <c r="J569" s="11"/>
      <c r="K569" s="11"/>
      <c r="L569" s="9"/>
      <c r="M569" s="9"/>
      <c r="N569" s="9"/>
      <c r="O569" s="9"/>
      <c r="P569" s="9"/>
      <c r="Q569" s="9"/>
      <c r="R569" s="9"/>
      <c r="S569" s="9"/>
      <c r="T569" s="9"/>
      <c r="U569" s="9"/>
      <c r="V569" s="9"/>
      <c r="W569" s="9"/>
      <c r="X569" s="11"/>
      <c r="Y569" s="9"/>
      <c r="Z569" s="11"/>
      <c r="AA569" s="9"/>
      <c r="AB569" s="9"/>
      <c r="AC569" s="11"/>
      <c r="AD569" s="9"/>
      <c r="AE569" s="9"/>
      <c r="AF569" s="9"/>
      <c r="AG569" s="9"/>
      <c r="AH569" s="9"/>
      <c r="AI569" s="9"/>
      <c r="AJ569" s="9"/>
      <c r="AK569" s="9"/>
      <c r="AL569" s="9"/>
      <c r="AM569" s="11"/>
      <c r="AN569" s="11"/>
      <c r="AO569" s="9"/>
      <c r="AP569" s="9"/>
      <c r="AQ569" s="9"/>
    </row>
    <row r="570" spans="1:43" x14ac:dyDescent="0.25">
      <c r="A570" s="9"/>
      <c r="B570" s="10"/>
      <c r="C570" s="9"/>
      <c r="D570" s="9"/>
      <c r="E570" s="9"/>
      <c r="F570" s="9"/>
      <c r="G570" s="9"/>
      <c r="H570" s="9"/>
      <c r="I570" s="10"/>
      <c r="J570" s="11"/>
      <c r="K570" s="10"/>
      <c r="L570" s="9"/>
      <c r="M570" s="9"/>
      <c r="N570" s="9"/>
      <c r="O570" s="9"/>
      <c r="P570" s="9"/>
      <c r="Q570" s="9"/>
      <c r="R570" s="9"/>
      <c r="S570" s="9"/>
      <c r="T570" s="9"/>
      <c r="U570" s="9"/>
      <c r="V570" s="9"/>
      <c r="W570" s="9"/>
      <c r="X570" s="11"/>
      <c r="Y570" s="9"/>
      <c r="Z570" s="10"/>
      <c r="AA570" s="9"/>
      <c r="AB570" s="9"/>
      <c r="AC570" s="10"/>
      <c r="AD570" s="9"/>
      <c r="AE570" s="9"/>
      <c r="AF570" s="9"/>
      <c r="AG570" s="9"/>
      <c r="AH570" s="9"/>
      <c r="AI570" s="9"/>
      <c r="AJ570" s="9"/>
      <c r="AK570" s="9"/>
      <c r="AL570" s="9"/>
      <c r="AM570" s="11"/>
      <c r="AN570" s="11"/>
      <c r="AO570" s="9"/>
      <c r="AP570" s="9"/>
      <c r="AQ570" s="9"/>
    </row>
    <row r="571" spans="1:43" x14ac:dyDescent="0.25">
      <c r="A571" s="9"/>
      <c r="B571" s="10"/>
      <c r="C571" s="9"/>
      <c r="D571" s="9"/>
      <c r="E571" s="9"/>
      <c r="F571" s="9"/>
      <c r="G571" s="9"/>
      <c r="H571" s="9"/>
      <c r="I571" s="10"/>
      <c r="J571" s="10"/>
      <c r="K571" s="10"/>
      <c r="L571" s="9"/>
      <c r="M571" s="9"/>
      <c r="N571" s="9"/>
      <c r="O571" s="9"/>
      <c r="P571" s="9"/>
      <c r="Q571" s="9"/>
      <c r="R571" s="9"/>
      <c r="S571" s="9"/>
      <c r="T571" s="9"/>
      <c r="U571" s="9"/>
      <c r="V571" s="9"/>
      <c r="W571" s="9"/>
      <c r="X571" s="10"/>
      <c r="Y571" s="9"/>
      <c r="Z571" s="10"/>
      <c r="AA571" s="9"/>
      <c r="AB571" s="9"/>
      <c r="AC571" s="10"/>
      <c r="AD571" s="9"/>
      <c r="AE571" s="9"/>
      <c r="AF571" s="9"/>
      <c r="AG571" s="9"/>
      <c r="AH571" s="9"/>
      <c r="AI571" s="9"/>
      <c r="AJ571" s="9"/>
      <c r="AK571" s="9"/>
      <c r="AL571" s="9"/>
      <c r="AM571" s="10"/>
      <c r="AN571" s="11"/>
      <c r="AO571" s="9"/>
      <c r="AP571" s="9"/>
      <c r="AQ571" s="9"/>
    </row>
    <row r="572" spans="1:43" x14ac:dyDescent="0.25">
      <c r="A572" s="9"/>
      <c r="B572" s="10"/>
      <c r="C572" s="9"/>
      <c r="D572" s="9"/>
      <c r="E572" s="9"/>
      <c r="F572" s="9"/>
      <c r="G572" s="9"/>
      <c r="H572" s="9"/>
      <c r="I572" s="10"/>
      <c r="J572" s="11"/>
      <c r="K572" s="10"/>
      <c r="L572" s="9"/>
      <c r="M572" s="9"/>
      <c r="N572" s="9"/>
      <c r="O572" s="9"/>
      <c r="P572" s="9"/>
      <c r="Q572" s="9"/>
      <c r="R572" s="9"/>
      <c r="S572" s="9"/>
      <c r="T572" s="9"/>
      <c r="U572" s="9"/>
      <c r="V572" s="9"/>
      <c r="W572" s="9"/>
      <c r="X572" s="11"/>
      <c r="Y572" s="9"/>
      <c r="Z572" s="10"/>
      <c r="AA572" s="9"/>
      <c r="AB572" s="9"/>
      <c r="AC572" s="10"/>
      <c r="AD572" s="9"/>
      <c r="AE572" s="9"/>
      <c r="AF572" s="9"/>
      <c r="AG572" s="9"/>
      <c r="AH572" s="9"/>
      <c r="AI572" s="9"/>
      <c r="AJ572" s="9"/>
      <c r="AK572" s="9"/>
      <c r="AL572" s="9"/>
      <c r="AM572" s="10"/>
      <c r="AN572" s="11"/>
      <c r="AO572" s="9"/>
      <c r="AP572" s="9"/>
      <c r="AQ572" s="9"/>
    </row>
    <row r="573" spans="1:43" x14ac:dyDescent="0.25">
      <c r="A573" s="9"/>
      <c r="B573" s="10"/>
      <c r="C573" s="9"/>
      <c r="D573" s="9"/>
      <c r="E573" s="9"/>
      <c r="F573" s="9"/>
      <c r="G573" s="9"/>
      <c r="H573" s="9"/>
      <c r="I573" s="10"/>
      <c r="J573" s="11"/>
      <c r="K573" s="11"/>
      <c r="L573" s="9"/>
      <c r="M573" s="9"/>
      <c r="N573" s="9"/>
      <c r="O573" s="9"/>
      <c r="P573" s="9"/>
      <c r="Q573" s="9"/>
      <c r="R573" s="9"/>
      <c r="S573" s="9"/>
      <c r="T573" s="9"/>
      <c r="U573" s="9"/>
      <c r="V573" s="9"/>
      <c r="W573" s="9"/>
      <c r="X573" s="11"/>
      <c r="Y573" s="9"/>
      <c r="Z573" s="11"/>
      <c r="AA573" s="9"/>
      <c r="AB573" s="9"/>
      <c r="AC573" s="11"/>
      <c r="AD573" s="9"/>
      <c r="AE573" s="9"/>
      <c r="AF573" s="9"/>
      <c r="AG573" s="9"/>
      <c r="AH573" s="9"/>
      <c r="AI573" s="9"/>
      <c r="AJ573" s="9"/>
      <c r="AK573" s="9"/>
      <c r="AL573" s="9"/>
      <c r="AM573" s="11"/>
      <c r="AN573" s="11"/>
      <c r="AO573" s="9"/>
      <c r="AP573" s="9"/>
      <c r="AQ573" s="9"/>
    </row>
    <row r="574" spans="1:43" x14ac:dyDescent="0.25">
      <c r="A574" s="9"/>
      <c r="B574" s="10"/>
      <c r="C574" s="9"/>
      <c r="D574" s="9"/>
      <c r="E574" s="9"/>
      <c r="F574" s="9"/>
      <c r="G574" s="9"/>
      <c r="H574" s="9"/>
      <c r="I574" s="10"/>
      <c r="J574" s="11"/>
      <c r="K574" s="11"/>
      <c r="L574" s="9"/>
      <c r="M574" s="9"/>
      <c r="N574" s="9"/>
      <c r="O574" s="9"/>
      <c r="P574" s="9"/>
      <c r="Q574" s="9"/>
      <c r="R574" s="9"/>
      <c r="S574" s="9"/>
      <c r="T574" s="9"/>
      <c r="U574" s="9"/>
      <c r="V574" s="9"/>
      <c r="W574" s="9"/>
      <c r="X574" s="11"/>
      <c r="Y574" s="9"/>
      <c r="Z574" s="11"/>
      <c r="AA574" s="9"/>
      <c r="AB574" s="9"/>
      <c r="AC574" s="11"/>
      <c r="AD574" s="9"/>
      <c r="AE574" s="9"/>
      <c r="AF574" s="9"/>
      <c r="AG574" s="9"/>
      <c r="AH574" s="9"/>
      <c r="AI574" s="9"/>
      <c r="AJ574" s="9"/>
      <c r="AK574" s="9"/>
      <c r="AL574" s="9"/>
      <c r="AM574" s="11"/>
      <c r="AN574" s="11"/>
      <c r="AO574" s="9"/>
      <c r="AP574" s="9"/>
      <c r="AQ574" s="9"/>
    </row>
    <row r="575" spans="1:43" x14ac:dyDescent="0.25">
      <c r="A575" s="9"/>
      <c r="B575" s="10"/>
      <c r="C575" s="9"/>
      <c r="D575" s="9"/>
      <c r="E575" s="9"/>
      <c r="F575" s="9"/>
      <c r="G575" s="9"/>
      <c r="H575" s="9"/>
      <c r="I575" s="10"/>
      <c r="J575" s="11"/>
      <c r="K575" s="11"/>
      <c r="L575" s="9"/>
      <c r="M575" s="9"/>
      <c r="N575" s="9"/>
      <c r="O575" s="9"/>
      <c r="P575" s="9"/>
      <c r="Q575" s="9"/>
      <c r="R575" s="9"/>
      <c r="S575" s="9"/>
      <c r="T575" s="9"/>
      <c r="U575" s="9"/>
      <c r="V575" s="9"/>
      <c r="W575" s="9"/>
      <c r="X575" s="11"/>
      <c r="Y575" s="9"/>
      <c r="Z575" s="11"/>
      <c r="AA575" s="9"/>
      <c r="AB575" s="9"/>
      <c r="AC575" s="11"/>
      <c r="AD575" s="9"/>
      <c r="AE575" s="9"/>
      <c r="AF575" s="9"/>
      <c r="AG575" s="9"/>
      <c r="AH575" s="9"/>
      <c r="AI575" s="9"/>
      <c r="AJ575" s="9"/>
      <c r="AK575" s="9"/>
      <c r="AL575" s="9"/>
      <c r="AM575" s="11"/>
      <c r="AN575" s="11"/>
      <c r="AO575" s="9"/>
      <c r="AP575" s="9"/>
      <c r="AQ575" s="9"/>
    </row>
    <row r="576" spans="1:43" x14ac:dyDescent="0.25">
      <c r="A576" s="9"/>
      <c r="B576" s="10"/>
      <c r="C576" s="9"/>
      <c r="D576" s="9"/>
      <c r="E576" s="9"/>
      <c r="F576" s="9"/>
      <c r="G576" s="9"/>
      <c r="H576" s="9"/>
      <c r="I576" s="10"/>
      <c r="J576" s="11"/>
      <c r="K576" s="11"/>
      <c r="L576" s="9"/>
      <c r="M576" s="9"/>
      <c r="N576" s="9"/>
      <c r="O576" s="9"/>
      <c r="P576" s="9"/>
      <c r="Q576" s="9"/>
      <c r="R576" s="9"/>
      <c r="S576" s="9"/>
      <c r="T576" s="9"/>
      <c r="U576" s="9"/>
      <c r="V576" s="9"/>
      <c r="W576" s="9"/>
      <c r="X576" s="11"/>
      <c r="Y576" s="9"/>
      <c r="Z576" s="11"/>
      <c r="AA576" s="9"/>
      <c r="AB576" s="9"/>
      <c r="AC576" s="11"/>
      <c r="AD576" s="9"/>
      <c r="AE576" s="9"/>
      <c r="AF576" s="9"/>
      <c r="AG576" s="9"/>
      <c r="AH576" s="9"/>
      <c r="AI576" s="9"/>
      <c r="AJ576" s="9"/>
      <c r="AK576" s="9"/>
      <c r="AL576" s="9"/>
      <c r="AM576" s="11"/>
      <c r="AN576" s="11"/>
      <c r="AO576" s="9"/>
      <c r="AP576" s="9"/>
      <c r="AQ576" s="9"/>
    </row>
    <row r="577" spans="1:43" x14ac:dyDescent="0.25">
      <c r="A577" s="9"/>
      <c r="B577" s="10"/>
      <c r="C577" s="9"/>
      <c r="D577" s="9"/>
      <c r="E577" s="9"/>
      <c r="F577" s="9"/>
      <c r="G577" s="9"/>
      <c r="H577" s="9"/>
      <c r="I577" s="10"/>
      <c r="J577" s="11"/>
      <c r="K577" s="10"/>
      <c r="L577" s="9"/>
      <c r="M577" s="9"/>
      <c r="N577" s="9"/>
      <c r="O577" s="9"/>
      <c r="P577" s="9"/>
      <c r="Q577" s="9"/>
      <c r="R577" s="9"/>
      <c r="S577" s="9"/>
      <c r="T577" s="9"/>
      <c r="U577" s="9"/>
      <c r="V577" s="9"/>
      <c r="W577" s="9"/>
      <c r="X577" s="11"/>
      <c r="Y577" s="9"/>
      <c r="Z577" s="10"/>
      <c r="AA577" s="9"/>
      <c r="AB577" s="9"/>
      <c r="AC577" s="10"/>
      <c r="AD577" s="9"/>
      <c r="AE577" s="9"/>
      <c r="AF577" s="9"/>
      <c r="AG577" s="9"/>
      <c r="AH577" s="9"/>
      <c r="AI577" s="9"/>
      <c r="AJ577" s="9"/>
      <c r="AK577" s="9"/>
      <c r="AL577" s="9"/>
      <c r="AM577" s="11"/>
      <c r="AN577" s="11"/>
      <c r="AO577" s="9"/>
      <c r="AP577" s="9"/>
      <c r="AQ577" s="9"/>
    </row>
    <row r="578" spans="1:43" x14ac:dyDescent="0.25">
      <c r="A578" s="9"/>
      <c r="B578" s="10"/>
      <c r="C578" s="9"/>
      <c r="D578" s="9"/>
      <c r="E578" s="9"/>
      <c r="F578" s="9"/>
      <c r="G578" s="9"/>
      <c r="H578" s="9"/>
      <c r="I578" s="10"/>
      <c r="J578" s="11"/>
      <c r="K578" s="11"/>
      <c r="L578" s="9"/>
      <c r="M578" s="9"/>
      <c r="N578" s="9"/>
      <c r="O578" s="9"/>
      <c r="P578" s="9"/>
      <c r="Q578" s="9"/>
      <c r="R578" s="9"/>
      <c r="S578" s="9"/>
      <c r="T578" s="9"/>
      <c r="U578" s="9"/>
      <c r="V578" s="9"/>
      <c r="W578" s="9"/>
      <c r="X578" s="11"/>
      <c r="Y578" s="9"/>
      <c r="Z578" s="11"/>
      <c r="AA578" s="9"/>
      <c r="AB578" s="9"/>
      <c r="AC578" s="11"/>
      <c r="AD578" s="9"/>
      <c r="AE578" s="9"/>
      <c r="AF578" s="9"/>
      <c r="AG578" s="9"/>
      <c r="AH578" s="9"/>
      <c r="AI578" s="9"/>
      <c r="AJ578" s="9"/>
      <c r="AK578" s="9"/>
      <c r="AL578" s="9"/>
      <c r="AM578" s="11"/>
      <c r="AN578" s="11"/>
      <c r="AO578" s="9"/>
      <c r="AP578" s="9"/>
      <c r="AQ578" s="9"/>
    </row>
    <row r="579" spans="1:43" x14ac:dyDescent="0.25">
      <c r="A579" s="9"/>
      <c r="B579" s="10"/>
      <c r="C579" s="9"/>
      <c r="D579" s="9"/>
      <c r="E579" s="9"/>
      <c r="F579" s="9"/>
      <c r="G579" s="9"/>
      <c r="H579" s="9"/>
      <c r="I579" s="10"/>
      <c r="J579" s="10"/>
      <c r="K579" s="11"/>
      <c r="L579" s="9"/>
      <c r="M579" s="9"/>
      <c r="N579" s="9"/>
      <c r="O579" s="9"/>
      <c r="P579" s="9"/>
      <c r="Q579" s="9"/>
      <c r="R579" s="9"/>
      <c r="S579" s="9"/>
      <c r="T579" s="9"/>
      <c r="U579" s="9"/>
      <c r="V579" s="9"/>
      <c r="W579" s="9"/>
      <c r="X579" s="10"/>
      <c r="Y579" s="9"/>
      <c r="Z579" s="11"/>
      <c r="AA579" s="9"/>
      <c r="AB579" s="9"/>
      <c r="AC579" s="10"/>
      <c r="AD579" s="9"/>
      <c r="AE579" s="9"/>
      <c r="AF579" s="9"/>
      <c r="AG579" s="9"/>
      <c r="AH579" s="9"/>
      <c r="AI579" s="9"/>
      <c r="AJ579" s="9"/>
      <c r="AK579" s="9"/>
      <c r="AL579" s="9"/>
      <c r="AM579" s="11"/>
      <c r="AN579" s="11"/>
      <c r="AO579" s="9"/>
      <c r="AP579" s="9"/>
      <c r="AQ579" s="9"/>
    </row>
    <row r="580" spans="1:43" x14ac:dyDescent="0.25">
      <c r="A580" s="9"/>
      <c r="B580" s="10"/>
      <c r="C580" s="9"/>
      <c r="D580" s="9"/>
      <c r="E580" s="9"/>
      <c r="F580" s="9"/>
      <c r="G580" s="9"/>
      <c r="H580" s="9"/>
      <c r="I580" s="10"/>
      <c r="J580" s="11"/>
      <c r="K580" s="11"/>
      <c r="L580" s="9"/>
      <c r="M580" s="9"/>
      <c r="N580" s="9"/>
      <c r="O580" s="9"/>
      <c r="P580" s="9"/>
      <c r="Q580" s="9"/>
      <c r="R580" s="9"/>
      <c r="S580" s="9"/>
      <c r="T580" s="9"/>
      <c r="U580" s="9"/>
      <c r="V580" s="9"/>
      <c r="W580" s="9"/>
      <c r="X580" s="11"/>
      <c r="Y580" s="9"/>
      <c r="Z580" s="11"/>
      <c r="AA580" s="9"/>
      <c r="AB580" s="9"/>
      <c r="AC580" s="11"/>
      <c r="AD580" s="9"/>
      <c r="AE580" s="9"/>
      <c r="AF580" s="9"/>
      <c r="AG580" s="9"/>
      <c r="AH580" s="9"/>
      <c r="AI580" s="9"/>
      <c r="AJ580" s="9"/>
      <c r="AK580" s="9"/>
      <c r="AL580" s="9"/>
      <c r="AM580" s="11"/>
      <c r="AN580" s="11"/>
      <c r="AO580" s="9"/>
      <c r="AP580" s="9"/>
      <c r="AQ580" s="9"/>
    </row>
    <row r="581" spans="1:43" x14ac:dyDescent="0.25">
      <c r="A581" s="9"/>
      <c r="B581" s="10"/>
      <c r="C581" s="9"/>
      <c r="D581" s="9"/>
      <c r="E581" s="9"/>
      <c r="F581" s="9"/>
      <c r="G581" s="9"/>
      <c r="H581" s="9"/>
      <c r="I581" s="10"/>
      <c r="J581" s="11"/>
      <c r="K581" s="11"/>
      <c r="L581" s="9"/>
      <c r="M581" s="9"/>
      <c r="N581" s="9"/>
      <c r="O581" s="9"/>
      <c r="P581" s="9"/>
      <c r="Q581" s="9"/>
      <c r="R581" s="9"/>
      <c r="S581" s="9"/>
      <c r="T581" s="9"/>
      <c r="U581" s="9"/>
      <c r="V581" s="9"/>
      <c r="W581" s="9"/>
      <c r="X581" s="11"/>
      <c r="Y581" s="9"/>
      <c r="Z581" s="11"/>
      <c r="AA581" s="9"/>
      <c r="AB581" s="9"/>
      <c r="AC581" s="11"/>
      <c r="AD581" s="9"/>
      <c r="AE581" s="9"/>
      <c r="AF581" s="9"/>
      <c r="AG581" s="9"/>
      <c r="AH581" s="9"/>
      <c r="AI581" s="9"/>
      <c r="AJ581" s="9"/>
      <c r="AK581" s="9"/>
      <c r="AL581" s="9"/>
      <c r="AM581" s="11"/>
      <c r="AN581" s="11"/>
      <c r="AO581" s="9"/>
      <c r="AP581" s="9"/>
      <c r="AQ581" s="9"/>
    </row>
    <row r="582" spans="1:43" x14ac:dyDescent="0.25">
      <c r="A582" s="9"/>
      <c r="B582" s="10"/>
      <c r="C582" s="9"/>
      <c r="D582" s="9"/>
      <c r="E582" s="9"/>
      <c r="F582" s="9"/>
      <c r="G582" s="9"/>
      <c r="H582" s="9"/>
      <c r="I582" s="10"/>
      <c r="J582" s="11"/>
      <c r="K582" s="11"/>
      <c r="L582" s="9"/>
      <c r="M582" s="9"/>
      <c r="N582" s="9"/>
      <c r="O582" s="9"/>
      <c r="P582" s="9"/>
      <c r="Q582" s="9"/>
      <c r="R582" s="9"/>
      <c r="S582" s="9"/>
      <c r="T582" s="9"/>
      <c r="U582" s="9"/>
      <c r="V582" s="9"/>
      <c r="W582" s="9"/>
      <c r="X582" s="11"/>
      <c r="Y582" s="9"/>
      <c r="Z582" s="11"/>
      <c r="AA582" s="9"/>
      <c r="AB582" s="9"/>
      <c r="AC582" s="11"/>
      <c r="AD582" s="9"/>
      <c r="AE582" s="9"/>
      <c r="AF582" s="9"/>
      <c r="AG582" s="9"/>
      <c r="AH582" s="9"/>
      <c r="AI582" s="9"/>
      <c r="AJ582" s="9"/>
      <c r="AK582" s="9"/>
      <c r="AL582" s="9"/>
      <c r="AM582" s="11"/>
      <c r="AN582" s="11"/>
      <c r="AO582" s="9"/>
      <c r="AP582" s="9"/>
      <c r="AQ582" s="9"/>
    </row>
    <row r="583" spans="1:43" x14ac:dyDescent="0.25">
      <c r="A583" s="9"/>
      <c r="B583" s="10"/>
      <c r="C583" s="9"/>
      <c r="D583" s="9"/>
      <c r="E583" s="9"/>
      <c r="F583" s="9"/>
      <c r="G583" s="9"/>
      <c r="H583" s="9"/>
      <c r="I583" s="10"/>
      <c r="J583" s="11"/>
      <c r="K583" s="11"/>
      <c r="L583" s="9"/>
      <c r="M583" s="9"/>
      <c r="N583" s="9"/>
      <c r="O583" s="9"/>
      <c r="P583" s="9"/>
      <c r="Q583" s="9"/>
      <c r="R583" s="9"/>
      <c r="S583" s="9"/>
      <c r="T583" s="9"/>
      <c r="U583" s="9"/>
      <c r="V583" s="9"/>
      <c r="W583" s="9"/>
      <c r="X583" s="11"/>
      <c r="Y583" s="9"/>
      <c r="Z583" s="11"/>
      <c r="AA583" s="9"/>
      <c r="AB583" s="9"/>
      <c r="AC583" s="11"/>
      <c r="AD583" s="9"/>
      <c r="AE583" s="9"/>
      <c r="AF583" s="9"/>
      <c r="AG583" s="9"/>
      <c r="AH583" s="9"/>
      <c r="AI583" s="9"/>
      <c r="AJ583" s="9"/>
      <c r="AK583" s="9"/>
      <c r="AL583" s="9"/>
      <c r="AM583" s="11"/>
      <c r="AN583" s="11"/>
      <c r="AO583" s="9"/>
      <c r="AP583" s="9"/>
      <c r="AQ583" s="9"/>
    </row>
    <row r="584" spans="1:43" x14ac:dyDescent="0.25">
      <c r="A584" s="9"/>
      <c r="B584" s="10"/>
      <c r="C584" s="9"/>
      <c r="D584" s="9"/>
      <c r="E584" s="9"/>
      <c r="F584" s="9"/>
      <c r="G584" s="9"/>
      <c r="H584" s="9"/>
      <c r="I584" s="10"/>
      <c r="J584" s="11"/>
      <c r="K584" s="11"/>
      <c r="L584" s="9"/>
      <c r="M584" s="9"/>
      <c r="N584" s="9"/>
      <c r="O584" s="9"/>
      <c r="P584" s="9"/>
      <c r="Q584" s="9"/>
      <c r="R584" s="9"/>
      <c r="S584" s="9"/>
      <c r="T584" s="9"/>
      <c r="U584" s="9"/>
      <c r="V584" s="9"/>
      <c r="W584" s="9"/>
      <c r="X584" s="11"/>
      <c r="Y584" s="9"/>
      <c r="Z584" s="11"/>
      <c r="AA584" s="9"/>
      <c r="AB584" s="9"/>
      <c r="AC584" s="11"/>
      <c r="AD584" s="9"/>
      <c r="AE584" s="9"/>
      <c r="AF584" s="9"/>
      <c r="AG584" s="9"/>
      <c r="AH584" s="9"/>
      <c r="AI584" s="9"/>
      <c r="AJ584" s="9"/>
      <c r="AK584" s="9"/>
      <c r="AL584" s="9"/>
      <c r="AM584" s="11"/>
      <c r="AN584" s="11"/>
      <c r="AO584" s="9"/>
      <c r="AP584" s="9"/>
      <c r="AQ584" s="9"/>
    </row>
    <row r="585" spans="1:43" x14ac:dyDescent="0.25">
      <c r="A585" s="9"/>
      <c r="B585" s="10"/>
      <c r="C585" s="9"/>
      <c r="D585" s="9"/>
      <c r="E585" s="9"/>
      <c r="F585" s="9"/>
      <c r="G585" s="9"/>
      <c r="H585" s="9"/>
      <c r="I585" s="10"/>
      <c r="J585" s="11"/>
      <c r="K585" s="11"/>
      <c r="L585" s="9"/>
      <c r="M585" s="9"/>
      <c r="N585" s="9"/>
      <c r="O585" s="9"/>
      <c r="P585" s="9"/>
      <c r="Q585" s="9"/>
      <c r="R585" s="9"/>
      <c r="S585" s="9"/>
      <c r="T585" s="9"/>
      <c r="U585" s="9"/>
      <c r="V585" s="9"/>
      <c r="W585" s="9"/>
      <c r="X585" s="11"/>
      <c r="Y585" s="9"/>
      <c r="Z585" s="11"/>
      <c r="AA585" s="9"/>
      <c r="AB585" s="9"/>
      <c r="AC585" s="11"/>
      <c r="AD585" s="9"/>
      <c r="AE585" s="9"/>
      <c r="AF585" s="9"/>
      <c r="AG585" s="9"/>
      <c r="AH585" s="9"/>
      <c r="AI585" s="9"/>
      <c r="AJ585" s="9"/>
      <c r="AK585" s="9"/>
      <c r="AL585" s="9"/>
      <c r="AM585" s="11"/>
      <c r="AN585" s="11"/>
      <c r="AO585" s="9"/>
      <c r="AP585" s="9"/>
      <c r="AQ585" s="9"/>
    </row>
    <row r="586" spans="1:43" x14ac:dyDescent="0.25">
      <c r="A586" s="9"/>
      <c r="B586" s="10"/>
      <c r="C586" s="9"/>
      <c r="D586" s="9"/>
      <c r="E586" s="9"/>
      <c r="F586" s="9"/>
      <c r="G586" s="9"/>
      <c r="H586" s="9"/>
      <c r="I586" s="10"/>
      <c r="J586" s="11"/>
      <c r="K586" s="11"/>
      <c r="L586" s="9"/>
      <c r="M586" s="9"/>
      <c r="N586" s="9"/>
      <c r="O586" s="9"/>
      <c r="P586" s="9"/>
      <c r="Q586" s="9"/>
      <c r="R586" s="9"/>
      <c r="S586" s="9"/>
      <c r="T586" s="9"/>
      <c r="U586" s="9"/>
      <c r="V586" s="9"/>
      <c r="W586" s="9"/>
      <c r="X586" s="11"/>
      <c r="Y586" s="9"/>
      <c r="Z586" s="11"/>
      <c r="AA586" s="9"/>
      <c r="AB586" s="9"/>
      <c r="AC586" s="11"/>
      <c r="AD586" s="9"/>
      <c r="AE586" s="9"/>
      <c r="AF586" s="9"/>
      <c r="AG586" s="9"/>
      <c r="AH586" s="9"/>
      <c r="AI586" s="9"/>
      <c r="AJ586" s="9"/>
      <c r="AK586" s="9"/>
      <c r="AL586" s="9"/>
      <c r="AM586" s="11"/>
      <c r="AN586" s="11"/>
      <c r="AO586" s="9"/>
      <c r="AP586" s="9"/>
      <c r="AQ586" s="9"/>
    </row>
    <row r="587" spans="1:43" x14ac:dyDescent="0.25">
      <c r="A587" s="9"/>
      <c r="B587" s="10"/>
      <c r="C587" s="9"/>
      <c r="D587" s="9"/>
      <c r="E587" s="9"/>
      <c r="F587" s="9"/>
      <c r="G587" s="9"/>
      <c r="H587" s="9"/>
      <c r="I587" s="10"/>
      <c r="J587" s="11"/>
      <c r="K587" s="11"/>
      <c r="L587" s="9"/>
      <c r="M587" s="9"/>
      <c r="N587" s="9"/>
      <c r="O587" s="9"/>
      <c r="P587" s="9"/>
      <c r="Q587" s="9"/>
      <c r="R587" s="9"/>
      <c r="S587" s="9"/>
      <c r="T587" s="9"/>
      <c r="U587" s="9"/>
      <c r="V587" s="9"/>
      <c r="W587" s="9"/>
      <c r="X587" s="11"/>
      <c r="Y587" s="9"/>
      <c r="Z587" s="11"/>
      <c r="AA587" s="9"/>
      <c r="AB587" s="9"/>
      <c r="AC587" s="11"/>
      <c r="AD587" s="9"/>
      <c r="AE587" s="9"/>
      <c r="AF587" s="9"/>
      <c r="AG587" s="9"/>
      <c r="AH587" s="9"/>
      <c r="AI587" s="9"/>
      <c r="AJ587" s="9"/>
      <c r="AK587" s="9"/>
      <c r="AL587" s="9"/>
      <c r="AM587" s="11"/>
      <c r="AN587" s="11"/>
      <c r="AO587" s="9"/>
      <c r="AP587" s="9"/>
      <c r="AQ587" s="9"/>
    </row>
    <row r="588" spans="1:43" x14ac:dyDescent="0.25">
      <c r="A588" s="9"/>
      <c r="B588" s="10"/>
      <c r="C588" s="9"/>
      <c r="D588" s="9"/>
      <c r="E588" s="9"/>
      <c r="F588" s="9"/>
      <c r="G588" s="9"/>
      <c r="H588" s="9"/>
      <c r="I588" s="10"/>
      <c r="J588" s="11"/>
      <c r="K588" s="11"/>
      <c r="L588" s="9"/>
      <c r="M588" s="9"/>
      <c r="N588" s="9"/>
      <c r="O588" s="9"/>
      <c r="P588" s="9"/>
      <c r="Q588" s="9"/>
      <c r="R588" s="9"/>
      <c r="S588" s="9"/>
      <c r="T588" s="9"/>
      <c r="U588" s="9"/>
      <c r="V588" s="9"/>
      <c r="W588" s="9"/>
      <c r="X588" s="11"/>
      <c r="Y588" s="9"/>
      <c r="Z588" s="11"/>
      <c r="AA588" s="9"/>
      <c r="AB588" s="9"/>
      <c r="AC588" s="11"/>
      <c r="AD588" s="9"/>
      <c r="AE588" s="9"/>
      <c r="AF588" s="9"/>
      <c r="AG588" s="9"/>
      <c r="AH588" s="9"/>
      <c r="AI588" s="9"/>
      <c r="AJ588" s="9"/>
      <c r="AK588" s="9"/>
      <c r="AL588" s="9"/>
      <c r="AM588" s="11"/>
      <c r="AN588" s="11"/>
      <c r="AO588" s="9"/>
      <c r="AP588" s="9"/>
      <c r="AQ588" s="9"/>
    </row>
    <row r="589" spans="1:43" x14ac:dyDescent="0.25">
      <c r="A589" s="9"/>
      <c r="B589" s="10"/>
      <c r="C589" s="9"/>
      <c r="D589" s="9"/>
      <c r="E589" s="9"/>
      <c r="F589" s="9"/>
      <c r="G589" s="9"/>
      <c r="H589" s="9"/>
      <c r="I589" s="10"/>
      <c r="J589" s="10"/>
      <c r="K589" s="11"/>
      <c r="L589" s="9"/>
      <c r="M589" s="9"/>
      <c r="N589" s="9"/>
      <c r="O589" s="9"/>
      <c r="P589" s="9"/>
      <c r="Q589" s="9"/>
      <c r="R589" s="9"/>
      <c r="S589" s="9"/>
      <c r="T589" s="9"/>
      <c r="U589" s="9"/>
      <c r="V589" s="9"/>
      <c r="W589" s="9"/>
      <c r="X589" s="10"/>
      <c r="Y589" s="9"/>
      <c r="Z589" s="11"/>
      <c r="AA589" s="9"/>
      <c r="AB589" s="9"/>
      <c r="AC589" s="10"/>
      <c r="AD589" s="9"/>
      <c r="AE589" s="9"/>
      <c r="AF589" s="9"/>
      <c r="AG589" s="9"/>
      <c r="AH589" s="9"/>
      <c r="AI589" s="9"/>
      <c r="AJ589" s="9"/>
      <c r="AK589" s="9"/>
      <c r="AL589" s="9"/>
      <c r="AM589" s="11"/>
      <c r="AN589" s="11"/>
      <c r="AO589" s="9"/>
      <c r="AP589" s="9"/>
      <c r="AQ589" s="9"/>
    </row>
    <row r="590" spans="1:43" x14ac:dyDescent="0.25">
      <c r="A590" s="9"/>
      <c r="B590" s="10"/>
      <c r="C590" s="9"/>
      <c r="D590" s="9"/>
      <c r="E590" s="9"/>
      <c r="F590" s="9"/>
      <c r="G590" s="9"/>
      <c r="H590" s="9"/>
      <c r="I590" s="10"/>
      <c r="J590" s="11"/>
      <c r="K590" s="11"/>
      <c r="L590" s="9"/>
      <c r="M590" s="9"/>
      <c r="N590" s="9"/>
      <c r="O590" s="9"/>
      <c r="P590" s="9"/>
      <c r="Q590" s="9"/>
      <c r="R590" s="9"/>
      <c r="S590" s="9"/>
      <c r="T590" s="9"/>
      <c r="U590" s="9"/>
      <c r="V590" s="9"/>
      <c r="W590" s="9"/>
      <c r="X590" s="11"/>
      <c r="Y590" s="9"/>
      <c r="Z590" s="11"/>
      <c r="AA590" s="9"/>
      <c r="AB590" s="9"/>
      <c r="AC590" s="11"/>
      <c r="AD590" s="9"/>
      <c r="AE590" s="9"/>
      <c r="AF590" s="9"/>
      <c r="AG590" s="9"/>
      <c r="AH590" s="9"/>
      <c r="AI590" s="9"/>
      <c r="AJ590" s="9"/>
      <c r="AK590" s="9"/>
      <c r="AL590" s="9"/>
      <c r="AM590" s="11"/>
      <c r="AN590" s="11"/>
      <c r="AO590" s="9"/>
      <c r="AP590" s="9"/>
      <c r="AQ590" s="9"/>
    </row>
    <row r="591" spans="1:43" x14ac:dyDescent="0.25">
      <c r="A591" s="9"/>
      <c r="B591" s="10"/>
      <c r="C591" s="9"/>
      <c r="D591" s="9"/>
      <c r="E591" s="9"/>
      <c r="F591" s="9"/>
      <c r="G591" s="9"/>
      <c r="H591" s="9"/>
      <c r="I591" s="10"/>
      <c r="J591" s="11"/>
      <c r="K591" s="11"/>
      <c r="L591" s="9"/>
      <c r="M591" s="9"/>
      <c r="N591" s="9"/>
      <c r="O591" s="9"/>
      <c r="P591" s="9"/>
      <c r="Q591" s="9"/>
      <c r="R591" s="9"/>
      <c r="S591" s="9"/>
      <c r="T591" s="9"/>
      <c r="U591" s="9"/>
      <c r="V591" s="9"/>
      <c r="W591" s="9"/>
      <c r="X591" s="11"/>
      <c r="Y591" s="9"/>
      <c r="Z591" s="11"/>
      <c r="AA591" s="9"/>
      <c r="AB591" s="9"/>
      <c r="AC591" s="11"/>
      <c r="AD591" s="9"/>
      <c r="AE591" s="9"/>
      <c r="AF591" s="9"/>
      <c r="AG591" s="9"/>
      <c r="AH591" s="9"/>
      <c r="AI591" s="9"/>
      <c r="AJ591" s="9"/>
      <c r="AK591" s="9"/>
      <c r="AL591" s="9"/>
      <c r="AM591" s="11"/>
      <c r="AN591" s="11"/>
      <c r="AO591" s="9"/>
      <c r="AP591" s="9"/>
      <c r="AQ591" s="9"/>
    </row>
    <row r="592" spans="1:43" x14ac:dyDescent="0.25">
      <c r="A592" s="9"/>
      <c r="B592" s="10"/>
      <c r="C592" s="9"/>
      <c r="D592" s="9"/>
      <c r="E592" s="9"/>
      <c r="F592" s="9"/>
      <c r="G592" s="9"/>
      <c r="H592" s="9"/>
      <c r="I592" s="10"/>
      <c r="J592" s="11"/>
      <c r="K592" s="11"/>
      <c r="L592" s="9"/>
      <c r="M592" s="9"/>
      <c r="N592" s="9"/>
      <c r="O592" s="9"/>
      <c r="P592" s="9"/>
      <c r="Q592" s="9"/>
      <c r="R592" s="9"/>
      <c r="S592" s="9"/>
      <c r="T592" s="9"/>
      <c r="U592" s="9"/>
      <c r="V592" s="9"/>
      <c r="W592" s="9"/>
      <c r="X592" s="11"/>
      <c r="Y592" s="9"/>
      <c r="Z592" s="11"/>
      <c r="AA592" s="9"/>
      <c r="AB592" s="9"/>
      <c r="AC592" s="11"/>
      <c r="AD592" s="9"/>
      <c r="AE592" s="9"/>
      <c r="AF592" s="9"/>
      <c r="AG592" s="9"/>
      <c r="AH592" s="9"/>
      <c r="AI592" s="9"/>
      <c r="AJ592" s="9"/>
      <c r="AK592" s="9"/>
      <c r="AL592" s="9"/>
      <c r="AM592" s="11"/>
      <c r="AN592" s="11"/>
      <c r="AO592" s="9"/>
      <c r="AP592" s="9"/>
      <c r="AQ592" s="9"/>
    </row>
    <row r="593" spans="1:43" x14ac:dyDescent="0.25">
      <c r="A593" s="9"/>
      <c r="B593" s="10"/>
      <c r="C593" s="9"/>
      <c r="D593" s="9"/>
      <c r="E593" s="9"/>
      <c r="F593" s="9"/>
      <c r="G593" s="9"/>
      <c r="H593" s="9"/>
      <c r="I593" s="10"/>
      <c r="J593" s="11"/>
      <c r="K593" s="11"/>
      <c r="L593" s="9"/>
      <c r="M593" s="9"/>
      <c r="N593" s="9"/>
      <c r="O593" s="9"/>
      <c r="P593" s="9"/>
      <c r="Q593" s="9"/>
      <c r="R593" s="9"/>
      <c r="S593" s="9"/>
      <c r="T593" s="9"/>
      <c r="U593" s="9"/>
      <c r="V593" s="9"/>
      <c r="W593" s="9"/>
      <c r="X593" s="11"/>
      <c r="Y593" s="9"/>
      <c r="Z593" s="11"/>
      <c r="AA593" s="9"/>
      <c r="AB593" s="9"/>
      <c r="AC593" s="11"/>
      <c r="AD593" s="9"/>
      <c r="AE593" s="9"/>
      <c r="AF593" s="9"/>
      <c r="AG593" s="9"/>
      <c r="AH593" s="9"/>
      <c r="AI593" s="9"/>
      <c r="AJ593" s="9"/>
      <c r="AK593" s="9"/>
      <c r="AL593" s="9"/>
      <c r="AM593" s="11"/>
      <c r="AN593" s="11"/>
      <c r="AO593" s="9"/>
      <c r="AP593" s="9"/>
      <c r="AQ593" s="9"/>
    </row>
    <row r="594" spans="1:43" x14ac:dyDescent="0.25">
      <c r="A594" s="9"/>
      <c r="B594" s="10"/>
      <c r="C594" s="9"/>
      <c r="D594" s="9"/>
      <c r="E594" s="9"/>
      <c r="F594" s="9"/>
      <c r="G594" s="9"/>
      <c r="H594" s="9"/>
      <c r="I594" s="10"/>
      <c r="J594" s="11"/>
      <c r="K594" s="11"/>
      <c r="L594" s="9"/>
      <c r="M594" s="9"/>
      <c r="N594" s="9"/>
      <c r="O594" s="9"/>
      <c r="P594" s="9"/>
      <c r="Q594" s="9"/>
      <c r="R594" s="9"/>
      <c r="S594" s="9"/>
      <c r="T594" s="9"/>
      <c r="U594" s="9"/>
      <c r="V594" s="9"/>
      <c r="W594" s="9"/>
      <c r="X594" s="11"/>
      <c r="Y594" s="9"/>
      <c r="Z594" s="11"/>
      <c r="AA594" s="9"/>
      <c r="AB594" s="9"/>
      <c r="AC594" s="11"/>
      <c r="AD594" s="9"/>
      <c r="AE594" s="9"/>
      <c r="AF594" s="9"/>
      <c r="AG594" s="9"/>
      <c r="AH594" s="9"/>
      <c r="AI594" s="9"/>
      <c r="AJ594" s="9"/>
      <c r="AK594" s="9"/>
      <c r="AL594" s="9"/>
      <c r="AM594" s="11"/>
      <c r="AN594" s="11"/>
      <c r="AO594" s="9"/>
      <c r="AP594" s="9"/>
      <c r="AQ594" s="9"/>
    </row>
    <row r="595" spans="1:43" x14ac:dyDescent="0.25">
      <c r="A595" s="9"/>
      <c r="B595" s="10"/>
      <c r="C595" s="9"/>
      <c r="D595" s="9"/>
      <c r="E595" s="9"/>
      <c r="F595" s="9"/>
      <c r="G595" s="9"/>
      <c r="H595" s="9"/>
      <c r="I595" s="10"/>
      <c r="J595" s="11"/>
      <c r="K595" s="11"/>
      <c r="L595" s="9"/>
      <c r="M595" s="9"/>
      <c r="N595" s="9"/>
      <c r="O595" s="9"/>
      <c r="P595" s="9"/>
      <c r="Q595" s="9"/>
      <c r="R595" s="9"/>
      <c r="S595" s="9"/>
      <c r="T595" s="9"/>
      <c r="U595" s="9"/>
      <c r="V595" s="9"/>
      <c r="W595" s="9"/>
      <c r="X595" s="11"/>
      <c r="Y595" s="9"/>
      <c r="Z595" s="11"/>
      <c r="AA595" s="9"/>
      <c r="AB595" s="9"/>
      <c r="AC595" s="11"/>
      <c r="AD595" s="9"/>
      <c r="AE595" s="9"/>
      <c r="AF595" s="9"/>
      <c r="AG595" s="9"/>
      <c r="AH595" s="9"/>
      <c r="AI595" s="9"/>
      <c r="AJ595" s="9"/>
      <c r="AK595" s="9"/>
      <c r="AL595" s="9"/>
      <c r="AM595" s="11"/>
      <c r="AN595" s="11"/>
      <c r="AO595" s="9"/>
      <c r="AP595" s="9"/>
      <c r="AQ595" s="9"/>
    </row>
    <row r="596" spans="1:43" x14ac:dyDescent="0.25">
      <c r="A596" s="9"/>
      <c r="B596" s="10"/>
      <c r="C596" s="9"/>
      <c r="D596" s="9"/>
      <c r="E596" s="9"/>
      <c r="F596" s="9"/>
      <c r="G596" s="9"/>
      <c r="H596" s="9"/>
      <c r="I596" s="10"/>
      <c r="J596" s="11"/>
      <c r="K596" s="11"/>
      <c r="L596" s="9"/>
      <c r="M596" s="9"/>
      <c r="N596" s="9"/>
      <c r="O596" s="9"/>
      <c r="P596" s="9"/>
      <c r="Q596" s="9"/>
      <c r="R596" s="9"/>
      <c r="S596" s="9"/>
      <c r="T596" s="9"/>
      <c r="U596" s="9"/>
      <c r="V596" s="9"/>
      <c r="W596" s="9"/>
      <c r="X596" s="11"/>
      <c r="Y596" s="9"/>
      <c r="Z596" s="11"/>
      <c r="AA596" s="9"/>
      <c r="AB596" s="9"/>
      <c r="AC596" s="11"/>
      <c r="AD596" s="9"/>
      <c r="AE596" s="9"/>
      <c r="AF596" s="9"/>
      <c r="AG596" s="9"/>
      <c r="AH596" s="9"/>
      <c r="AI596" s="9"/>
      <c r="AJ596" s="9"/>
      <c r="AK596" s="9"/>
      <c r="AL596" s="9"/>
      <c r="AM596" s="11"/>
      <c r="AN596" s="11"/>
      <c r="AO596" s="9"/>
      <c r="AP596" s="9"/>
      <c r="AQ596" s="9"/>
    </row>
    <row r="597" spans="1:43" x14ac:dyDescent="0.25">
      <c r="A597" s="9"/>
      <c r="B597" s="10"/>
      <c r="C597" s="9"/>
      <c r="D597" s="9"/>
      <c r="E597" s="9"/>
      <c r="F597" s="9"/>
      <c r="G597" s="9"/>
      <c r="H597" s="9"/>
      <c r="I597" s="10"/>
      <c r="J597" s="11"/>
      <c r="K597" s="11"/>
      <c r="L597" s="9"/>
      <c r="M597" s="9"/>
      <c r="N597" s="9"/>
      <c r="O597" s="9"/>
      <c r="P597" s="9"/>
      <c r="Q597" s="9"/>
      <c r="R597" s="9"/>
      <c r="S597" s="9"/>
      <c r="T597" s="9"/>
      <c r="U597" s="9"/>
      <c r="V597" s="9"/>
      <c r="W597" s="9"/>
      <c r="X597" s="11"/>
      <c r="Y597" s="9"/>
      <c r="Z597" s="11"/>
      <c r="AA597" s="9"/>
      <c r="AB597" s="9"/>
      <c r="AC597" s="11"/>
      <c r="AD597" s="9"/>
      <c r="AE597" s="9"/>
      <c r="AF597" s="9"/>
      <c r="AG597" s="9"/>
      <c r="AH597" s="9"/>
      <c r="AI597" s="9"/>
      <c r="AJ597" s="9"/>
      <c r="AK597" s="9"/>
      <c r="AL597" s="9"/>
      <c r="AM597" s="11"/>
      <c r="AN597" s="11"/>
      <c r="AO597" s="9"/>
      <c r="AP597" s="9"/>
      <c r="AQ597" s="9"/>
    </row>
    <row r="598" spans="1:43" x14ac:dyDescent="0.25">
      <c r="A598" s="9"/>
      <c r="B598" s="10"/>
      <c r="C598" s="9"/>
      <c r="D598" s="9"/>
      <c r="E598" s="9"/>
      <c r="F598" s="9"/>
      <c r="G598" s="9"/>
      <c r="H598" s="9"/>
      <c r="I598" s="10"/>
      <c r="J598" s="11"/>
      <c r="K598" s="10"/>
      <c r="L598" s="9"/>
      <c r="M598" s="9"/>
      <c r="N598" s="9"/>
      <c r="O598" s="9"/>
      <c r="P598" s="9"/>
      <c r="Q598" s="9"/>
      <c r="R598" s="9"/>
      <c r="S598" s="9"/>
      <c r="T598" s="9"/>
      <c r="U598" s="9"/>
      <c r="V598" s="9"/>
      <c r="W598" s="9"/>
      <c r="X598" s="11"/>
      <c r="Y598" s="9"/>
      <c r="Z598" s="10"/>
      <c r="AA598" s="9"/>
      <c r="AB598" s="9"/>
      <c r="AC598" s="10"/>
      <c r="AD598" s="9"/>
      <c r="AE598" s="9"/>
      <c r="AF598" s="9"/>
      <c r="AG598" s="9"/>
      <c r="AH598" s="9"/>
      <c r="AI598" s="9"/>
      <c r="AJ598" s="9"/>
      <c r="AK598" s="9"/>
      <c r="AL598" s="9"/>
      <c r="AM598" s="10"/>
      <c r="AN598" s="11"/>
      <c r="AO598" s="9"/>
      <c r="AP598" s="9"/>
      <c r="AQ598" s="9"/>
    </row>
    <row r="599" spans="1:43" x14ac:dyDescent="0.25">
      <c r="A599" s="9"/>
      <c r="B599" s="10"/>
      <c r="C599" s="9"/>
      <c r="D599" s="9"/>
      <c r="E599" s="9"/>
      <c r="F599" s="9"/>
      <c r="G599" s="9"/>
      <c r="H599" s="9"/>
      <c r="I599" s="10"/>
      <c r="J599" s="11"/>
      <c r="K599" s="11"/>
      <c r="L599" s="9"/>
      <c r="M599" s="9"/>
      <c r="N599" s="9"/>
      <c r="O599" s="9"/>
      <c r="P599" s="9"/>
      <c r="Q599" s="9"/>
      <c r="R599" s="9"/>
      <c r="S599" s="9"/>
      <c r="T599" s="9"/>
      <c r="U599" s="9"/>
      <c r="V599" s="9"/>
      <c r="W599" s="9"/>
      <c r="X599" s="11"/>
      <c r="Y599" s="9"/>
      <c r="Z599" s="11"/>
      <c r="AA599" s="9"/>
      <c r="AB599" s="9"/>
      <c r="AC599" s="11"/>
      <c r="AD599" s="9"/>
      <c r="AE599" s="9"/>
      <c r="AF599" s="9"/>
      <c r="AG599" s="9"/>
      <c r="AH599" s="9"/>
      <c r="AI599" s="9"/>
      <c r="AJ599" s="9"/>
      <c r="AK599" s="9"/>
      <c r="AL599" s="9"/>
      <c r="AM599" s="11"/>
      <c r="AN599" s="11"/>
      <c r="AO599" s="9"/>
      <c r="AP599" s="9"/>
      <c r="AQ599" s="9"/>
    </row>
    <row r="600" spans="1:43" x14ac:dyDescent="0.25">
      <c r="A600" s="9"/>
      <c r="B600" s="10"/>
      <c r="C600" s="9"/>
      <c r="D600" s="9"/>
      <c r="E600" s="9"/>
      <c r="F600" s="9"/>
      <c r="G600" s="9"/>
      <c r="H600" s="9"/>
      <c r="I600" s="10"/>
      <c r="J600" s="11"/>
      <c r="K600" s="11"/>
      <c r="L600" s="9"/>
      <c r="M600" s="9"/>
      <c r="N600" s="9"/>
      <c r="O600" s="9"/>
      <c r="P600" s="9"/>
      <c r="Q600" s="9"/>
      <c r="R600" s="9"/>
      <c r="S600" s="9"/>
      <c r="T600" s="9"/>
      <c r="U600" s="9"/>
      <c r="V600" s="9"/>
      <c r="W600" s="9"/>
      <c r="X600" s="11"/>
      <c r="Y600" s="9"/>
      <c r="Z600" s="11"/>
      <c r="AA600" s="9"/>
      <c r="AB600" s="9"/>
      <c r="AC600" s="11"/>
      <c r="AD600" s="9"/>
      <c r="AE600" s="9"/>
      <c r="AF600" s="9"/>
      <c r="AG600" s="9"/>
      <c r="AH600" s="9"/>
      <c r="AI600" s="9"/>
      <c r="AJ600" s="9"/>
      <c r="AK600" s="9"/>
      <c r="AL600" s="9"/>
      <c r="AM600" s="11"/>
      <c r="AN600" s="11"/>
      <c r="AO600" s="9"/>
      <c r="AP600" s="9"/>
      <c r="AQ600" s="9"/>
    </row>
    <row r="601" spans="1:43" x14ac:dyDescent="0.25">
      <c r="A601" s="9"/>
      <c r="B601" s="10"/>
      <c r="C601" s="9"/>
      <c r="D601" s="9"/>
      <c r="E601" s="9"/>
      <c r="F601" s="9"/>
      <c r="G601" s="9"/>
      <c r="H601" s="9"/>
      <c r="I601" s="10"/>
      <c r="J601" s="11"/>
      <c r="K601" s="11"/>
      <c r="L601" s="9"/>
      <c r="M601" s="9"/>
      <c r="N601" s="9"/>
      <c r="O601" s="9"/>
      <c r="P601" s="9"/>
      <c r="Q601" s="9"/>
      <c r="R601" s="9"/>
      <c r="S601" s="9"/>
      <c r="T601" s="9"/>
      <c r="U601" s="9"/>
      <c r="V601" s="9"/>
      <c r="W601" s="9"/>
      <c r="X601" s="11"/>
      <c r="Y601" s="9"/>
      <c r="Z601" s="11"/>
      <c r="AA601" s="9"/>
      <c r="AB601" s="9"/>
      <c r="AC601" s="11"/>
      <c r="AD601" s="9"/>
      <c r="AE601" s="9"/>
      <c r="AF601" s="9"/>
      <c r="AG601" s="9"/>
      <c r="AH601" s="9"/>
      <c r="AI601" s="9"/>
      <c r="AJ601" s="9"/>
      <c r="AK601" s="9"/>
      <c r="AL601" s="9"/>
      <c r="AM601" s="11"/>
      <c r="AN601" s="11"/>
      <c r="AO601" s="9"/>
      <c r="AP601" s="9"/>
      <c r="AQ601" s="9"/>
    </row>
    <row r="602" spans="1:43" x14ac:dyDescent="0.25">
      <c r="A602" s="9"/>
      <c r="B602" s="10"/>
      <c r="C602" s="9"/>
      <c r="D602" s="9"/>
      <c r="E602" s="9"/>
      <c r="F602" s="9"/>
      <c r="G602" s="9"/>
      <c r="H602" s="9"/>
      <c r="I602" s="10"/>
      <c r="J602" s="11"/>
      <c r="K602" s="11"/>
      <c r="L602" s="9"/>
      <c r="M602" s="9"/>
      <c r="N602" s="9"/>
      <c r="O602" s="9"/>
      <c r="P602" s="9"/>
      <c r="Q602" s="9"/>
      <c r="R602" s="9"/>
      <c r="S602" s="9"/>
      <c r="T602" s="9"/>
      <c r="U602" s="9"/>
      <c r="V602" s="9"/>
      <c r="W602" s="9"/>
      <c r="X602" s="11"/>
      <c r="Y602" s="9"/>
      <c r="Z602" s="11"/>
      <c r="AA602" s="9"/>
      <c r="AB602" s="9"/>
      <c r="AC602" s="11"/>
      <c r="AD602" s="9"/>
      <c r="AE602" s="9"/>
      <c r="AF602" s="9"/>
      <c r="AG602" s="9"/>
      <c r="AH602" s="9"/>
      <c r="AI602" s="9"/>
      <c r="AJ602" s="9"/>
      <c r="AK602" s="9"/>
      <c r="AL602" s="9"/>
      <c r="AM602" s="11"/>
      <c r="AN602" s="11"/>
      <c r="AO602" s="9"/>
      <c r="AP602" s="9"/>
      <c r="AQ602" s="9"/>
    </row>
    <row r="603" spans="1:43" x14ac:dyDescent="0.25">
      <c r="A603" s="9"/>
      <c r="B603" s="10"/>
      <c r="C603" s="9"/>
      <c r="D603" s="9"/>
      <c r="E603" s="9"/>
      <c r="F603" s="9"/>
      <c r="G603" s="9"/>
      <c r="H603" s="9"/>
      <c r="I603" s="10"/>
      <c r="J603" s="11"/>
      <c r="K603" s="11"/>
      <c r="L603" s="9"/>
      <c r="M603" s="9"/>
      <c r="N603" s="9"/>
      <c r="O603" s="9"/>
      <c r="P603" s="9"/>
      <c r="Q603" s="9"/>
      <c r="R603" s="9"/>
      <c r="S603" s="9"/>
      <c r="T603" s="9"/>
      <c r="U603" s="9"/>
      <c r="V603" s="9"/>
      <c r="W603" s="9"/>
      <c r="X603" s="11"/>
      <c r="Y603" s="9"/>
      <c r="Z603" s="11"/>
      <c r="AA603" s="9"/>
      <c r="AB603" s="9"/>
      <c r="AC603" s="11"/>
      <c r="AD603" s="9"/>
      <c r="AE603" s="9"/>
      <c r="AF603" s="9"/>
      <c r="AG603" s="9"/>
      <c r="AH603" s="9"/>
      <c r="AI603" s="9"/>
      <c r="AJ603" s="9"/>
      <c r="AK603" s="9"/>
      <c r="AL603" s="9"/>
      <c r="AM603" s="11"/>
      <c r="AN603" s="11"/>
      <c r="AO603" s="9"/>
      <c r="AP603" s="9"/>
      <c r="AQ603" s="9"/>
    </row>
    <row r="604" spans="1:43" x14ac:dyDescent="0.25">
      <c r="A604" s="9"/>
      <c r="B604" s="10"/>
      <c r="C604" s="9"/>
      <c r="D604" s="9"/>
      <c r="E604" s="9"/>
      <c r="F604" s="9"/>
      <c r="G604" s="9"/>
      <c r="H604" s="9"/>
      <c r="I604" s="10"/>
      <c r="J604" s="10"/>
      <c r="K604" s="11"/>
      <c r="L604" s="9"/>
      <c r="M604" s="9"/>
      <c r="N604" s="9"/>
      <c r="O604" s="9"/>
      <c r="P604" s="9"/>
      <c r="Q604" s="9"/>
      <c r="R604" s="9"/>
      <c r="S604" s="9"/>
      <c r="T604" s="9"/>
      <c r="U604" s="9"/>
      <c r="V604" s="9"/>
      <c r="W604" s="9"/>
      <c r="X604" s="10"/>
      <c r="Y604" s="9"/>
      <c r="Z604" s="11"/>
      <c r="AA604" s="9"/>
      <c r="AB604" s="9"/>
      <c r="AC604" s="10"/>
      <c r="AD604" s="9"/>
      <c r="AE604" s="9"/>
      <c r="AF604" s="9"/>
      <c r="AG604" s="9"/>
      <c r="AH604" s="9"/>
      <c r="AI604" s="9"/>
      <c r="AJ604" s="9"/>
      <c r="AK604" s="9"/>
      <c r="AL604" s="9"/>
      <c r="AM604" s="11"/>
      <c r="AN604" s="10"/>
      <c r="AO604" s="9"/>
      <c r="AP604" s="9"/>
      <c r="AQ604" s="9"/>
    </row>
    <row r="605" spans="1:43" x14ac:dyDescent="0.25">
      <c r="A605" s="9"/>
      <c r="B605" s="10"/>
      <c r="C605" s="9"/>
      <c r="D605" s="9"/>
      <c r="E605" s="9"/>
      <c r="F605" s="9"/>
      <c r="G605" s="9"/>
      <c r="H605" s="9"/>
      <c r="I605" s="10"/>
      <c r="J605" s="10"/>
      <c r="K605" s="10"/>
      <c r="L605" s="9"/>
      <c r="M605" s="9"/>
      <c r="N605" s="9"/>
      <c r="O605" s="9"/>
      <c r="P605" s="9"/>
      <c r="Q605" s="9"/>
      <c r="R605" s="9"/>
      <c r="S605" s="9"/>
      <c r="T605" s="9"/>
      <c r="U605" s="9"/>
      <c r="V605" s="9"/>
      <c r="W605" s="9"/>
      <c r="X605" s="10"/>
      <c r="Y605" s="9"/>
      <c r="Z605" s="10"/>
      <c r="AA605" s="9"/>
      <c r="AB605" s="9"/>
      <c r="AC605" s="10"/>
      <c r="AD605" s="9"/>
      <c r="AE605" s="9"/>
      <c r="AF605" s="9"/>
      <c r="AG605" s="9"/>
      <c r="AH605" s="9"/>
      <c r="AI605" s="9"/>
      <c r="AJ605" s="9"/>
      <c r="AK605" s="9"/>
      <c r="AL605" s="9"/>
      <c r="AM605" s="11"/>
      <c r="AN605" s="11"/>
      <c r="AO605" s="9"/>
      <c r="AP605" s="9"/>
      <c r="AQ605" s="9"/>
    </row>
    <row r="606" spans="1:43" x14ac:dyDescent="0.25">
      <c r="A606" s="9"/>
      <c r="B606" s="10"/>
      <c r="C606" s="9"/>
      <c r="D606" s="9"/>
      <c r="E606" s="9"/>
      <c r="F606" s="9"/>
      <c r="G606" s="9"/>
      <c r="H606" s="9"/>
      <c r="I606" s="10"/>
      <c r="J606" s="11"/>
      <c r="K606" s="11"/>
      <c r="L606" s="9"/>
      <c r="M606" s="9"/>
      <c r="N606" s="9"/>
      <c r="O606" s="9"/>
      <c r="P606" s="9"/>
      <c r="Q606" s="9"/>
      <c r="R606" s="9"/>
      <c r="S606" s="9"/>
      <c r="T606" s="9"/>
      <c r="U606" s="9"/>
      <c r="V606" s="9"/>
      <c r="W606" s="9"/>
      <c r="X606" s="11"/>
      <c r="Y606" s="9"/>
      <c r="Z606" s="11"/>
      <c r="AA606" s="9"/>
      <c r="AB606" s="9"/>
      <c r="AC606" s="11"/>
      <c r="AD606" s="9"/>
      <c r="AE606" s="9"/>
      <c r="AF606" s="9"/>
      <c r="AG606" s="9"/>
      <c r="AH606" s="9"/>
      <c r="AI606" s="9"/>
      <c r="AJ606" s="9"/>
      <c r="AK606" s="9"/>
      <c r="AL606" s="9"/>
      <c r="AM606" s="11"/>
      <c r="AN606" s="11"/>
      <c r="AO606" s="9"/>
      <c r="AP606" s="9"/>
      <c r="AQ606" s="9"/>
    </row>
    <row r="607" spans="1:43" x14ac:dyDescent="0.25">
      <c r="A607" s="9"/>
      <c r="B607" s="10"/>
      <c r="C607" s="9"/>
      <c r="D607" s="9"/>
      <c r="E607" s="9"/>
      <c r="F607" s="9"/>
      <c r="G607" s="9"/>
      <c r="H607" s="9"/>
      <c r="I607" s="10"/>
      <c r="J607" s="11"/>
      <c r="K607" s="11"/>
      <c r="L607" s="9"/>
      <c r="M607" s="9"/>
      <c r="N607" s="9"/>
      <c r="O607" s="9"/>
      <c r="P607" s="9"/>
      <c r="Q607" s="9"/>
      <c r="R607" s="9"/>
      <c r="S607" s="9"/>
      <c r="T607" s="9"/>
      <c r="U607" s="9"/>
      <c r="V607" s="9"/>
      <c r="W607" s="9"/>
      <c r="X607" s="11"/>
      <c r="Y607" s="9"/>
      <c r="Z607" s="11"/>
      <c r="AA607" s="9"/>
      <c r="AB607" s="9"/>
      <c r="AC607" s="11"/>
      <c r="AD607" s="9"/>
      <c r="AE607" s="9"/>
      <c r="AF607" s="9"/>
      <c r="AG607" s="9"/>
      <c r="AH607" s="9"/>
      <c r="AI607" s="9"/>
      <c r="AJ607" s="9"/>
      <c r="AK607" s="9"/>
      <c r="AL607" s="9"/>
      <c r="AM607" s="11"/>
      <c r="AN607" s="11"/>
      <c r="AO607" s="9"/>
      <c r="AP607" s="9"/>
      <c r="AQ607" s="9"/>
    </row>
    <row r="608" spans="1:43" x14ac:dyDescent="0.25">
      <c r="A608" s="9"/>
      <c r="B608" s="10"/>
      <c r="C608" s="9"/>
      <c r="D608" s="9"/>
      <c r="E608" s="9"/>
      <c r="F608" s="9"/>
      <c r="G608" s="9"/>
      <c r="H608" s="9"/>
      <c r="I608" s="10"/>
      <c r="J608" s="11"/>
      <c r="K608" s="11"/>
      <c r="L608" s="9"/>
      <c r="M608" s="9"/>
      <c r="N608" s="9"/>
      <c r="O608" s="9"/>
      <c r="P608" s="9"/>
      <c r="Q608" s="9"/>
      <c r="R608" s="9"/>
      <c r="S608" s="9"/>
      <c r="T608" s="9"/>
      <c r="U608" s="9"/>
      <c r="V608" s="9"/>
      <c r="W608" s="9"/>
      <c r="X608" s="11"/>
      <c r="Y608" s="9"/>
      <c r="Z608" s="11"/>
      <c r="AA608" s="9"/>
      <c r="AB608" s="9"/>
      <c r="AC608" s="11"/>
      <c r="AD608" s="9"/>
      <c r="AE608" s="9"/>
      <c r="AF608" s="9"/>
      <c r="AG608" s="9"/>
      <c r="AH608" s="9"/>
      <c r="AI608" s="9"/>
      <c r="AJ608" s="9"/>
      <c r="AK608" s="9"/>
      <c r="AL608" s="9"/>
      <c r="AM608" s="11"/>
      <c r="AN608" s="11"/>
      <c r="AO608" s="9"/>
      <c r="AP608" s="9"/>
      <c r="AQ608" s="9"/>
    </row>
    <row r="609" spans="1:43" x14ac:dyDescent="0.25">
      <c r="A609" s="9"/>
      <c r="B609" s="10"/>
      <c r="C609" s="9"/>
      <c r="D609" s="9"/>
      <c r="E609" s="9"/>
      <c r="F609" s="9"/>
      <c r="G609" s="9"/>
      <c r="H609" s="9"/>
      <c r="I609" s="10"/>
      <c r="J609" s="11"/>
      <c r="K609" s="11"/>
      <c r="L609" s="9"/>
      <c r="M609" s="9"/>
      <c r="N609" s="9"/>
      <c r="O609" s="9"/>
      <c r="P609" s="9"/>
      <c r="Q609" s="9"/>
      <c r="R609" s="9"/>
      <c r="S609" s="9"/>
      <c r="T609" s="9"/>
      <c r="U609" s="9"/>
      <c r="V609" s="9"/>
      <c r="W609" s="9"/>
      <c r="X609" s="11"/>
      <c r="Y609" s="9"/>
      <c r="Z609" s="11"/>
      <c r="AA609" s="9"/>
      <c r="AB609" s="9"/>
      <c r="AC609" s="11"/>
      <c r="AD609" s="9"/>
      <c r="AE609" s="9"/>
      <c r="AF609" s="9"/>
      <c r="AG609" s="9"/>
      <c r="AH609" s="9"/>
      <c r="AI609" s="9"/>
      <c r="AJ609" s="9"/>
      <c r="AK609" s="9"/>
      <c r="AL609" s="9"/>
      <c r="AM609" s="11"/>
      <c r="AN609" s="11"/>
      <c r="AO609" s="9"/>
      <c r="AP609" s="9"/>
      <c r="AQ609" s="9"/>
    </row>
    <row r="610" spans="1:43" x14ac:dyDescent="0.25">
      <c r="A610" s="9"/>
      <c r="B610" s="10"/>
      <c r="C610" s="9"/>
      <c r="D610" s="9"/>
      <c r="E610" s="9"/>
      <c r="F610" s="9"/>
      <c r="G610" s="9"/>
      <c r="H610" s="9"/>
      <c r="I610" s="10"/>
      <c r="J610" s="11"/>
      <c r="K610" s="11"/>
      <c r="L610" s="9"/>
      <c r="M610" s="9"/>
      <c r="N610" s="9"/>
      <c r="O610" s="9"/>
      <c r="P610" s="9"/>
      <c r="Q610" s="9"/>
      <c r="R610" s="9"/>
      <c r="S610" s="9"/>
      <c r="T610" s="9"/>
      <c r="U610" s="9"/>
      <c r="V610" s="9"/>
      <c r="W610" s="9"/>
      <c r="X610" s="11"/>
      <c r="Y610" s="9"/>
      <c r="Z610" s="11"/>
      <c r="AA610" s="9"/>
      <c r="AB610" s="9"/>
      <c r="AC610" s="11"/>
      <c r="AD610" s="9"/>
      <c r="AE610" s="9"/>
      <c r="AF610" s="9"/>
      <c r="AG610" s="9"/>
      <c r="AH610" s="9"/>
      <c r="AI610" s="9"/>
      <c r="AJ610" s="9"/>
      <c r="AK610" s="9"/>
      <c r="AL610" s="9"/>
      <c r="AM610" s="11"/>
      <c r="AN610" s="11"/>
      <c r="AO610" s="9"/>
      <c r="AP610" s="9"/>
      <c r="AQ610" s="9"/>
    </row>
    <row r="611" spans="1:43" x14ac:dyDescent="0.25">
      <c r="A611" s="9"/>
      <c r="B611" s="10"/>
      <c r="C611" s="9"/>
      <c r="D611" s="9"/>
      <c r="E611" s="9"/>
      <c r="F611" s="9"/>
      <c r="G611" s="9"/>
      <c r="H611" s="9"/>
      <c r="I611" s="10"/>
      <c r="J611" s="10"/>
      <c r="K611" s="11"/>
      <c r="L611" s="9"/>
      <c r="M611" s="9"/>
      <c r="N611" s="9"/>
      <c r="O611" s="9"/>
      <c r="P611" s="9"/>
      <c r="Q611" s="9"/>
      <c r="R611" s="9"/>
      <c r="S611" s="9"/>
      <c r="T611" s="9"/>
      <c r="U611" s="9"/>
      <c r="V611" s="9"/>
      <c r="W611" s="9"/>
      <c r="X611" s="10"/>
      <c r="Y611" s="9"/>
      <c r="Z611" s="11"/>
      <c r="AA611" s="9"/>
      <c r="AB611" s="9"/>
      <c r="AC611" s="10"/>
      <c r="AD611" s="9"/>
      <c r="AE611" s="9"/>
      <c r="AF611" s="9"/>
      <c r="AG611" s="9"/>
      <c r="AH611" s="9"/>
      <c r="AI611" s="9"/>
      <c r="AJ611" s="9"/>
      <c r="AK611" s="9"/>
      <c r="AL611" s="9"/>
      <c r="AM611" s="11"/>
      <c r="AN611" s="10"/>
      <c r="AO611" s="9"/>
      <c r="AP611" s="9"/>
      <c r="AQ611" s="9"/>
    </row>
    <row r="612" spans="1:43" x14ac:dyDescent="0.25">
      <c r="A612" s="9"/>
      <c r="B612" s="10"/>
      <c r="C612" s="9"/>
      <c r="D612" s="9"/>
      <c r="E612" s="9"/>
      <c r="F612" s="9"/>
      <c r="G612" s="9"/>
      <c r="H612" s="9"/>
      <c r="I612" s="10"/>
      <c r="J612" s="11"/>
      <c r="K612" s="11"/>
      <c r="L612" s="9"/>
      <c r="M612" s="9"/>
      <c r="N612" s="9"/>
      <c r="O612" s="9"/>
      <c r="P612" s="9"/>
      <c r="Q612" s="9"/>
      <c r="R612" s="9"/>
      <c r="S612" s="9"/>
      <c r="T612" s="9"/>
      <c r="U612" s="9"/>
      <c r="V612" s="9"/>
      <c r="W612" s="9"/>
      <c r="X612" s="11"/>
      <c r="Y612" s="9"/>
      <c r="Z612" s="11"/>
      <c r="AA612" s="9"/>
      <c r="AB612" s="9"/>
      <c r="AC612" s="11"/>
      <c r="AD612" s="9"/>
      <c r="AE612" s="9"/>
      <c r="AF612" s="9"/>
      <c r="AG612" s="9"/>
      <c r="AH612" s="9"/>
      <c r="AI612" s="9"/>
      <c r="AJ612" s="9"/>
      <c r="AK612" s="9"/>
      <c r="AL612" s="9"/>
      <c r="AM612" s="11"/>
      <c r="AN612" s="11"/>
      <c r="AO612" s="9"/>
      <c r="AP612" s="9"/>
      <c r="AQ612" s="9"/>
    </row>
    <row r="613" spans="1:43" x14ac:dyDescent="0.25">
      <c r="A613" s="9"/>
      <c r="B613" s="10"/>
      <c r="C613" s="9"/>
      <c r="D613" s="9"/>
      <c r="E613" s="9"/>
      <c r="F613" s="9"/>
      <c r="G613" s="9"/>
      <c r="H613" s="9"/>
      <c r="I613" s="10"/>
      <c r="J613" s="11"/>
      <c r="K613" s="11"/>
      <c r="L613" s="9"/>
      <c r="M613" s="9"/>
      <c r="N613" s="9"/>
      <c r="O613" s="9"/>
      <c r="P613" s="9"/>
      <c r="Q613" s="9"/>
      <c r="R613" s="9"/>
      <c r="S613" s="9"/>
      <c r="T613" s="9"/>
      <c r="U613" s="9"/>
      <c r="V613" s="9"/>
      <c r="W613" s="9"/>
      <c r="X613" s="11"/>
      <c r="Y613" s="9"/>
      <c r="Z613" s="11"/>
      <c r="AA613" s="9"/>
      <c r="AB613" s="9"/>
      <c r="AC613" s="11"/>
      <c r="AD613" s="9"/>
      <c r="AE613" s="9"/>
      <c r="AF613" s="9"/>
      <c r="AG613" s="9"/>
      <c r="AH613" s="9"/>
      <c r="AI613" s="9"/>
      <c r="AJ613" s="9"/>
      <c r="AK613" s="9"/>
      <c r="AL613" s="9"/>
      <c r="AM613" s="11"/>
      <c r="AN613" s="11"/>
      <c r="AO613" s="9"/>
      <c r="AP613" s="9"/>
      <c r="AQ613" s="9"/>
    </row>
    <row r="614" spans="1:43" x14ac:dyDescent="0.25">
      <c r="A614" s="9"/>
      <c r="B614" s="10"/>
      <c r="C614" s="9"/>
      <c r="D614" s="9"/>
      <c r="E614" s="9"/>
      <c r="F614" s="9"/>
      <c r="G614" s="9"/>
      <c r="H614" s="9"/>
      <c r="I614" s="10"/>
      <c r="J614" s="11"/>
      <c r="K614" s="11"/>
      <c r="L614" s="9"/>
      <c r="M614" s="9"/>
      <c r="N614" s="9"/>
      <c r="O614" s="9"/>
      <c r="P614" s="9"/>
      <c r="Q614" s="9"/>
      <c r="R614" s="9"/>
      <c r="S614" s="9"/>
      <c r="T614" s="9"/>
      <c r="U614" s="9"/>
      <c r="V614" s="9"/>
      <c r="W614" s="9"/>
      <c r="X614" s="11"/>
      <c r="Y614" s="9"/>
      <c r="Z614" s="11"/>
      <c r="AA614" s="9"/>
      <c r="AB614" s="9"/>
      <c r="AC614" s="11"/>
      <c r="AD614" s="9"/>
      <c r="AE614" s="9"/>
      <c r="AF614" s="9"/>
      <c r="AG614" s="9"/>
      <c r="AH614" s="9"/>
      <c r="AI614" s="9"/>
      <c r="AJ614" s="9"/>
      <c r="AK614" s="9"/>
      <c r="AL614" s="9"/>
      <c r="AM614" s="11"/>
      <c r="AN614" s="11"/>
      <c r="AO614" s="9"/>
      <c r="AP614" s="9"/>
      <c r="AQ614" s="9"/>
    </row>
    <row r="615" spans="1:43" x14ac:dyDescent="0.25">
      <c r="A615" s="9"/>
      <c r="B615" s="10"/>
      <c r="C615" s="9"/>
      <c r="D615" s="9"/>
      <c r="E615" s="9"/>
      <c r="F615" s="9"/>
      <c r="G615" s="9"/>
      <c r="H615" s="9"/>
      <c r="I615" s="10"/>
      <c r="J615" s="11"/>
      <c r="K615" s="11"/>
      <c r="L615" s="9"/>
      <c r="M615" s="9"/>
      <c r="N615" s="9"/>
      <c r="O615" s="9"/>
      <c r="P615" s="9"/>
      <c r="Q615" s="9"/>
      <c r="R615" s="9"/>
      <c r="S615" s="9"/>
      <c r="T615" s="9"/>
      <c r="U615" s="9"/>
      <c r="V615" s="9"/>
      <c r="W615" s="9"/>
      <c r="X615" s="11"/>
      <c r="Y615" s="9"/>
      <c r="Z615" s="11"/>
      <c r="AA615" s="9"/>
      <c r="AB615" s="9"/>
      <c r="AC615" s="11"/>
      <c r="AD615" s="9"/>
      <c r="AE615" s="9"/>
      <c r="AF615" s="9"/>
      <c r="AG615" s="9"/>
      <c r="AH615" s="9"/>
      <c r="AI615" s="9"/>
      <c r="AJ615" s="9"/>
      <c r="AK615" s="9"/>
      <c r="AL615" s="9"/>
      <c r="AM615" s="11"/>
      <c r="AN615" s="11"/>
      <c r="AO615" s="9"/>
      <c r="AP615" s="9"/>
      <c r="AQ615" s="9"/>
    </row>
    <row r="616" spans="1:43" x14ac:dyDescent="0.25">
      <c r="A616" s="9"/>
      <c r="B616" s="10"/>
      <c r="C616" s="9"/>
      <c r="D616" s="9"/>
      <c r="E616" s="9"/>
      <c r="F616" s="9"/>
      <c r="G616" s="9"/>
      <c r="H616" s="9"/>
      <c r="I616" s="10"/>
      <c r="J616" s="11"/>
      <c r="K616" s="11"/>
      <c r="L616" s="9"/>
      <c r="M616" s="9"/>
      <c r="N616" s="9"/>
      <c r="O616" s="9"/>
      <c r="P616" s="9"/>
      <c r="Q616" s="9"/>
      <c r="R616" s="9"/>
      <c r="S616" s="9"/>
      <c r="T616" s="9"/>
      <c r="U616" s="9"/>
      <c r="V616" s="9"/>
      <c r="W616" s="9"/>
      <c r="X616" s="11"/>
      <c r="Y616" s="9"/>
      <c r="Z616" s="11"/>
      <c r="AA616" s="9"/>
      <c r="AB616" s="9"/>
      <c r="AC616" s="11"/>
      <c r="AD616" s="9"/>
      <c r="AE616" s="9"/>
      <c r="AF616" s="9"/>
      <c r="AG616" s="9"/>
      <c r="AH616" s="9"/>
      <c r="AI616" s="9"/>
      <c r="AJ616" s="9"/>
      <c r="AK616" s="9"/>
      <c r="AL616" s="9"/>
      <c r="AM616" s="11"/>
      <c r="AN616" s="11"/>
      <c r="AO616" s="9"/>
      <c r="AP616" s="9"/>
      <c r="AQ616" s="9"/>
    </row>
    <row r="617" spans="1:43" x14ac:dyDescent="0.25">
      <c r="A617" s="9"/>
      <c r="B617" s="10"/>
      <c r="C617" s="9"/>
      <c r="D617" s="9"/>
      <c r="E617" s="9"/>
      <c r="F617" s="9"/>
      <c r="G617" s="9"/>
      <c r="H617" s="9"/>
      <c r="I617" s="10"/>
      <c r="J617" s="11"/>
      <c r="K617" s="11"/>
      <c r="L617" s="9"/>
      <c r="M617" s="9"/>
      <c r="N617" s="9"/>
      <c r="O617" s="9"/>
      <c r="P617" s="9"/>
      <c r="Q617" s="9"/>
      <c r="R617" s="9"/>
      <c r="S617" s="9"/>
      <c r="T617" s="9"/>
      <c r="U617" s="9"/>
      <c r="V617" s="9"/>
      <c r="W617" s="9"/>
      <c r="X617" s="11"/>
      <c r="Y617" s="9"/>
      <c r="Z617" s="11"/>
      <c r="AA617" s="9"/>
      <c r="AB617" s="9"/>
      <c r="AC617" s="11"/>
      <c r="AD617" s="9"/>
      <c r="AE617" s="9"/>
      <c r="AF617" s="9"/>
      <c r="AG617" s="9"/>
      <c r="AH617" s="9"/>
      <c r="AI617" s="9"/>
      <c r="AJ617" s="9"/>
      <c r="AK617" s="9"/>
      <c r="AL617" s="9"/>
      <c r="AM617" s="11"/>
      <c r="AN617" s="11"/>
      <c r="AO617" s="9"/>
      <c r="AP617" s="9"/>
      <c r="AQ617" s="9"/>
    </row>
    <row r="618" spans="1:43" x14ac:dyDescent="0.25">
      <c r="A618" s="9"/>
      <c r="B618" s="10"/>
      <c r="C618" s="9"/>
      <c r="D618" s="9"/>
      <c r="E618" s="9"/>
      <c r="F618" s="9"/>
      <c r="G618" s="9"/>
      <c r="H618" s="9"/>
      <c r="I618" s="10"/>
      <c r="J618" s="11"/>
      <c r="K618" s="11"/>
      <c r="L618" s="9"/>
      <c r="M618" s="9"/>
      <c r="N618" s="9"/>
      <c r="O618" s="9"/>
      <c r="P618" s="9"/>
      <c r="Q618" s="9"/>
      <c r="R618" s="9"/>
      <c r="S618" s="9"/>
      <c r="T618" s="9"/>
      <c r="U618" s="9"/>
      <c r="V618" s="9"/>
      <c r="W618" s="9"/>
      <c r="X618" s="11"/>
      <c r="Y618" s="9"/>
      <c r="Z618" s="11"/>
      <c r="AA618" s="9"/>
      <c r="AB618" s="9"/>
      <c r="AC618" s="11"/>
      <c r="AD618" s="9"/>
      <c r="AE618" s="9"/>
      <c r="AF618" s="9"/>
      <c r="AG618" s="9"/>
      <c r="AH618" s="9"/>
      <c r="AI618" s="9"/>
      <c r="AJ618" s="9"/>
      <c r="AK618" s="9"/>
      <c r="AL618" s="9"/>
      <c r="AM618" s="11"/>
      <c r="AN618" s="11"/>
      <c r="AO618" s="9"/>
      <c r="AP618" s="9"/>
      <c r="AQ618" s="9"/>
    </row>
    <row r="619" spans="1:43" x14ac:dyDescent="0.25">
      <c r="A619" s="9"/>
      <c r="B619" s="10"/>
      <c r="C619" s="9"/>
      <c r="D619" s="9"/>
      <c r="E619" s="9"/>
      <c r="F619" s="9"/>
      <c r="G619" s="9"/>
      <c r="H619" s="9"/>
      <c r="I619" s="10"/>
      <c r="J619" s="11"/>
      <c r="K619" s="10"/>
      <c r="L619" s="9"/>
      <c r="M619" s="9"/>
      <c r="N619" s="9"/>
      <c r="O619" s="9"/>
      <c r="P619" s="9"/>
      <c r="Q619" s="9"/>
      <c r="R619" s="9"/>
      <c r="S619" s="9"/>
      <c r="T619" s="9"/>
      <c r="U619" s="9"/>
      <c r="V619" s="9"/>
      <c r="W619" s="9"/>
      <c r="X619" s="11"/>
      <c r="Y619" s="9"/>
      <c r="Z619" s="10"/>
      <c r="AA619" s="9"/>
      <c r="AB619" s="9"/>
      <c r="AC619" s="10"/>
      <c r="AD619" s="9"/>
      <c r="AE619" s="9"/>
      <c r="AF619" s="9"/>
      <c r="AG619" s="9"/>
      <c r="AH619" s="9"/>
      <c r="AI619" s="9"/>
      <c r="AJ619" s="9"/>
      <c r="AK619" s="9"/>
      <c r="AL619" s="9"/>
      <c r="AM619" s="10"/>
      <c r="AN619" s="11"/>
      <c r="AO619" s="9"/>
      <c r="AP619" s="9"/>
      <c r="AQ619" s="9"/>
    </row>
    <row r="620" spans="1:43" x14ac:dyDescent="0.25">
      <c r="A620" s="9"/>
      <c r="B620" s="10"/>
      <c r="C620" s="9"/>
      <c r="D620" s="9"/>
      <c r="E620" s="9"/>
      <c r="F620" s="9"/>
      <c r="G620" s="9"/>
      <c r="H620" s="9"/>
      <c r="I620" s="10"/>
      <c r="J620" s="11"/>
      <c r="K620" s="11"/>
      <c r="L620" s="9"/>
      <c r="M620" s="9"/>
      <c r="N620" s="9"/>
      <c r="O620" s="9"/>
      <c r="P620" s="9"/>
      <c r="Q620" s="9"/>
      <c r="R620" s="9"/>
      <c r="S620" s="9"/>
      <c r="T620" s="9"/>
      <c r="U620" s="9"/>
      <c r="V620" s="9"/>
      <c r="W620" s="9"/>
      <c r="X620" s="11"/>
      <c r="Y620" s="9"/>
      <c r="Z620" s="11"/>
      <c r="AA620" s="9"/>
      <c r="AB620" s="9"/>
      <c r="AC620" s="11"/>
      <c r="AD620" s="9"/>
      <c r="AE620" s="9"/>
      <c r="AF620" s="9"/>
      <c r="AG620" s="9"/>
      <c r="AH620" s="9"/>
      <c r="AI620" s="9"/>
      <c r="AJ620" s="9"/>
      <c r="AK620" s="9"/>
      <c r="AL620" s="9"/>
      <c r="AM620" s="11"/>
      <c r="AN620" s="11"/>
      <c r="AO620" s="9"/>
      <c r="AP620" s="9"/>
      <c r="AQ620" s="9"/>
    </row>
    <row r="621" spans="1:43" x14ac:dyDescent="0.25">
      <c r="A621" s="9"/>
      <c r="B621" s="10"/>
      <c r="C621" s="9"/>
      <c r="D621" s="9"/>
      <c r="E621" s="9"/>
      <c r="F621" s="9"/>
      <c r="G621" s="9"/>
      <c r="H621" s="9"/>
      <c r="I621" s="10"/>
      <c r="J621" s="11"/>
      <c r="K621" s="11"/>
      <c r="L621" s="9"/>
      <c r="M621" s="9"/>
      <c r="N621" s="9"/>
      <c r="O621" s="9"/>
      <c r="P621" s="9"/>
      <c r="Q621" s="9"/>
      <c r="R621" s="9"/>
      <c r="S621" s="9"/>
      <c r="T621" s="9"/>
      <c r="U621" s="9"/>
      <c r="V621" s="9"/>
      <c r="W621" s="9"/>
      <c r="X621" s="11"/>
      <c r="Y621" s="9"/>
      <c r="Z621" s="11"/>
      <c r="AA621" s="9"/>
      <c r="AB621" s="9"/>
      <c r="AC621" s="11"/>
      <c r="AD621" s="9"/>
      <c r="AE621" s="9"/>
      <c r="AF621" s="9"/>
      <c r="AG621" s="9"/>
      <c r="AH621" s="9"/>
      <c r="AI621" s="9"/>
      <c r="AJ621" s="9"/>
      <c r="AK621" s="9"/>
      <c r="AL621" s="9"/>
      <c r="AM621" s="11"/>
      <c r="AN621" s="11"/>
      <c r="AO621" s="9"/>
      <c r="AP621" s="9"/>
      <c r="AQ621" s="9"/>
    </row>
    <row r="622" spans="1:43" x14ac:dyDescent="0.25">
      <c r="A622" s="9"/>
      <c r="B622" s="10"/>
      <c r="C622" s="9"/>
      <c r="D622" s="9"/>
      <c r="E622" s="9"/>
      <c r="F622" s="9"/>
      <c r="G622" s="9"/>
      <c r="H622" s="9"/>
      <c r="I622" s="10"/>
      <c r="J622" s="11"/>
      <c r="K622" s="11"/>
      <c r="L622" s="9"/>
      <c r="M622" s="9"/>
      <c r="N622" s="9"/>
      <c r="O622" s="9"/>
      <c r="P622" s="9"/>
      <c r="Q622" s="9"/>
      <c r="R622" s="9"/>
      <c r="S622" s="9"/>
      <c r="T622" s="9"/>
      <c r="U622" s="9"/>
      <c r="V622" s="9"/>
      <c r="W622" s="9"/>
      <c r="X622" s="11"/>
      <c r="Y622" s="9"/>
      <c r="Z622" s="11"/>
      <c r="AA622" s="9"/>
      <c r="AB622" s="9"/>
      <c r="AC622" s="11"/>
      <c r="AD622" s="9"/>
      <c r="AE622" s="9"/>
      <c r="AF622" s="9"/>
      <c r="AG622" s="9"/>
      <c r="AH622" s="9"/>
      <c r="AI622" s="9"/>
      <c r="AJ622" s="9"/>
      <c r="AK622" s="9"/>
      <c r="AL622" s="9"/>
      <c r="AM622" s="11"/>
      <c r="AN622" s="11"/>
      <c r="AO622" s="9"/>
      <c r="AP622" s="9"/>
      <c r="AQ622" s="9"/>
    </row>
    <row r="623" spans="1:43" x14ac:dyDescent="0.25">
      <c r="A623" s="9"/>
      <c r="B623" s="10"/>
      <c r="C623" s="9"/>
      <c r="D623" s="9"/>
      <c r="E623" s="9"/>
      <c r="F623" s="9"/>
      <c r="G623" s="9"/>
      <c r="H623" s="9"/>
      <c r="I623" s="10"/>
      <c r="J623" s="11"/>
      <c r="K623" s="11"/>
      <c r="L623" s="9"/>
      <c r="M623" s="9"/>
      <c r="N623" s="9"/>
      <c r="O623" s="9"/>
      <c r="P623" s="9"/>
      <c r="Q623" s="9"/>
      <c r="R623" s="9"/>
      <c r="S623" s="9"/>
      <c r="T623" s="9"/>
      <c r="U623" s="9"/>
      <c r="V623" s="9"/>
      <c r="W623" s="9"/>
      <c r="X623" s="11"/>
      <c r="Y623" s="9"/>
      <c r="Z623" s="11"/>
      <c r="AA623" s="9"/>
      <c r="AB623" s="9"/>
      <c r="AC623" s="11"/>
      <c r="AD623" s="9"/>
      <c r="AE623" s="9"/>
      <c r="AF623" s="9"/>
      <c r="AG623" s="9"/>
      <c r="AH623" s="9"/>
      <c r="AI623" s="9"/>
      <c r="AJ623" s="9"/>
      <c r="AK623" s="9"/>
      <c r="AL623" s="9"/>
      <c r="AM623" s="11"/>
      <c r="AN623" s="11"/>
      <c r="AO623" s="9"/>
      <c r="AP623" s="9"/>
      <c r="AQ623" s="9"/>
    </row>
    <row r="624" spans="1:43" x14ac:dyDescent="0.25">
      <c r="A624" s="9"/>
      <c r="B624" s="10"/>
      <c r="C624" s="9"/>
      <c r="D624" s="9"/>
      <c r="E624" s="9"/>
      <c r="F624" s="9"/>
      <c r="G624" s="9"/>
      <c r="H624" s="9"/>
      <c r="I624" s="10"/>
      <c r="J624" s="11"/>
      <c r="K624" s="11"/>
      <c r="L624" s="9"/>
      <c r="M624" s="9"/>
      <c r="N624" s="9"/>
      <c r="O624" s="9"/>
      <c r="P624" s="9"/>
      <c r="Q624" s="9"/>
      <c r="R624" s="9"/>
      <c r="S624" s="9"/>
      <c r="T624" s="9"/>
      <c r="U624" s="9"/>
      <c r="V624" s="9"/>
      <c r="W624" s="9"/>
      <c r="X624" s="11"/>
      <c r="Y624" s="9"/>
      <c r="Z624" s="11"/>
      <c r="AA624" s="9"/>
      <c r="AB624" s="9"/>
      <c r="AC624" s="11"/>
      <c r="AD624" s="9"/>
      <c r="AE624" s="9"/>
      <c r="AF624" s="9"/>
      <c r="AG624" s="9"/>
      <c r="AH624" s="9"/>
      <c r="AI624" s="9"/>
      <c r="AJ624" s="9"/>
      <c r="AK624" s="9"/>
      <c r="AL624" s="9"/>
      <c r="AM624" s="11"/>
      <c r="AN624" s="11"/>
      <c r="AO624" s="9"/>
      <c r="AP624" s="9"/>
      <c r="AQ624" s="9"/>
    </row>
    <row r="625" spans="1:43" x14ac:dyDescent="0.25">
      <c r="A625" s="9"/>
      <c r="B625" s="10"/>
      <c r="C625" s="9"/>
      <c r="D625" s="9"/>
      <c r="E625" s="9"/>
      <c r="F625" s="9"/>
      <c r="G625" s="9"/>
      <c r="H625" s="9"/>
      <c r="I625" s="10"/>
      <c r="J625" s="11"/>
      <c r="K625" s="10"/>
      <c r="L625" s="9"/>
      <c r="M625" s="9"/>
      <c r="N625" s="9"/>
      <c r="O625" s="9"/>
      <c r="P625" s="9"/>
      <c r="Q625" s="9"/>
      <c r="R625" s="9"/>
      <c r="S625" s="9"/>
      <c r="T625" s="9"/>
      <c r="U625" s="9"/>
      <c r="V625" s="9"/>
      <c r="W625" s="9"/>
      <c r="X625" s="11"/>
      <c r="Y625" s="9"/>
      <c r="Z625" s="10"/>
      <c r="AA625" s="9"/>
      <c r="AB625" s="9"/>
      <c r="AC625" s="10"/>
      <c r="AD625" s="9"/>
      <c r="AE625" s="9"/>
      <c r="AF625" s="9"/>
      <c r="AG625" s="9"/>
      <c r="AH625" s="9"/>
      <c r="AI625" s="9"/>
      <c r="AJ625" s="9"/>
      <c r="AK625" s="9"/>
      <c r="AL625" s="9"/>
      <c r="AM625" s="11"/>
      <c r="AN625" s="11"/>
      <c r="AO625" s="9"/>
      <c r="AP625" s="9"/>
      <c r="AQ625" s="9"/>
    </row>
    <row r="626" spans="1:43" x14ac:dyDescent="0.25">
      <c r="A626" s="9"/>
      <c r="B626" s="10"/>
      <c r="C626" s="9"/>
      <c r="D626" s="9"/>
      <c r="E626" s="9"/>
      <c r="F626" s="9"/>
      <c r="G626" s="9"/>
      <c r="H626" s="9"/>
      <c r="I626" s="10"/>
      <c r="J626" s="11"/>
      <c r="K626" s="10"/>
      <c r="L626" s="9"/>
      <c r="M626" s="9"/>
      <c r="N626" s="9"/>
      <c r="O626" s="9"/>
      <c r="P626" s="9"/>
      <c r="Q626" s="9"/>
      <c r="R626" s="9"/>
      <c r="S626" s="9"/>
      <c r="T626" s="9"/>
      <c r="U626" s="9"/>
      <c r="V626" s="9"/>
      <c r="W626" s="9"/>
      <c r="X626" s="11"/>
      <c r="Y626" s="9"/>
      <c r="Z626" s="10"/>
      <c r="AA626" s="9"/>
      <c r="AB626" s="9"/>
      <c r="AC626" s="10"/>
      <c r="AD626" s="9"/>
      <c r="AE626" s="9"/>
      <c r="AF626" s="9"/>
      <c r="AG626" s="9"/>
      <c r="AH626" s="9"/>
      <c r="AI626" s="9"/>
      <c r="AJ626" s="9"/>
      <c r="AK626" s="9"/>
      <c r="AL626" s="9"/>
      <c r="AM626" s="11"/>
      <c r="AN626" s="11"/>
      <c r="AO626" s="9"/>
      <c r="AP626" s="9"/>
      <c r="AQ626" s="9"/>
    </row>
    <row r="627" spans="1:43" x14ac:dyDescent="0.25">
      <c r="A627" s="9"/>
      <c r="B627" s="10"/>
      <c r="C627" s="9"/>
      <c r="D627" s="9"/>
      <c r="E627" s="9"/>
      <c r="F627" s="9"/>
      <c r="G627" s="9"/>
      <c r="H627" s="9"/>
      <c r="I627" s="10"/>
      <c r="J627" s="11"/>
      <c r="K627" s="11"/>
      <c r="L627" s="9"/>
      <c r="M627" s="9"/>
      <c r="N627" s="9"/>
      <c r="O627" s="9"/>
      <c r="P627" s="9"/>
      <c r="Q627" s="9"/>
      <c r="R627" s="9"/>
      <c r="S627" s="9"/>
      <c r="T627" s="9"/>
      <c r="U627" s="9"/>
      <c r="V627" s="9"/>
      <c r="W627" s="9"/>
      <c r="X627" s="11"/>
      <c r="Y627" s="9"/>
      <c r="Z627" s="11"/>
      <c r="AA627" s="9"/>
      <c r="AB627" s="9"/>
      <c r="AC627" s="11"/>
      <c r="AD627" s="9"/>
      <c r="AE627" s="9"/>
      <c r="AF627" s="9"/>
      <c r="AG627" s="9"/>
      <c r="AH627" s="9"/>
      <c r="AI627" s="9"/>
      <c r="AJ627" s="9"/>
      <c r="AK627" s="9"/>
      <c r="AL627" s="9"/>
      <c r="AM627" s="11"/>
      <c r="AN627" s="11"/>
      <c r="AO627" s="9"/>
      <c r="AP627" s="9"/>
      <c r="AQ627" s="9"/>
    </row>
    <row r="628" spans="1:43" x14ac:dyDescent="0.25">
      <c r="A628" s="9"/>
      <c r="B628" s="10"/>
      <c r="C628" s="9"/>
      <c r="D628" s="9"/>
      <c r="E628" s="9"/>
      <c r="F628" s="9"/>
      <c r="G628" s="9"/>
      <c r="H628" s="9"/>
      <c r="I628" s="10"/>
      <c r="J628" s="11"/>
      <c r="K628" s="11"/>
      <c r="L628" s="9"/>
      <c r="M628" s="9"/>
      <c r="N628" s="9"/>
      <c r="O628" s="9"/>
      <c r="P628" s="9"/>
      <c r="Q628" s="9"/>
      <c r="R628" s="9"/>
      <c r="S628" s="9"/>
      <c r="T628" s="9"/>
      <c r="U628" s="9"/>
      <c r="V628" s="9"/>
      <c r="W628" s="9"/>
      <c r="X628" s="11"/>
      <c r="Y628" s="9"/>
      <c r="Z628" s="11"/>
      <c r="AA628" s="9"/>
      <c r="AB628" s="9"/>
      <c r="AC628" s="11"/>
      <c r="AD628" s="9"/>
      <c r="AE628" s="9"/>
      <c r="AF628" s="9"/>
      <c r="AG628" s="9"/>
      <c r="AH628" s="9"/>
      <c r="AI628" s="9"/>
      <c r="AJ628" s="9"/>
      <c r="AK628" s="9"/>
      <c r="AL628" s="9"/>
      <c r="AM628" s="11"/>
      <c r="AN628" s="11"/>
      <c r="AO628" s="9"/>
      <c r="AP628" s="9"/>
      <c r="AQ628" s="9"/>
    </row>
    <row r="629" spans="1:43" x14ac:dyDescent="0.25">
      <c r="A629" s="9"/>
      <c r="B629" s="10"/>
      <c r="C629" s="9"/>
      <c r="D629" s="9"/>
      <c r="E629" s="9"/>
      <c r="F629" s="9"/>
      <c r="G629" s="9"/>
      <c r="H629" s="9"/>
      <c r="I629" s="10"/>
      <c r="J629" s="11"/>
      <c r="K629" s="11"/>
      <c r="L629" s="9"/>
      <c r="M629" s="9"/>
      <c r="N629" s="9"/>
      <c r="O629" s="9"/>
      <c r="P629" s="9"/>
      <c r="Q629" s="9"/>
      <c r="R629" s="9"/>
      <c r="S629" s="9"/>
      <c r="T629" s="9"/>
      <c r="U629" s="9"/>
      <c r="V629" s="9"/>
      <c r="W629" s="9"/>
      <c r="X629" s="11"/>
      <c r="Y629" s="9"/>
      <c r="Z629" s="11"/>
      <c r="AA629" s="9"/>
      <c r="AB629" s="9"/>
      <c r="AC629" s="11"/>
      <c r="AD629" s="9"/>
      <c r="AE629" s="9"/>
      <c r="AF629" s="9"/>
      <c r="AG629" s="9"/>
      <c r="AH629" s="9"/>
      <c r="AI629" s="9"/>
      <c r="AJ629" s="9"/>
      <c r="AK629" s="9"/>
      <c r="AL629" s="9"/>
      <c r="AM629" s="11"/>
      <c r="AN629" s="11"/>
      <c r="AO629" s="9"/>
      <c r="AP629" s="9"/>
      <c r="AQ629" s="9"/>
    </row>
    <row r="630" spans="1:43" x14ac:dyDescent="0.25">
      <c r="A630" s="9"/>
      <c r="B630" s="10"/>
      <c r="C630" s="9"/>
      <c r="D630" s="9"/>
      <c r="E630" s="9"/>
      <c r="F630" s="9"/>
      <c r="G630" s="9"/>
      <c r="H630" s="9"/>
      <c r="I630" s="10"/>
      <c r="J630" s="11"/>
      <c r="K630" s="11"/>
      <c r="L630" s="9"/>
      <c r="M630" s="9"/>
      <c r="N630" s="9"/>
      <c r="O630" s="9"/>
      <c r="P630" s="9"/>
      <c r="Q630" s="9"/>
      <c r="R630" s="9"/>
      <c r="S630" s="9"/>
      <c r="T630" s="9"/>
      <c r="U630" s="9"/>
      <c r="V630" s="9"/>
      <c r="W630" s="9"/>
      <c r="X630" s="11"/>
      <c r="Y630" s="9"/>
      <c r="Z630" s="11"/>
      <c r="AA630" s="9"/>
      <c r="AB630" s="9"/>
      <c r="AC630" s="11"/>
      <c r="AD630" s="9"/>
      <c r="AE630" s="9"/>
      <c r="AF630" s="9"/>
      <c r="AG630" s="9"/>
      <c r="AH630" s="9"/>
      <c r="AI630" s="9"/>
      <c r="AJ630" s="9"/>
      <c r="AK630" s="9"/>
      <c r="AL630" s="9"/>
      <c r="AM630" s="11"/>
      <c r="AN630" s="11"/>
      <c r="AO630" s="9"/>
      <c r="AP630" s="9"/>
      <c r="AQ630" s="9"/>
    </row>
    <row r="631" spans="1:43" x14ac:dyDescent="0.25">
      <c r="A631" s="9"/>
      <c r="B631" s="10"/>
      <c r="C631" s="9"/>
      <c r="D631" s="9"/>
      <c r="E631" s="9"/>
      <c r="F631" s="9"/>
      <c r="G631" s="9"/>
      <c r="H631" s="9"/>
      <c r="I631" s="10"/>
      <c r="J631" s="11"/>
      <c r="K631" s="11"/>
      <c r="L631" s="9"/>
      <c r="M631" s="9"/>
      <c r="N631" s="9"/>
      <c r="O631" s="9"/>
      <c r="P631" s="9"/>
      <c r="Q631" s="9"/>
      <c r="R631" s="9"/>
      <c r="S631" s="9"/>
      <c r="T631" s="9"/>
      <c r="U631" s="9"/>
      <c r="V631" s="9"/>
      <c r="W631" s="9"/>
      <c r="X631" s="11"/>
      <c r="Y631" s="9"/>
      <c r="Z631" s="11"/>
      <c r="AA631" s="9"/>
      <c r="AB631" s="9"/>
      <c r="AC631" s="11"/>
      <c r="AD631" s="9"/>
      <c r="AE631" s="9"/>
      <c r="AF631" s="9"/>
      <c r="AG631" s="9"/>
      <c r="AH631" s="9"/>
      <c r="AI631" s="9"/>
      <c r="AJ631" s="9"/>
      <c r="AK631" s="9"/>
      <c r="AL631" s="9"/>
      <c r="AM631" s="11"/>
      <c r="AN631" s="11"/>
      <c r="AO631" s="9"/>
      <c r="AP631" s="9"/>
      <c r="AQ631" s="9"/>
    </row>
    <row r="632" spans="1:43" x14ac:dyDescent="0.25">
      <c r="A632" s="9"/>
      <c r="B632" s="10"/>
      <c r="C632" s="9"/>
      <c r="D632" s="9"/>
      <c r="E632" s="9"/>
      <c r="F632" s="9"/>
      <c r="G632" s="9"/>
      <c r="H632" s="9"/>
      <c r="I632" s="10"/>
      <c r="J632" s="10"/>
      <c r="K632" s="11"/>
      <c r="L632" s="9"/>
      <c r="M632" s="9"/>
      <c r="N632" s="9"/>
      <c r="O632" s="9"/>
      <c r="P632" s="9"/>
      <c r="Q632" s="9"/>
      <c r="R632" s="9"/>
      <c r="S632" s="9"/>
      <c r="T632" s="9"/>
      <c r="U632" s="9"/>
      <c r="V632" s="9"/>
      <c r="W632" s="9"/>
      <c r="X632" s="10"/>
      <c r="Y632" s="9"/>
      <c r="Z632" s="11"/>
      <c r="AA632" s="9"/>
      <c r="AB632" s="9"/>
      <c r="AC632" s="10"/>
      <c r="AD632" s="9"/>
      <c r="AE632" s="9"/>
      <c r="AF632" s="9"/>
      <c r="AG632" s="9"/>
      <c r="AH632" s="9"/>
      <c r="AI632" s="9"/>
      <c r="AJ632" s="9"/>
      <c r="AK632" s="9"/>
      <c r="AL632" s="9"/>
      <c r="AM632" s="11"/>
      <c r="AN632" s="10"/>
      <c r="AO632" s="9"/>
      <c r="AP632" s="9"/>
      <c r="AQ632" s="9"/>
    </row>
    <row r="633" spans="1:43" x14ac:dyDescent="0.25">
      <c r="A633" s="9"/>
      <c r="B633" s="10"/>
      <c r="C633" s="9"/>
      <c r="D633" s="9"/>
      <c r="E633" s="9"/>
      <c r="F633" s="9"/>
      <c r="G633" s="9"/>
      <c r="H633" s="9"/>
      <c r="I633" s="10"/>
      <c r="J633" s="11"/>
      <c r="K633" s="11"/>
      <c r="L633" s="9"/>
      <c r="M633" s="9"/>
      <c r="N633" s="9"/>
      <c r="O633" s="9"/>
      <c r="P633" s="9"/>
      <c r="Q633" s="9"/>
      <c r="R633" s="9"/>
      <c r="S633" s="9"/>
      <c r="T633" s="9"/>
      <c r="U633" s="9"/>
      <c r="V633" s="9"/>
      <c r="W633" s="9"/>
      <c r="X633" s="11"/>
      <c r="Y633" s="9"/>
      <c r="Z633" s="11"/>
      <c r="AA633" s="9"/>
      <c r="AB633" s="9"/>
      <c r="AC633" s="11"/>
      <c r="AD633" s="9"/>
      <c r="AE633" s="9"/>
      <c r="AF633" s="9"/>
      <c r="AG633" s="9"/>
      <c r="AH633" s="9"/>
      <c r="AI633" s="9"/>
      <c r="AJ633" s="9"/>
      <c r="AK633" s="9"/>
      <c r="AL633" s="9"/>
      <c r="AM633" s="11"/>
      <c r="AN633" s="11"/>
      <c r="AO633" s="9"/>
      <c r="AP633" s="9"/>
      <c r="AQ633" s="9"/>
    </row>
    <row r="634" spans="1:43" x14ac:dyDescent="0.25">
      <c r="A634" s="9"/>
      <c r="B634" s="10"/>
      <c r="C634" s="9"/>
      <c r="D634" s="9"/>
      <c r="E634" s="9"/>
      <c r="F634" s="9"/>
      <c r="G634" s="9"/>
      <c r="H634" s="9"/>
      <c r="I634" s="10"/>
      <c r="J634" s="11"/>
      <c r="K634" s="10"/>
      <c r="L634" s="9"/>
      <c r="M634" s="9"/>
      <c r="N634" s="9"/>
      <c r="O634" s="9"/>
      <c r="P634" s="9"/>
      <c r="Q634" s="9"/>
      <c r="R634" s="9"/>
      <c r="S634" s="9"/>
      <c r="T634" s="9"/>
      <c r="U634" s="9"/>
      <c r="V634" s="9"/>
      <c r="W634" s="9"/>
      <c r="X634" s="11"/>
      <c r="Y634" s="9"/>
      <c r="Z634" s="10"/>
      <c r="AA634" s="9"/>
      <c r="AB634" s="9"/>
      <c r="AC634" s="10"/>
      <c r="AD634" s="9"/>
      <c r="AE634" s="9"/>
      <c r="AF634" s="9"/>
      <c r="AG634" s="9"/>
      <c r="AH634" s="9"/>
      <c r="AI634" s="9"/>
      <c r="AJ634" s="9"/>
      <c r="AK634" s="9"/>
      <c r="AL634" s="9"/>
      <c r="AM634" s="10"/>
      <c r="AN634" s="11"/>
      <c r="AO634" s="9"/>
      <c r="AP634" s="9"/>
      <c r="AQ634" s="9"/>
    </row>
    <row r="635" spans="1:43" x14ac:dyDescent="0.25">
      <c r="A635" s="9"/>
      <c r="B635" s="10"/>
      <c r="C635" s="9"/>
      <c r="D635" s="9"/>
      <c r="E635" s="9"/>
      <c r="F635" s="9"/>
      <c r="G635" s="9"/>
      <c r="H635" s="9"/>
      <c r="I635" s="10"/>
      <c r="J635" s="11"/>
      <c r="K635" s="11"/>
      <c r="L635" s="9"/>
      <c r="M635" s="9"/>
      <c r="N635" s="9"/>
      <c r="O635" s="9"/>
      <c r="P635" s="9"/>
      <c r="Q635" s="9"/>
      <c r="R635" s="9"/>
      <c r="S635" s="9"/>
      <c r="T635" s="9"/>
      <c r="U635" s="9"/>
      <c r="V635" s="9"/>
      <c r="W635" s="9"/>
      <c r="X635" s="11"/>
      <c r="Y635" s="9"/>
      <c r="Z635" s="11"/>
      <c r="AA635" s="9"/>
      <c r="AB635" s="9"/>
      <c r="AC635" s="11"/>
      <c r="AD635" s="9"/>
      <c r="AE635" s="9"/>
      <c r="AF635" s="9"/>
      <c r="AG635" s="9"/>
      <c r="AH635" s="9"/>
      <c r="AI635" s="9"/>
      <c r="AJ635" s="9"/>
      <c r="AK635" s="9"/>
      <c r="AL635" s="9"/>
      <c r="AM635" s="11"/>
      <c r="AN635" s="11"/>
      <c r="AO635" s="9"/>
      <c r="AP635" s="9"/>
      <c r="AQ635" s="9"/>
    </row>
    <row r="636" spans="1:43" x14ac:dyDescent="0.25">
      <c r="A636" s="9"/>
      <c r="B636" s="10"/>
      <c r="C636" s="9"/>
      <c r="D636" s="9"/>
      <c r="E636" s="9"/>
      <c r="F636" s="9"/>
      <c r="G636" s="9"/>
      <c r="H636" s="9"/>
      <c r="I636" s="10"/>
      <c r="J636" s="11"/>
      <c r="K636" s="11"/>
      <c r="L636" s="9"/>
      <c r="M636" s="9"/>
      <c r="N636" s="9"/>
      <c r="O636" s="9"/>
      <c r="P636" s="9"/>
      <c r="Q636" s="9"/>
      <c r="R636" s="9"/>
      <c r="S636" s="9"/>
      <c r="T636" s="9"/>
      <c r="U636" s="9"/>
      <c r="V636" s="9"/>
      <c r="W636" s="9"/>
      <c r="X636" s="11"/>
      <c r="Y636" s="9"/>
      <c r="Z636" s="11"/>
      <c r="AA636" s="9"/>
      <c r="AB636" s="9"/>
      <c r="AC636" s="11"/>
      <c r="AD636" s="9"/>
      <c r="AE636" s="9"/>
      <c r="AF636" s="9"/>
      <c r="AG636" s="9"/>
      <c r="AH636" s="9"/>
      <c r="AI636" s="9"/>
      <c r="AJ636" s="9"/>
      <c r="AK636" s="9"/>
      <c r="AL636" s="9"/>
      <c r="AM636" s="11"/>
      <c r="AN636" s="11"/>
      <c r="AO636" s="9"/>
      <c r="AP636" s="9"/>
      <c r="AQ636" s="9"/>
    </row>
    <row r="637" spans="1:43" x14ac:dyDescent="0.25">
      <c r="A637" s="9"/>
      <c r="B637" s="10"/>
      <c r="C637" s="9"/>
      <c r="D637" s="9"/>
      <c r="E637" s="9"/>
      <c r="F637" s="9"/>
      <c r="G637" s="9"/>
      <c r="H637" s="9"/>
      <c r="I637" s="10"/>
      <c r="J637" s="10"/>
      <c r="K637" s="11"/>
      <c r="L637" s="9"/>
      <c r="M637" s="9"/>
      <c r="N637" s="9"/>
      <c r="O637" s="9"/>
      <c r="P637" s="9"/>
      <c r="Q637" s="9"/>
      <c r="R637" s="9"/>
      <c r="S637" s="9"/>
      <c r="T637" s="9"/>
      <c r="U637" s="9"/>
      <c r="V637" s="9"/>
      <c r="W637" s="9"/>
      <c r="X637" s="10"/>
      <c r="Y637" s="9"/>
      <c r="Z637" s="11"/>
      <c r="AA637" s="9"/>
      <c r="AB637" s="9"/>
      <c r="AC637" s="10"/>
      <c r="AD637" s="9"/>
      <c r="AE637" s="9"/>
      <c r="AF637" s="9"/>
      <c r="AG637" s="9"/>
      <c r="AH637" s="9"/>
      <c r="AI637" s="9"/>
      <c r="AJ637" s="9"/>
      <c r="AK637" s="9"/>
      <c r="AL637" s="9"/>
      <c r="AM637" s="11"/>
      <c r="AN637" s="10"/>
      <c r="AO637" s="9"/>
      <c r="AP637" s="9"/>
      <c r="AQ637" s="9"/>
    </row>
    <row r="638" spans="1:43" x14ac:dyDescent="0.25">
      <c r="A638" s="9"/>
      <c r="B638" s="10"/>
      <c r="C638" s="9"/>
      <c r="D638" s="9"/>
      <c r="E638" s="9"/>
      <c r="F638" s="9"/>
      <c r="G638" s="9"/>
      <c r="H638" s="9"/>
      <c r="I638" s="10"/>
      <c r="J638" s="10"/>
      <c r="K638" s="10"/>
      <c r="L638" s="9"/>
      <c r="M638" s="9"/>
      <c r="N638" s="9"/>
      <c r="O638" s="9"/>
      <c r="P638" s="9"/>
      <c r="Q638" s="9"/>
      <c r="R638" s="9"/>
      <c r="S638" s="9"/>
      <c r="T638" s="9"/>
      <c r="U638" s="9"/>
      <c r="V638" s="9"/>
      <c r="W638" s="9"/>
      <c r="X638" s="10"/>
      <c r="Y638" s="9"/>
      <c r="Z638" s="10"/>
      <c r="AA638" s="9"/>
      <c r="AB638" s="9"/>
      <c r="AC638" s="10"/>
      <c r="AD638" s="9"/>
      <c r="AE638" s="9"/>
      <c r="AF638" s="9"/>
      <c r="AG638" s="9"/>
      <c r="AH638" s="9"/>
      <c r="AI638" s="9"/>
      <c r="AJ638" s="9"/>
      <c r="AK638" s="9"/>
      <c r="AL638" s="9"/>
      <c r="AM638" s="10"/>
      <c r="AN638" s="10"/>
      <c r="AO638" s="9"/>
      <c r="AP638" s="9"/>
      <c r="AQ638" s="9"/>
    </row>
    <row r="639" spans="1:43" x14ac:dyDescent="0.25">
      <c r="A639" s="9"/>
      <c r="B639" s="10"/>
      <c r="C639" s="9"/>
      <c r="D639" s="9"/>
      <c r="E639" s="9"/>
      <c r="F639" s="9"/>
      <c r="G639" s="9"/>
      <c r="H639" s="9"/>
      <c r="I639" s="10"/>
      <c r="J639" s="11"/>
      <c r="K639" s="11"/>
      <c r="L639" s="9"/>
      <c r="M639" s="9"/>
      <c r="N639" s="9"/>
      <c r="O639" s="9"/>
      <c r="P639" s="9"/>
      <c r="Q639" s="9"/>
      <c r="R639" s="9"/>
      <c r="S639" s="9"/>
      <c r="T639" s="9"/>
      <c r="U639" s="9"/>
      <c r="V639" s="9"/>
      <c r="W639" s="9"/>
      <c r="X639" s="11"/>
      <c r="Y639" s="9"/>
      <c r="Z639" s="11"/>
      <c r="AA639" s="9"/>
      <c r="AB639" s="9"/>
      <c r="AC639" s="11"/>
      <c r="AD639" s="9"/>
      <c r="AE639" s="9"/>
      <c r="AF639" s="9"/>
      <c r="AG639" s="9"/>
      <c r="AH639" s="9"/>
      <c r="AI639" s="9"/>
      <c r="AJ639" s="9"/>
      <c r="AK639" s="9"/>
      <c r="AL639" s="9"/>
      <c r="AM639" s="11"/>
      <c r="AN639" s="11"/>
      <c r="AO639" s="9"/>
      <c r="AP639" s="9"/>
      <c r="AQ639" s="9"/>
    </row>
    <row r="640" spans="1:43" x14ac:dyDescent="0.25">
      <c r="A640" s="9"/>
      <c r="B640" s="10"/>
      <c r="C640" s="9"/>
      <c r="D640" s="9"/>
      <c r="E640" s="9"/>
      <c r="F640" s="9"/>
      <c r="G640" s="9"/>
      <c r="H640" s="9"/>
      <c r="I640" s="10"/>
      <c r="J640" s="11"/>
      <c r="K640" s="11"/>
      <c r="L640" s="9"/>
      <c r="M640" s="9"/>
      <c r="N640" s="9"/>
      <c r="O640" s="9"/>
      <c r="P640" s="9"/>
      <c r="Q640" s="9"/>
      <c r="R640" s="9"/>
      <c r="S640" s="9"/>
      <c r="T640" s="9"/>
      <c r="U640" s="9"/>
      <c r="V640" s="9"/>
      <c r="W640" s="9"/>
      <c r="X640" s="11"/>
      <c r="Y640" s="9"/>
      <c r="Z640" s="11"/>
      <c r="AA640" s="9"/>
      <c r="AB640" s="9"/>
      <c r="AC640" s="11"/>
      <c r="AD640" s="9"/>
      <c r="AE640" s="9"/>
      <c r="AF640" s="9"/>
      <c r="AG640" s="9"/>
      <c r="AH640" s="9"/>
      <c r="AI640" s="9"/>
      <c r="AJ640" s="9"/>
      <c r="AK640" s="9"/>
      <c r="AL640" s="9"/>
      <c r="AM640" s="11"/>
      <c r="AN640" s="11"/>
      <c r="AO640" s="9"/>
      <c r="AP640" s="9"/>
      <c r="AQ640" s="9"/>
    </row>
    <row r="641" spans="1:43" x14ac:dyDescent="0.25">
      <c r="A641" s="9"/>
      <c r="B641" s="10"/>
      <c r="C641" s="9"/>
      <c r="D641" s="9"/>
      <c r="E641" s="9"/>
      <c r="F641" s="9"/>
      <c r="G641" s="9"/>
      <c r="H641" s="9"/>
      <c r="I641" s="10"/>
      <c r="J641" s="11"/>
      <c r="K641" s="11"/>
      <c r="L641" s="9"/>
      <c r="M641" s="9"/>
      <c r="N641" s="9"/>
      <c r="O641" s="9"/>
      <c r="P641" s="9"/>
      <c r="Q641" s="9"/>
      <c r="R641" s="9"/>
      <c r="S641" s="9"/>
      <c r="T641" s="9"/>
      <c r="U641" s="9"/>
      <c r="V641" s="9"/>
      <c r="W641" s="9"/>
      <c r="X641" s="11"/>
      <c r="Y641" s="9"/>
      <c r="Z641" s="11"/>
      <c r="AA641" s="9"/>
      <c r="AB641" s="9"/>
      <c r="AC641" s="11"/>
      <c r="AD641" s="9"/>
      <c r="AE641" s="9"/>
      <c r="AF641" s="9"/>
      <c r="AG641" s="9"/>
      <c r="AH641" s="9"/>
      <c r="AI641" s="9"/>
      <c r="AJ641" s="9"/>
      <c r="AK641" s="9"/>
      <c r="AL641" s="9"/>
      <c r="AM641" s="11"/>
      <c r="AN641" s="11"/>
      <c r="AO641" s="9"/>
      <c r="AP641" s="9"/>
      <c r="AQ641" s="9"/>
    </row>
    <row r="642" spans="1:43" x14ac:dyDescent="0.25">
      <c r="A642" s="9"/>
      <c r="B642" s="10"/>
      <c r="C642" s="9"/>
      <c r="D642" s="9"/>
      <c r="E642" s="9"/>
      <c r="F642" s="9"/>
      <c r="G642" s="9"/>
      <c r="H642" s="9"/>
      <c r="I642" s="10"/>
      <c r="J642" s="11"/>
      <c r="K642" s="11"/>
      <c r="L642" s="9"/>
      <c r="M642" s="9"/>
      <c r="N642" s="9"/>
      <c r="O642" s="9"/>
      <c r="P642" s="9"/>
      <c r="Q642" s="9"/>
      <c r="R642" s="9"/>
      <c r="S642" s="9"/>
      <c r="T642" s="9"/>
      <c r="U642" s="9"/>
      <c r="V642" s="9"/>
      <c r="W642" s="9"/>
      <c r="X642" s="11"/>
      <c r="Y642" s="9"/>
      <c r="Z642" s="11"/>
      <c r="AA642" s="9"/>
      <c r="AB642" s="9"/>
      <c r="AC642" s="11"/>
      <c r="AD642" s="9"/>
      <c r="AE642" s="9"/>
      <c r="AF642" s="9"/>
      <c r="AG642" s="9"/>
      <c r="AH642" s="9"/>
      <c r="AI642" s="9"/>
      <c r="AJ642" s="9"/>
      <c r="AK642" s="9"/>
      <c r="AL642" s="9"/>
      <c r="AM642" s="11"/>
      <c r="AN642" s="11"/>
      <c r="AO642" s="9"/>
      <c r="AP642" s="9"/>
      <c r="AQ642" s="9"/>
    </row>
    <row r="643" spans="1:43" x14ac:dyDescent="0.25">
      <c r="A643" s="9"/>
      <c r="B643" s="10"/>
      <c r="C643" s="9"/>
      <c r="D643" s="9"/>
      <c r="E643" s="9"/>
      <c r="F643" s="9"/>
      <c r="G643" s="9"/>
      <c r="H643" s="9"/>
      <c r="I643" s="10"/>
      <c r="J643" s="11"/>
      <c r="K643" s="11"/>
      <c r="L643" s="9"/>
      <c r="M643" s="9"/>
      <c r="N643" s="9"/>
      <c r="O643" s="9"/>
      <c r="P643" s="9"/>
      <c r="Q643" s="9"/>
      <c r="R643" s="9"/>
      <c r="S643" s="9"/>
      <c r="T643" s="9"/>
      <c r="U643" s="9"/>
      <c r="V643" s="9"/>
      <c r="W643" s="9"/>
      <c r="X643" s="11"/>
      <c r="Y643" s="9"/>
      <c r="Z643" s="11"/>
      <c r="AA643" s="9"/>
      <c r="AB643" s="9"/>
      <c r="AC643" s="11"/>
      <c r="AD643" s="9"/>
      <c r="AE643" s="9"/>
      <c r="AF643" s="9"/>
      <c r="AG643" s="9"/>
      <c r="AH643" s="9"/>
      <c r="AI643" s="9"/>
      <c r="AJ643" s="9"/>
      <c r="AK643" s="9"/>
      <c r="AL643" s="9"/>
      <c r="AM643" s="11"/>
      <c r="AN643" s="11"/>
      <c r="AO643" s="9"/>
      <c r="AP643" s="9"/>
      <c r="AQ643" s="9"/>
    </row>
    <row r="644" spans="1:43" x14ac:dyDescent="0.25">
      <c r="A644" s="9"/>
      <c r="B644" s="10"/>
      <c r="C644" s="9"/>
      <c r="D644" s="9"/>
      <c r="E644" s="9"/>
      <c r="F644" s="9"/>
      <c r="G644" s="9"/>
      <c r="H644" s="9"/>
      <c r="I644" s="10"/>
      <c r="J644" s="11"/>
      <c r="K644" s="11"/>
      <c r="L644" s="9"/>
      <c r="M644" s="9"/>
      <c r="N644" s="9"/>
      <c r="O644" s="9"/>
      <c r="P644" s="9"/>
      <c r="Q644" s="9"/>
      <c r="R644" s="9"/>
      <c r="S644" s="9"/>
      <c r="T644" s="9"/>
      <c r="U644" s="9"/>
      <c r="V644" s="9"/>
      <c r="W644" s="9"/>
      <c r="X644" s="11"/>
      <c r="Y644" s="9"/>
      <c r="Z644" s="11"/>
      <c r="AA644" s="9"/>
      <c r="AB644" s="9"/>
      <c r="AC644" s="11"/>
      <c r="AD644" s="9"/>
      <c r="AE644" s="9"/>
      <c r="AF644" s="9"/>
      <c r="AG644" s="9"/>
      <c r="AH644" s="9"/>
      <c r="AI644" s="9"/>
      <c r="AJ644" s="9"/>
      <c r="AK644" s="9"/>
      <c r="AL644" s="9"/>
      <c r="AM644" s="11"/>
      <c r="AN644" s="11"/>
      <c r="AO644" s="9"/>
      <c r="AP644" s="9"/>
      <c r="AQ644" s="9"/>
    </row>
    <row r="645" spans="1:43" x14ac:dyDescent="0.25">
      <c r="A645" s="9"/>
      <c r="B645" s="10"/>
      <c r="C645" s="9"/>
      <c r="D645" s="9"/>
      <c r="E645" s="9"/>
      <c r="F645" s="9"/>
      <c r="G645" s="9"/>
      <c r="H645" s="9"/>
      <c r="I645" s="10"/>
      <c r="J645" s="11"/>
      <c r="K645" s="10"/>
      <c r="L645" s="9"/>
      <c r="M645" s="9"/>
      <c r="N645" s="9"/>
      <c r="O645" s="9"/>
      <c r="P645" s="9"/>
      <c r="Q645" s="9"/>
      <c r="R645" s="9"/>
      <c r="S645" s="9"/>
      <c r="T645" s="9"/>
      <c r="U645" s="9"/>
      <c r="V645" s="9"/>
      <c r="W645" s="9"/>
      <c r="X645" s="11"/>
      <c r="Y645" s="9"/>
      <c r="Z645" s="10"/>
      <c r="AA645" s="9"/>
      <c r="AB645" s="9"/>
      <c r="AC645" s="10"/>
      <c r="AD645" s="9"/>
      <c r="AE645" s="9"/>
      <c r="AF645" s="9"/>
      <c r="AG645" s="9"/>
      <c r="AH645" s="9"/>
      <c r="AI645" s="9"/>
      <c r="AJ645" s="9"/>
      <c r="AK645" s="9"/>
      <c r="AL645" s="9"/>
      <c r="AM645" s="11"/>
      <c r="AN645" s="11"/>
      <c r="AO645" s="9"/>
      <c r="AP645" s="9"/>
      <c r="AQ645" s="9"/>
    </row>
    <row r="646" spans="1:43" x14ac:dyDescent="0.25">
      <c r="A646" s="9"/>
      <c r="B646" s="10"/>
      <c r="C646" s="9"/>
      <c r="D646" s="9"/>
      <c r="E646" s="9"/>
      <c r="F646" s="9"/>
      <c r="G646" s="9"/>
      <c r="H646" s="9"/>
      <c r="I646" s="10"/>
      <c r="J646" s="11"/>
      <c r="K646" s="11"/>
      <c r="L646" s="9"/>
      <c r="M646" s="9"/>
      <c r="N646" s="9"/>
      <c r="O646" s="9"/>
      <c r="P646" s="9"/>
      <c r="Q646" s="9"/>
      <c r="R646" s="9"/>
      <c r="S646" s="9"/>
      <c r="T646" s="9"/>
      <c r="U646" s="9"/>
      <c r="V646" s="9"/>
      <c r="W646" s="9"/>
      <c r="X646" s="11"/>
      <c r="Y646" s="9"/>
      <c r="Z646" s="11"/>
      <c r="AA646" s="9"/>
      <c r="AB646" s="9"/>
      <c r="AC646" s="11"/>
      <c r="AD646" s="9"/>
      <c r="AE646" s="9"/>
      <c r="AF646" s="9"/>
      <c r="AG646" s="9"/>
      <c r="AH646" s="9"/>
      <c r="AI646" s="9"/>
      <c r="AJ646" s="9"/>
      <c r="AK646" s="9"/>
      <c r="AL646" s="9"/>
      <c r="AM646" s="11"/>
      <c r="AN646" s="11"/>
      <c r="AO646" s="9"/>
      <c r="AP646" s="9"/>
      <c r="AQ646" s="9"/>
    </row>
    <row r="647" spans="1:43" x14ac:dyDescent="0.25">
      <c r="A647" s="9"/>
      <c r="B647" s="10"/>
      <c r="C647" s="9"/>
      <c r="D647" s="9"/>
      <c r="E647" s="9"/>
      <c r="F647" s="9"/>
      <c r="G647" s="9"/>
      <c r="H647" s="9"/>
      <c r="I647" s="10"/>
      <c r="J647" s="11"/>
      <c r="K647" s="11"/>
      <c r="L647" s="9"/>
      <c r="M647" s="9"/>
      <c r="N647" s="9"/>
      <c r="O647" s="9"/>
      <c r="P647" s="9"/>
      <c r="Q647" s="9"/>
      <c r="R647" s="9"/>
      <c r="S647" s="9"/>
      <c r="T647" s="9"/>
      <c r="U647" s="9"/>
      <c r="V647" s="9"/>
      <c r="W647" s="9"/>
      <c r="X647" s="11"/>
      <c r="Y647" s="9"/>
      <c r="Z647" s="11"/>
      <c r="AA647" s="9"/>
      <c r="AB647" s="9"/>
      <c r="AC647" s="11"/>
      <c r="AD647" s="9"/>
      <c r="AE647" s="9"/>
      <c r="AF647" s="9"/>
      <c r="AG647" s="9"/>
      <c r="AH647" s="9"/>
      <c r="AI647" s="9"/>
      <c r="AJ647" s="9"/>
      <c r="AK647" s="9"/>
      <c r="AL647" s="9"/>
      <c r="AM647" s="11"/>
      <c r="AN647" s="11"/>
      <c r="AO647" s="9"/>
      <c r="AP647" s="9"/>
      <c r="AQ647" s="9"/>
    </row>
    <row r="648" spans="1:43" x14ac:dyDescent="0.25">
      <c r="A648" s="9"/>
      <c r="B648" s="10"/>
      <c r="C648" s="9"/>
      <c r="D648" s="9"/>
      <c r="E648" s="9"/>
      <c r="F648" s="9"/>
      <c r="G648" s="9"/>
      <c r="H648" s="9"/>
      <c r="I648" s="10"/>
      <c r="J648" s="10"/>
      <c r="K648" s="11"/>
      <c r="L648" s="9"/>
      <c r="M648" s="9"/>
      <c r="N648" s="9"/>
      <c r="O648" s="9"/>
      <c r="P648" s="9"/>
      <c r="Q648" s="9"/>
      <c r="R648" s="9"/>
      <c r="S648" s="9"/>
      <c r="T648" s="9"/>
      <c r="U648" s="9"/>
      <c r="V648" s="9"/>
      <c r="W648" s="9"/>
      <c r="X648" s="10"/>
      <c r="Y648" s="9"/>
      <c r="Z648" s="11"/>
      <c r="AA648" s="9"/>
      <c r="AB648" s="9"/>
      <c r="AC648" s="10"/>
      <c r="AD648" s="9"/>
      <c r="AE648" s="9"/>
      <c r="AF648" s="9"/>
      <c r="AG648" s="9"/>
      <c r="AH648" s="9"/>
      <c r="AI648" s="9"/>
      <c r="AJ648" s="9"/>
      <c r="AK648" s="9"/>
      <c r="AL648" s="9"/>
      <c r="AM648" s="11"/>
      <c r="AN648" s="11"/>
      <c r="AO648" s="9"/>
      <c r="AP648" s="9"/>
      <c r="AQ648" s="9"/>
    </row>
    <row r="649" spans="1:43" x14ac:dyDescent="0.25">
      <c r="A649" s="9"/>
      <c r="B649" s="10"/>
      <c r="C649" s="9"/>
      <c r="D649" s="9"/>
      <c r="E649" s="9"/>
      <c r="F649" s="9"/>
      <c r="G649" s="9"/>
      <c r="H649" s="9"/>
      <c r="I649" s="10"/>
      <c r="J649" s="11"/>
      <c r="K649" s="11"/>
      <c r="L649" s="9"/>
      <c r="M649" s="9"/>
      <c r="N649" s="9"/>
      <c r="O649" s="9"/>
      <c r="P649" s="9"/>
      <c r="Q649" s="9"/>
      <c r="R649" s="9"/>
      <c r="S649" s="9"/>
      <c r="T649" s="9"/>
      <c r="U649" s="9"/>
      <c r="V649" s="9"/>
      <c r="W649" s="9"/>
      <c r="X649" s="11"/>
      <c r="Y649" s="9"/>
      <c r="Z649" s="11"/>
      <c r="AA649" s="9"/>
      <c r="AB649" s="9"/>
      <c r="AC649" s="11"/>
      <c r="AD649" s="9"/>
      <c r="AE649" s="9"/>
      <c r="AF649" s="9"/>
      <c r="AG649" s="9"/>
      <c r="AH649" s="9"/>
      <c r="AI649" s="9"/>
      <c r="AJ649" s="9"/>
      <c r="AK649" s="9"/>
      <c r="AL649" s="9"/>
      <c r="AM649" s="11"/>
      <c r="AN649" s="11"/>
      <c r="AO649" s="9"/>
      <c r="AP649" s="9"/>
      <c r="AQ649" s="9"/>
    </row>
    <row r="650" spans="1:43" x14ac:dyDescent="0.25">
      <c r="A650" s="9"/>
      <c r="B650" s="10"/>
      <c r="C650" s="9"/>
      <c r="D650" s="9"/>
      <c r="E650" s="9"/>
      <c r="F650" s="9"/>
      <c r="G650" s="9"/>
      <c r="H650" s="9"/>
      <c r="I650" s="10"/>
      <c r="J650" s="10"/>
      <c r="K650" s="11"/>
      <c r="L650" s="9"/>
      <c r="M650" s="9"/>
      <c r="N650" s="9"/>
      <c r="O650" s="9"/>
      <c r="P650" s="9"/>
      <c r="Q650" s="9"/>
      <c r="R650" s="9"/>
      <c r="S650" s="9"/>
      <c r="T650" s="9"/>
      <c r="U650" s="9"/>
      <c r="V650" s="9"/>
      <c r="W650" s="9"/>
      <c r="X650" s="10"/>
      <c r="Y650" s="9"/>
      <c r="Z650" s="11"/>
      <c r="AA650" s="9"/>
      <c r="AB650" s="9"/>
      <c r="AC650" s="10"/>
      <c r="AD650" s="9"/>
      <c r="AE650" s="9"/>
      <c r="AF650" s="9"/>
      <c r="AG650" s="9"/>
      <c r="AH650" s="9"/>
      <c r="AI650" s="9"/>
      <c r="AJ650" s="9"/>
      <c r="AK650" s="9"/>
      <c r="AL650" s="9"/>
      <c r="AM650" s="11"/>
      <c r="AN650" s="11"/>
      <c r="AO650" s="9"/>
      <c r="AP650" s="9"/>
      <c r="AQ650" s="9"/>
    </row>
    <row r="651" spans="1:43" x14ac:dyDescent="0.25">
      <c r="A651" s="9"/>
      <c r="B651" s="10"/>
      <c r="C651" s="9"/>
      <c r="D651" s="9"/>
      <c r="E651" s="9"/>
      <c r="F651" s="9"/>
      <c r="G651" s="9"/>
      <c r="H651" s="9"/>
      <c r="I651" s="10"/>
      <c r="J651" s="11"/>
      <c r="K651" s="11"/>
      <c r="L651" s="9"/>
      <c r="M651" s="9"/>
      <c r="N651" s="9"/>
      <c r="O651" s="9"/>
      <c r="P651" s="9"/>
      <c r="Q651" s="9"/>
      <c r="R651" s="9"/>
      <c r="S651" s="9"/>
      <c r="T651" s="9"/>
      <c r="U651" s="9"/>
      <c r="V651" s="9"/>
      <c r="W651" s="9"/>
      <c r="X651" s="11"/>
      <c r="Y651" s="9"/>
      <c r="Z651" s="11"/>
      <c r="AA651" s="9"/>
      <c r="AB651" s="9"/>
      <c r="AC651" s="11"/>
      <c r="AD651" s="9"/>
      <c r="AE651" s="9"/>
      <c r="AF651" s="9"/>
      <c r="AG651" s="9"/>
      <c r="AH651" s="9"/>
      <c r="AI651" s="9"/>
      <c r="AJ651" s="9"/>
      <c r="AK651" s="9"/>
      <c r="AL651" s="9"/>
      <c r="AM651" s="11"/>
      <c r="AN651" s="11"/>
      <c r="AO651" s="9"/>
      <c r="AP651" s="9"/>
      <c r="AQ651" s="9"/>
    </row>
    <row r="652" spans="1:43" x14ac:dyDescent="0.25">
      <c r="A652" s="9"/>
      <c r="B652" s="10"/>
      <c r="C652" s="9"/>
      <c r="D652" s="9"/>
      <c r="E652" s="9"/>
      <c r="F652" s="9"/>
      <c r="G652" s="9"/>
      <c r="H652" s="9"/>
      <c r="I652" s="10"/>
      <c r="J652" s="11"/>
      <c r="K652" s="10"/>
      <c r="L652" s="9"/>
      <c r="M652" s="9"/>
      <c r="N652" s="9"/>
      <c r="O652" s="9"/>
      <c r="P652" s="9"/>
      <c r="Q652" s="9"/>
      <c r="R652" s="9"/>
      <c r="S652" s="9"/>
      <c r="T652" s="9"/>
      <c r="U652" s="9"/>
      <c r="V652" s="9"/>
      <c r="W652" s="9"/>
      <c r="X652" s="11"/>
      <c r="Y652" s="9"/>
      <c r="Z652" s="10"/>
      <c r="AA652" s="9"/>
      <c r="AB652" s="9"/>
      <c r="AC652" s="10"/>
      <c r="AD652" s="9"/>
      <c r="AE652" s="9"/>
      <c r="AF652" s="9"/>
      <c r="AG652" s="9"/>
      <c r="AH652" s="9"/>
      <c r="AI652" s="9"/>
      <c r="AJ652" s="9"/>
      <c r="AK652" s="9"/>
      <c r="AL652" s="9"/>
      <c r="AM652" s="10"/>
      <c r="AN652" s="11"/>
      <c r="AO652" s="9"/>
      <c r="AP652" s="9"/>
      <c r="AQ652" s="9"/>
    </row>
    <row r="653" spans="1:43" x14ac:dyDescent="0.25">
      <c r="A653" s="9"/>
      <c r="B653" s="10"/>
      <c r="C653" s="9"/>
      <c r="D653" s="9"/>
      <c r="E653" s="9"/>
      <c r="F653" s="9"/>
      <c r="G653" s="9"/>
      <c r="H653" s="9"/>
      <c r="I653" s="10"/>
      <c r="J653" s="11"/>
      <c r="K653" s="11"/>
      <c r="L653" s="9"/>
      <c r="M653" s="9"/>
      <c r="N653" s="9"/>
      <c r="O653" s="9"/>
      <c r="P653" s="9"/>
      <c r="Q653" s="9"/>
      <c r="R653" s="9"/>
      <c r="S653" s="9"/>
      <c r="T653" s="9"/>
      <c r="U653" s="9"/>
      <c r="V653" s="9"/>
      <c r="W653" s="9"/>
      <c r="X653" s="11"/>
      <c r="Y653" s="9"/>
      <c r="Z653" s="11"/>
      <c r="AA653" s="9"/>
      <c r="AB653" s="9"/>
      <c r="AC653" s="11"/>
      <c r="AD653" s="9"/>
      <c r="AE653" s="9"/>
      <c r="AF653" s="9"/>
      <c r="AG653" s="9"/>
      <c r="AH653" s="9"/>
      <c r="AI653" s="9"/>
      <c r="AJ653" s="9"/>
      <c r="AK653" s="9"/>
      <c r="AL653" s="9"/>
      <c r="AM653" s="11"/>
      <c r="AN653" s="11"/>
      <c r="AO653" s="9"/>
      <c r="AP653" s="9"/>
      <c r="AQ653" s="9"/>
    </row>
    <row r="654" spans="1:43" x14ac:dyDescent="0.25">
      <c r="A654" s="9"/>
      <c r="B654" s="10"/>
      <c r="C654" s="9"/>
      <c r="D654" s="9"/>
      <c r="E654" s="9"/>
      <c r="F654" s="9"/>
      <c r="G654" s="9"/>
      <c r="H654" s="9"/>
      <c r="I654" s="10"/>
      <c r="J654" s="11"/>
      <c r="K654" s="11"/>
      <c r="L654" s="9"/>
      <c r="M654" s="9"/>
      <c r="N654" s="9"/>
      <c r="O654" s="9"/>
      <c r="P654" s="9"/>
      <c r="Q654" s="9"/>
      <c r="R654" s="9"/>
      <c r="S654" s="9"/>
      <c r="T654" s="9"/>
      <c r="U654" s="9"/>
      <c r="V654" s="9"/>
      <c r="W654" s="9"/>
      <c r="X654" s="11"/>
      <c r="Y654" s="9"/>
      <c r="Z654" s="11"/>
      <c r="AA654" s="9"/>
      <c r="AB654" s="9"/>
      <c r="AC654" s="11"/>
      <c r="AD654" s="9"/>
      <c r="AE654" s="9"/>
      <c r="AF654" s="9"/>
      <c r="AG654" s="9"/>
      <c r="AH654" s="9"/>
      <c r="AI654" s="9"/>
      <c r="AJ654" s="9"/>
      <c r="AK654" s="9"/>
      <c r="AL654" s="9"/>
      <c r="AM654" s="11"/>
      <c r="AN654" s="11"/>
      <c r="AO654" s="9"/>
      <c r="AP654" s="9"/>
      <c r="AQ654" s="9"/>
    </row>
    <row r="655" spans="1:43" x14ac:dyDescent="0.25">
      <c r="A655" s="9"/>
      <c r="B655" s="10"/>
      <c r="C655" s="9"/>
      <c r="D655" s="9"/>
      <c r="E655" s="9"/>
      <c r="F655" s="9"/>
      <c r="G655" s="9"/>
      <c r="H655" s="9"/>
      <c r="I655" s="10"/>
      <c r="J655" s="11"/>
      <c r="K655" s="11"/>
      <c r="L655" s="9"/>
      <c r="M655" s="9"/>
      <c r="N655" s="9"/>
      <c r="O655" s="9"/>
      <c r="P655" s="9"/>
      <c r="Q655" s="9"/>
      <c r="R655" s="9"/>
      <c r="S655" s="9"/>
      <c r="T655" s="9"/>
      <c r="U655" s="9"/>
      <c r="V655" s="9"/>
      <c r="W655" s="9"/>
      <c r="X655" s="11"/>
      <c r="Y655" s="9"/>
      <c r="Z655" s="11"/>
      <c r="AA655" s="9"/>
      <c r="AB655" s="9"/>
      <c r="AC655" s="11"/>
      <c r="AD655" s="9"/>
      <c r="AE655" s="9"/>
      <c r="AF655" s="9"/>
      <c r="AG655" s="9"/>
      <c r="AH655" s="9"/>
      <c r="AI655" s="9"/>
      <c r="AJ655" s="9"/>
      <c r="AK655" s="9"/>
      <c r="AL655" s="9"/>
      <c r="AM655" s="11"/>
      <c r="AN655" s="11"/>
      <c r="AO655" s="9"/>
      <c r="AP655" s="9"/>
      <c r="AQ655" s="9"/>
    </row>
    <row r="656" spans="1:43" x14ac:dyDescent="0.25">
      <c r="A656" s="9"/>
      <c r="B656" s="10"/>
      <c r="C656" s="9"/>
      <c r="D656" s="9"/>
      <c r="E656" s="9"/>
      <c r="F656" s="9"/>
      <c r="G656" s="9"/>
      <c r="H656" s="9"/>
      <c r="I656" s="10"/>
      <c r="J656" s="11"/>
      <c r="K656" s="11"/>
      <c r="L656" s="9"/>
      <c r="M656" s="9"/>
      <c r="N656" s="9"/>
      <c r="O656" s="9"/>
      <c r="P656" s="9"/>
      <c r="Q656" s="9"/>
      <c r="R656" s="9"/>
      <c r="S656" s="9"/>
      <c r="T656" s="9"/>
      <c r="U656" s="9"/>
      <c r="V656" s="9"/>
      <c r="W656" s="9"/>
      <c r="X656" s="11"/>
      <c r="Y656" s="9"/>
      <c r="Z656" s="11"/>
      <c r="AA656" s="9"/>
      <c r="AB656" s="9"/>
      <c r="AC656" s="11"/>
      <c r="AD656" s="9"/>
      <c r="AE656" s="9"/>
      <c r="AF656" s="9"/>
      <c r="AG656" s="9"/>
      <c r="AH656" s="9"/>
      <c r="AI656" s="9"/>
      <c r="AJ656" s="9"/>
      <c r="AK656" s="9"/>
      <c r="AL656" s="9"/>
      <c r="AM656" s="11"/>
      <c r="AN656" s="11"/>
      <c r="AO656" s="9"/>
      <c r="AP656" s="9"/>
      <c r="AQ656" s="9"/>
    </row>
    <row r="657" spans="1:43" x14ac:dyDescent="0.25">
      <c r="A657" s="9"/>
      <c r="B657" s="10"/>
      <c r="C657" s="9"/>
      <c r="D657" s="9"/>
      <c r="E657" s="9"/>
      <c r="F657" s="9"/>
      <c r="G657" s="9"/>
      <c r="H657" s="9"/>
      <c r="I657" s="10"/>
      <c r="J657" s="11"/>
      <c r="K657" s="11"/>
      <c r="L657" s="9"/>
      <c r="M657" s="9"/>
      <c r="N657" s="9"/>
      <c r="O657" s="9"/>
      <c r="P657" s="9"/>
      <c r="Q657" s="9"/>
      <c r="R657" s="9"/>
      <c r="S657" s="9"/>
      <c r="T657" s="9"/>
      <c r="U657" s="9"/>
      <c r="V657" s="9"/>
      <c r="W657" s="9"/>
      <c r="X657" s="11"/>
      <c r="Y657" s="9"/>
      <c r="Z657" s="11"/>
      <c r="AA657" s="9"/>
      <c r="AB657" s="9"/>
      <c r="AC657" s="11"/>
      <c r="AD657" s="9"/>
      <c r="AE657" s="9"/>
      <c r="AF657" s="9"/>
      <c r="AG657" s="9"/>
      <c r="AH657" s="9"/>
      <c r="AI657" s="9"/>
      <c r="AJ657" s="9"/>
      <c r="AK657" s="9"/>
      <c r="AL657" s="9"/>
      <c r="AM657" s="11"/>
      <c r="AN657" s="11"/>
      <c r="AO657" s="9"/>
      <c r="AP657" s="9"/>
      <c r="AQ657" s="9"/>
    </row>
    <row r="658" spans="1:43" x14ac:dyDescent="0.25">
      <c r="A658" s="9"/>
      <c r="B658" s="10"/>
      <c r="C658" s="9"/>
      <c r="D658" s="9"/>
      <c r="E658" s="9"/>
      <c r="F658" s="9"/>
      <c r="G658" s="9"/>
      <c r="H658" s="9"/>
      <c r="I658" s="10"/>
      <c r="J658" s="11"/>
      <c r="K658" s="11"/>
      <c r="L658" s="9"/>
      <c r="M658" s="9"/>
      <c r="N658" s="9"/>
      <c r="O658" s="9"/>
      <c r="P658" s="9"/>
      <c r="Q658" s="9"/>
      <c r="R658" s="9"/>
      <c r="S658" s="9"/>
      <c r="T658" s="9"/>
      <c r="U658" s="9"/>
      <c r="V658" s="9"/>
      <c r="W658" s="9"/>
      <c r="X658" s="11"/>
      <c r="Y658" s="9"/>
      <c r="Z658" s="11"/>
      <c r="AA658" s="9"/>
      <c r="AB658" s="9"/>
      <c r="AC658" s="11"/>
      <c r="AD658" s="9"/>
      <c r="AE658" s="9"/>
      <c r="AF658" s="9"/>
      <c r="AG658" s="9"/>
      <c r="AH658" s="9"/>
      <c r="AI658" s="9"/>
      <c r="AJ658" s="9"/>
      <c r="AK658" s="9"/>
      <c r="AL658" s="9"/>
      <c r="AM658" s="11"/>
      <c r="AN658" s="11"/>
      <c r="AO658" s="9"/>
      <c r="AP658" s="9"/>
      <c r="AQ658" s="9"/>
    </row>
    <row r="659" spans="1:43" x14ac:dyDescent="0.25">
      <c r="A659" s="9"/>
      <c r="B659" s="10"/>
      <c r="C659" s="9"/>
      <c r="D659" s="9"/>
      <c r="E659" s="9"/>
      <c r="F659" s="9"/>
      <c r="G659" s="9"/>
      <c r="H659" s="9"/>
      <c r="I659" s="10"/>
      <c r="J659" s="11"/>
      <c r="K659" s="11"/>
      <c r="L659" s="9"/>
      <c r="M659" s="9"/>
      <c r="N659" s="9"/>
      <c r="O659" s="9"/>
      <c r="P659" s="9"/>
      <c r="Q659" s="9"/>
      <c r="R659" s="9"/>
      <c r="S659" s="9"/>
      <c r="T659" s="9"/>
      <c r="U659" s="9"/>
      <c r="V659" s="9"/>
      <c r="W659" s="9"/>
      <c r="X659" s="11"/>
      <c r="Y659" s="9"/>
      <c r="Z659" s="11"/>
      <c r="AA659" s="9"/>
      <c r="AB659" s="9"/>
      <c r="AC659" s="11"/>
      <c r="AD659" s="9"/>
      <c r="AE659" s="9"/>
      <c r="AF659" s="9"/>
      <c r="AG659" s="9"/>
      <c r="AH659" s="9"/>
      <c r="AI659" s="9"/>
      <c r="AJ659" s="9"/>
      <c r="AK659" s="9"/>
      <c r="AL659" s="9"/>
      <c r="AM659" s="11"/>
      <c r="AN659" s="11"/>
      <c r="AO659" s="9"/>
      <c r="AP659" s="9"/>
      <c r="AQ659" s="9"/>
    </row>
    <row r="660" spans="1:43" x14ac:dyDescent="0.25">
      <c r="A660" s="9"/>
      <c r="B660" s="10"/>
      <c r="C660" s="9"/>
      <c r="D660" s="9"/>
      <c r="E660" s="9"/>
      <c r="F660" s="9"/>
      <c r="G660" s="9"/>
      <c r="H660" s="9"/>
      <c r="I660" s="10"/>
      <c r="J660" s="11"/>
      <c r="K660" s="11"/>
      <c r="L660" s="9"/>
      <c r="M660" s="9"/>
      <c r="N660" s="9"/>
      <c r="O660" s="9"/>
      <c r="P660" s="9"/>
      <c r="Q660" s="9"/>
      <c r="R660" s="9"/>
      <c r="S660" s="9"/>
      <c r="T660" s="9"/>
      <c r="U660" s="9"/>
      <c r="V660" s="9"/>
      <c r="W660" s="9"/>
      <c r="X660" s="11"/>
      <c r="Y660" s="9"/>
      <c r="Z660" s="11"/>
      <c r="AA660" s="9"/>
      <c r="AB660" s="9"/>
      <c r="AC660" s="11"/>
      <c r="AD660" s="9"/>
      <c r="AE660" s="9"/>
      <c r="AF660" s="9"/>
      <c r="AG660" s="9"/>
      <c r="AH660" s="9"/>
      <c r="AI660" s="9"/>
      <c r="AJ660" s="9"/>
      <c r="AK660" s="9"/>
      <c r="AL660" s="9"/>
      <c r="AM660" s="11"/>
      <c r="AN660" s="11"/>
      <c r="AO660" s="9"/>
      <c r="AP660" s="9"/>
      <c r="AQ660" s="9"/>
    </row>
    <row r="661" spans="1:43" x14ac:dyDescent="0.25">
      <c r="A661" s="9"/>
      <c r="B661" s="10"/>
      <c r="C661" s="9"/>
      <c r="D661" s="9"/>
      <c r="E661" s="9"/>
      <c r="F661" s="9"/>
      <c r="G661" s="9"/>
      <c r="H661" s="9"/>
      <c r="I661" s="10"/>
      <c r="J661" s="11"/>
      <c r="K661" s="11"/>
      <c r="L661" s="9"/>
      <c r="M661" s="9"/>
      <c r="N661" s="9"/>
      <c r="O661" s="9"/>
      <c r="P661" s="9"/>
      <c r="Q661" s="9"/>
      <c r="R661" s="9"/>
      <c r="S661" s="9"/>
      <c r="T661" s="9"/>
      <c r="U661" s="9"/>
      <c r="V661" s="9"/>
      <c r="W661" s="9"/>
      <c r="X661" s="11"/>
      <c r="Y661" s="9"/>
      <c r="Z661" s="11"/>
      <c r="AA661" s="9"/>
      <c r="AB661" s="9"/>
      <c r="AC661" s="11"/>
      <c r="AD661" s="9"/>
      <c r="AE661" s="9"/>
      <c r="AF661" s="9"/>
      <c r="AG661" s="9"/>
      <c r="AH661" s="9"/>
      <c r="AI661" s="9"/>
      <c r="AJ661" s="9"/>
      <c r="AK661" s="9"/>
      <c r="AL661" s="9"/>
      <c r="AM661" s="11"/>
      <c r="AN661" s="11"/>
      <c r="AO661" s="9"/>
      <c r="AP661" s="9"/>
      <c r="AQ661" s="9"/>
    </row>
    <row r="662" spans="1:43" x14ac:dyDescent="0.25">
      <c r="A662" s="9"/>
      <c r="B662" s="10"/>
      <c r="C662" s="9"/>
      <c r="D662" s="9"/>
      <c r="E662" s="9"/>
      <c r="F662" s="9"/>
      <c r="G662" s="9"/>
      <c r="H662" s="9"/>
      <c r="I662" s="10"/>
      <c r="J662" s="11"/>
      <c r="K662" s="11"/>
      <c r="L662" s="9"/>
      <c r="M662" s="9"/>
      <c r="N662" s="9"/>
      <c r="O662" s="9"/>
      <c r="P662" s="9"/>
      <c r="Q662" s="9"/>
      <c r="R662" s="9"/>
      <c r="S662" s="9"/>
      <c r="T662" s="9"/>
      <c r="U662" s="9"/>
      <c r="V662" s="9"/>
      <c r="W662" s="9"/>
      <c r="X662" s="11"/>
      <c r="Y662" s="9"/>
      <c r="Z662" s="11"/>
      <c r="AA662" s="9"/>
      <c r="AB662" s="9"/>
      <c r="AC662" s="11"/>
      <c r="AD662" s="9"/>
      <c r="AE662" s="9"/>
      <c r="AF662" s="9"/>
      <c r="AG662" s="9"/>
      <c r="AH662" s="9"/>
      <c r="AI662" s="9"/>
      <c r="AJ662" s="9"/>
      <c r="AK662" s="9"/>
      <c r="AL662" s="9"/>
      <c r="AM662" s="11"/>
      <c r="AN662" s="11"/>
      <c r="AO662" s="9"/>
      <c r="AP662" s="9"/>
      <c r="AQ662" s="9"/>
    </row>
    <row r="663" spans="1:43" x14ac:dyDescent="0.25">
      <c r="A663" s="9"/>
      <c r="B663" s="10"/>
      <c r="C663" s="9"/>
      <c r="D663" s="9"/>
      <c r="E663" s="9"/>
      <c r="F663" s="9"/>
      <c r="G663" s="9"/>
      <c r="H663" s="9"/>
      <c r="I663" s="10"/>
      <c r="J663" s="11"/>
      <c r="K663" s="11"/>
      <c r="L663" s="9"/>
      <c r="M663" s="9"/>
      <c r="N663" s="9"/>
      <c r="O663" s="9"/>
      <c r="P663" s="9"/>
      <c r="Q663" s="9"/>
      <c r="R663" s="9"/>
      <c r="S663" s="9"/>
      <c r="T663" s="9"/>
      <c r="U663" s="9"/>
      <c r="V663" s="9"/>
      <c r="W663" s="9"/>
      <c r="X663" s="11"/>
      <c r="Y663" s="9"/>
      <c r="Z663" s="11"/>
      <c r="AA663" s="9"/>
      <c r="AB663" s="9"/>
      <c r="AC663" s="11"/>
      <c r="AD663" s="9"/>
      <c r="AE663" s="9"/>
      <c r="AF663" s="9"/>
      <c r="AG663" s="9"/>
      <c r="AH663" s="9"/>
      <c r="AI663" s="9"/>
      <c r="AJ663" s="9"/>
      <c r="AK663" s="9"/>
      <c r="AL663" s="9"/>
      <c r="AM663" s="11"/>
      <c r="AN663" s="11"/>
      <c r="AO663" s="9"/>
      <c r="AP663" s="9"/>
      <c r="AQ663" s="9"/>
    </row>
    <row r="664" spans="1:43" x14ac:dyDescent="0.25">
      <c r="A664" s="9"/>
      <c r="B664" s="10"/>
      <c r="C664" s="9"/>
      <c r="D664" s="9"/>
      <c r="E664" s="9"/>
      <c r="F664" s="9"/>
      <c r="G664" s="9"/>
      <c r="H664" s="9"/>
      <c r="I664" s="10"/>
      <c r="J664" s="11"/>
      <c r="K664" s="11"/>
      <c r="L664" s="9"/>
      <c r="M664" s="9"/>
      <c r="N664" s="9"/>
      <c r="O664" s="9"/>
      <c r="P664" s="9"/>
      <c r="Q664" s="9"/>
      <c r="R664" s="9"/>
      <c r="S664" s="9"/>
      <c r="T664" s="9"/>
      <c r="U664" s="9"/>
      <c r="V664" s="9"/>
      <c r="W664" s="9"/>
      <c r="X664" s="11"/>
      <c r="Y664" s="9"/>
      <c r="Z664" s="11"/>
      <c r="AA664" s="9"/>
      <c r="AB664" s="9"/>
      <c r="AC664" s="11"/>
      <c r="AD664" s="9"/>
      <c r="AE664" s="9"/>
      <c r="AF664" s="9"/>
      <c r="AG664" s="9"/>
      <c r="AH664" s="9"/>
      <c r="AI664" s="9"/>
      <c r="AJ664" s="9"/>
      <c r="AK664" s="9"/>
      <c r="AL664" s="9"/>
      <c r="AM664" s="11"/>
      <c r="AN664" s="11"/>
      <c r="AO664" s="9"/>
      <c r="AP664" s="9"/>
      <c r="AQ664" s="9"/>
    </row>
    <row r="665" spans="1:43" x14ac:dyDescent="0.25">
      <c r="A665" s="9"/>
      <c r="B665" s="10"/>
      <c r="C665" s="9"/>
      <c r="D665" s="9"/>
      <c r="E665" s="9"/>
      <c r="F665" s="9"/>
      <c r="G665" s="9"/>
      <c r="H665" s="9"/>
      <c r="I665" s="10"/>
      <c r="J665" s="11"/>
      <c r="K665" s="10"/>
      <c r="L665" s="9"/>
      <c r="M665" s="9"/>
      <c r="N665" s="9"/>
      <c r="O665" s="9"/>
      <c r="P665" s="9"/>
      <c r="Q665" s="9"/>
      <c r="R665" s="9"/>
      <c r="S665" s="9"/>
      <c r="T665" s="9"/>
      <c r="U665" s="9"/>
      <c r="V665" s="9"/>
      <c r="W665" s="9"/>
      <c r="X665" s="11"/>
      <c r="Y665" s="9"/>
      <c r="Z665" s="10"/>
      <c r="AA665" s="9"/>
      <c r="AB665" s="9"/>
      <c r="AC665" s="10"/>
      <c r="AD665" s="9"/>
      <c r="AE665" s="9"/>
      <c r="AF665" s="9"/>
      <c r="AG665" s="9"/>
      <c r="AH665" s="9"/>
      <c r="AI665" s="9"/>
      <c r="AJ665" s="9"/>
      <c r="AK665" s="9"/>
      <c r="AL665" s="9"/>
      <c r="AM665" s="11"/>
      <c r="AN665" s="11"/>
      <c r="AO665" s="9"/>
      <c r="AP665" s="9"/>
      <c r="AQ665" s="9"/>
    </row>
    <row r="666" spans="1:43" x14ac:dyDescent="0.25">
      <c r="A666" s="9"/>
      <c r="B666" s="10"/>
      <c r="C666" s="9"/>
      <c r="D666" s="9"/>
      <c r="E666" s="9"/>
      <c r="F666" s="9"/>
      <c r="G666" s="9"/>
      <c r="H666" s="9"/>
      <c r="I666" s="10"/>
      <c r="J666" s="11"/>
      <c r="K666" s="11"/>
      <c r="L666" s="9"/>
      <c r="M666" s="9"/>
      <c r="N666" s="9"/>
      <c r="O666" s="9"/>
      <c r="P666" s="9"/>
      <c r="Q666" s="9"/>
      <c r="R666" s="9"/>
      <c r="S666" s="9"/>
      <c r="T666" s="9"/>
      <c r="U666" s="9"/>
      <c r="V666" s="9"/>
      <c r="W666" s="9"/>
      <c r="X666" s="11"/>
      <c r="Y666" s="9"/>
      <c r="Z666" s="11"/>
      <c r="AA666" s="9"/>
      <c r="AB666" s="9"/>
      <c r="AC666" s="11"/>
      <c r="AD666" s="9"/>
      <c r="AE666" s="9"/>
      <c r="AF666" s="9"/>
      <c r="AG666" s="9"/>
      <c r="AH666" s="9"/>
      <c r="AI666" s="9"/>
      <c r="AJ666" s="9"/>
      <c r="AK666" s="9"/>
      <c r="AL666" s="9"/>
      <c r="AM666" s="11"/>
      <c r="AN666" s="11"/>
      <c r="AO666" s="9"/>
      <c r="AP666" s="9"/>
      <c r="AQ666" s="9"/>
    </row>
    <row r="667" spans="1:43" x14ac:dyDescent="0.25">
      <c r="A667" s="9"/>
      <c r="B667" s="10"/>
      <c r="C667" s="9"/>
      <c r="D667" s="9"/>
      <c r="E667" s="9"/>
      <c r="F667" s="9"/>
      <c r="G667" s="9"/>
      <c r="H667" s="9"/>
      <c r="I667" s="10"/>
      <c r="J667" s="11"/>
      <c r="K667" s="11"/>
      <c r="L667" s="9"/>
      <c r="M667" s="9"/>
      <c r="N667" s="9"/>
      <c r="O667" s="9"/>
      <c r="P667" s="9"/>
      <c r="Q667" s="9"/>
      <c r="R667" s="9"/>
      <c r="S667" s="9"/>
      <c r="T667" s="9"/>
      <c r="U667" s="9"/>
      <c r="V667" s="9"/>
      <c r="W667" s="9"/>
      <c r="X667" s="11"/>
      <c r="Y667" s="9"/>
      <c r="Z667" s="11"/>
      <c r="AA667" s="9"/>
      <c r="AB667" s="9"/>
      <c r="AC667" s="11"/>
      <c r="AD667" s="9"/>
      <c r="AE667" s="9"/>
      <c r="AF667" s="9"/>
      <c r="AG667" s="9"/>
      <c r="AH667" s="9"/>
      <c r="AI667" s="9"/>
      <c r="AJ667" s="9"/>
      <c r="AK667" s="9"/>
      <c r="AL667" s="9"/>
      <c r="AM667" s="11"/>
      <c r="AN667" s="11"/>
      <c r="AO667" s="9"/>
      <c r="AP667" s="9"/>
      <c r="AQ667" s="9"/>
    </row>
    <row r="668" spans="1:43" x14ac:dyDescent="0.25">
      <c r="A668" s="9"/>
      <c r="B668" s="10"/>
      <c r="C668" s="9"/>
      <c r="D668" s="9"/>
      <c r="E668" s="9"/>
      <c r="F668" s="9"/>
      <c r="G668" s="9"/>
      <c r="H668" s="9"/>
      <c r="I668" s="10"/>
      <c r="J668" s="11"/>
      <c r="K668" s="11"/>
      <c r="L668" s="9"/>
      <c r="M668" s="9"/>
      <c r="N668" s="9"/>
      <c r="O668" s="9"/>
      <c r="P668" s="9"/>
      <c r="Q668" s="9"/>
      <c r="R668" s="9"/>
      <c r="S668" s="9"/>
      <c r="T668" s="9"/>
      <c r="U668" s="9"/>
      <c r="V668" s="9"/>
      <c r="W668" s="9"/>
      <c r="X668" s="11"/>
      <c r="Y668" s="9"/>
      <c r="Z668" s="11"/>
      <c r="AA668" s="9"/>
      <c r="AB668" s="9"/>
      <c r="AC668" s="11"/>
      <c r="AD668" s="9"/>
      <c r="AE668" s="9"/>
      <c r="AF668" s="9"/>
      <c r="AG668" s="9"/>
      <c r="AH668" s="9"/>
      <c r="AI668" s="9"/>
      <c r="AJ668" s="9"/>
      <c r="AK668" s="9"/>
      <c r="AL668" s="9"/>
      <c r="AM668" s="11"/>
      <c r="AN668" s="11"/>
      <c r="AO668" s="9"/>
      <c r="AP668" s="9"/>
      <c r="AQ668" s="9"/>
    </row>
    <row r="669" spans="1:43" x14ac:dyDescent="0.25">
      <c r="A669" s="9"/>
      <c r="B669" s="10"/>
      <c r="C669" s="9"/>
      <c r="D669" s="9"/>
      <c r="E669" s="9"/>
      <c r="F669" s="9"/>
      <c r="G669" s="9"/>
      <c r="H669" s="9"/>
      <c r="I669" s="10"/>
      <c r="J669" s="11"/>
      <c r="K669" s="11"/>
      <c r="L669" s="9"/>
      <c r="M669" s="9"/>
      <c r="N669" s="9"/>
      <c r="O669" s="9"/>
      <c r="P669" s="9"/>
      <c r="Q669" s="9"/>
      <c r="R669" s="9"/>
      <c r="S669" s="9"/>
      <c r="T669" s="9"/>
      <c r="U669" s="9"/>
      <c r="V669" s="9"/>
      <c r="W669" s="9"/>
      <c r="X669" s="11"/>
      <c r="Y669" s="9"/>
      <c r="Z669" s="11"/>
      <c r="AA669" s="9"/>
      <c r="AB669" s="9"/>
      <c r="AC669" s="11"/>
      <c r="AD669" s="9"/>
      <c r="AE669" s="9"/>
      <c r="AF669" s="9"/>
      <c r="AG669" s="9"/>
      <c r="AH669" s="9"/>
      <c r="AI669" s="9"/>
      <c r="AJ669" s="9"/>
      <c r="AK669" s="9"/>
      <c r="AL669" s="9"/>
      <c r="AM669" s="11"/>
      <c r="AN669" s="11"/>
      <c r="AO669" s="9"/>
      <c r="AP669" s="9"/>
      <c r="AQ669" s="9"/>
    </row>
    <row r="670" spans="1:43" x14ac:dyDescent="0.25">
      <c r="A670" s="9"/>
      <c r="B670" s="10"/>
      <c r="C670" s="9"/>
      <c r="D670" s="9"/>
      <c r="E670" s="9"/>
      <c r="F670" s="9"/>
      <c r="G670" s="9"/>
      <c r="H670" s="9"/>
      <c r="I670" s="10"/>
      <c r="J670" s="11"/>
      <c r="K670" s="10"/>
      <c r="L670" s="9"/>
      <c r="M670" s="9"/>
      <c r="N670" s="9"/>
      <c r="O670" s="9"/>
      <c r="P670" s="9"/>
      <c r="Q670" s="9"/>
      <c r="R670" s="9"/>
      <c r="S670" s="9"/>
      <c r="T670" s="9"/>
      <c r="U670" s="9"/>
      <c r="V670" s="9"/>
      <c r="W670" s="9"/>
      <c r="X670" s="11"/>
      <c r="Y670" s="9"/>
      <c r="Z670" s="10"/>
      <c r="AA670" s="9"/>
      <c r="AB670" s="9"/>
      <c r="AC670" s="10"/>
      <c r="AD670" s="9"/>
      <c r="AE670" s="9"/>
      <c r="AF670" s="9"/>
      <c r="AG670" s="9"/>
      <c r="AH670" s="9"/>
      <c r="AI670" s="9"/>
      <c r="AJ670" s="9"/>
      <c r="AK670" s="9"/>
      <c r="AL670" s="9"/>
      <c r="AM670" s="11"/>
      <c r="AN670" s="11"/>
      <c r="AO670" s="9"/>
      <c r="AP670" s="9"/>
      <c r="AQ670" s="9"/>
    </row>
    <row r="671" spans="1:43" x14ac:dyDescent="0.25">
      <c r="A671" s="9"/>
      <c r="B671" s="10"/>
      <c r="C671" s="9"/>
      <c r="D671" s="9"/>
      <c r="E671" s="9"/>
      <c r="F671" s="9"/>
      <c r="G671" s="9"/>
      <c r="H671" s="9"/>
      <c r="I671" s="10"/>
      <c r="J671" s="11"/>
      <c r="K671" s="10"/>
      <c r="L671" s="9"/>
      <c r="M671" s="9"/>
      <c r="N671" s="9"/>
      <c r="O671" s="9"/>
      <c r="P671" s="9"/>
      <c r="Q671" s="9"/>
      <c r="R671" s="9"/>
      <c r="S671" s="9"/>
      <c r="T671" s="9"/>
      <c r="U671" s="9"/>
      <c r="V671" s="9"/>
      <c r="W671" s="9"/>
      <c r="X671" s="11"/>
      <c r="Y671" s="9"/>
      <c r="Z671" s="10"/>
      <c r="AA671" s="9"/>
      <c r="AB671" s="9"/>
      <c r="AC671" s="10"/>
      <c r="AD671" s="9"/>
      <c r="AE671" s="9"/>
      <c r="AF671" s="9"/>
      <c r="AG671" s="9"/>
      <c r="AH671" s="9"/>
      <c r="AI671" s="9"/>
      <c r="AJ671" s="9"/>
      <c r="AK671" s="9"/>
      <c r="AL671" s="9"/>
      <c r="AM671" s="10"/>
      <c r="AN671" s="11"/>
      <c r="AO671" s="9"/>
      <c r="AP671" s="9"/>
      <c r="AQ671" s="9"/>
    </row>
    <row r="672" spans="1:43" x14ac:dyDescent="0.25">
      <c r="A672" s="9"/>
      <c r="B672" s="10"/>
      <c r="C672" s="9"/>
      <c r="D672" s="9"/>
      <c r="E672" s="9"/>
      <c r="F672" s="9"/>
      <c r="G672" s="9"/>
      <c r="H672" s="9"/>
      <c r="I672" s="10"/>
      <c r="J672" s="11"/>
      <c r="K672" s="11"/>
      <c r="L672" s="9"/>
      <c r="M672" s="9"/>
      <c r="N672" s="9"/>
      <c r="O672" s="9"/>
      <c r="P672" s="9"/>
      <c r="Q672" s="9"/>
      <c r="R672" s="9"/>
      <c r="S672" s="9"/>
      <c r="T672" s="9"/>
      <c r="U672" s="9"/>
      <c r="V672" s="9"/>
      <c r="W672" s="9"/>
      <c r="X672" s="11"/>
      <c r="Y672" s="9"/>
      <c r="Z672" s="11"/>
      <c r="AA672" s="9"/>
      <c r="AB672" s="9"/>
      <c r="AC672" s="11"/>
      <c r="AD672" s="9"/>
      <c r="AE672" s="9"/>
      <c r="AF672" s="9"/>
      <c r="AG672" s="9"/>
      <c r="AH672" s="9"/>
      <c r="AI672" s="9"/>
      <c r="AJ672" s="9"/>
      <c r="AK672" s="9"/>
      <c r="AL672" s="9"/>
      <c r="AM672" s="11"/>
      <c r="AN672" s="11"/>
      <c r="AO672" s="9"/>
      <c r="AP672" s="9"/>
      <c r="AQ672" s="9"/>
    </row>
    <row r="673" spans="1:43" x14ac:dyDescent="0.25">
      <c r="A673" s="9"/>
      <c r="B673" s="10"/>
      <c r="C673" s="9"/>
      <c r="D673" s="9"/>
      <c r="E673" s="9"/>
      <c r="F673" s="9"/>
      <c r="G673" s="9"/>
      <c r="H673" s="9"/>
      <c r="I673" s="10"/>
      <c r="J673" s="11"/>
      <c r="K673" s="11"/>
      <c r="L673" s="9"/>
      <c r="M673" s="9"/>
      <c r="N673" s="9"/>
      <c r="O673" s="9"/>
      <c r="P673" s="9"/>
      <c r="Q673" s="9"/>
      <c r="R673" s="9"/>
      <c r="S673" s="9"/>
      <c r="T673" s="9"/>
      <c r="U673" s="9"/>
      <c r="V673" s="9"/>
      <c r="W673" s="9"/>
      <c r="X673" s="11"/>
      <c r="Y673" s="9"/>
      <c r="Z673" s="11"/>
      <c r="AA673" s="9"/>
      <c r="AB673" s="9"/>
      <c r="AC673" s="11"/>
      <c r="AD673" s="9"/>
      <c r="AE673" s="9"/>
      <c r="AF673" s="9"/>
      <c r="AG673" s="9"/>
      <c r="AH673" s="9"/>
      <c r="AI673" s="9"/>
      <c r="AJ673" s="9"/>
      <c r="AK673" s="9"/>
      <c r="AL673" s="9"/>
      <c r="AM673" s="11"/>
      <c r="AN673" s="11"/>
      <c r="AO673" s="9"/>
      <c r="AP673" s="9"/>
      <c r="AQ673" s="9"/>
    </row>
    <row r="674" spans="1:43" x14ac:dyDescent="0.25">
      <c r="A674" s="9"/>
      <c r="B674" s="10"/>
      <c r="C674" s="9"/>
      <c r="D674" s="9"/>
      <c r="E674" s="9"/>
      <c r="F674" s="9"/>
      <c r="G674" s="9"/>
      <c r="H674" s="9"/>
      <c r="I674" s="10"/>
      <c r="J674" s="11"/>
      <c r="K674" s="11"/>
      <c r="L674" s="9"/>
      <c r="M674" s="9"/>
      <c r="N674" s="9"/>
      <c r="O674" s="9"/>
      <c r="P674" s="9"/>
      <c r="Q674" s="9"/>
      <c r="R674" s="9"/>
      <c r="S674" s="9"/>
      <c r="T674" s="9"/>
      <c r="U674" s="9"/>
      <c r="V674" s="9"/>
      <c r="W674" s="9"/>
      <c r="X674" s="11"/>
      <c r="Y674" s="9"/>
      <c r="Z674" s="11"/>
      <c r="AA674" s="9"/>
      <c r="AB674" s="9"/>
      <c r="AC674" s="11"/>
      <c r="AD674" s="9"/>
      <c r="AE674" s="9"/>
      <c r="AF674" s="9"/>
      <c r="AG674" s="9"/>
      <c r="AH674" s="9"/>
      <c r="AI674" s="9"/>
      <c r="AJ674" s="9"/>
      <c r="AK674" s="9"/>
      <c r="AL674" s="9"/>
      <c r="AM674" s="11"/>
      <c r="AN674" s="11"/>
      <c r="AO674" s="9"/>
      <c r="AP674" s="9"/>
      <c r="AQ674" s="9"/>
    </row>
    <row r="675" spans="1:43" x14ac:dyDescent="0.25">
      <c r="A675" s="9"/>
      <c r="B675" s="10"/>
      <c r="C675" s="9"/>
      <c r="D675" s="9"/>
      <c r="E675" s="9"/>
      <c r="F675" s="9"/>
      <c r="G675" s="9"/>
      <c r="H675" s="9"/>
      <c r="I675" s="10"/>
      <c r="J675" s="11"/>
      <c r="K675" s="11"/>
      <c r="L675" s="9"/>
      <c r="M675" s="9"/>
      <c r="N675" s="9"/>
      <c r="O675" s="9"/>
      <c r="P675" s="9"/>
      <c r="Q675" s="9"/>
      <c r="R675" s="9"/>
      <c r="S675" s="9"/>
      <c r="T675" s="9"/>
      <c r="U675" s="9"/>
      <c r="V675" s="9"/>
      <c r="W675" s="9"/>
      <c r="X675" s="11"/>
      <c r="Y675" s="9"/>
      <c r="Z675" s="11"/>
      <c r="AA675" s="9"/>
      <c r="AB675" s="9"/>
      <c r="AC675" s="11"/>
      <c r="AD675" s="9"/>
      <c r="AE675" s="9"/>
      <c r="AF675" s="9"/>
      <c r="AG675" s="9"/>
      <c r="AH675" s="9"/>
      <c r="AI675" s="9"/>
      <c r="AJ675" s="9"/>
      <c r="AK675" s="9"/>
      <c r="AL675" s="9"/>
      <c r="AM675" s="11"/>
      <c r="AN675" s="11"/>
      <c r="AO675" s="9"/>
      <c r="AP675" s="9"/>
      <c r="AQ675" s="9"/>
    </row>
    <row r="676" spans="1:43" x14ac:dyDescent="0.25">
      <c r="A676" s="9"/>
      <c r="B676" s="10"/>
      <c r="C676" s="9"/>
      <c r="D676" s="9"/>
      <c r="E676" s="9"/>
      <c r="F676" s="9"/>
      <c r="G676" s="9"/>
      <c r="H676" s="9"/>
      <c r="I676" s="10"/>
      <c r="J676" s="11"/>
      <c r="K676" s="11"/>
      <c r="L676" s="9"/>
      <c r="M676" s="9"/>
      <c r="N676" s="9"/>
      <c r="O676" s="9"/>
      <c r="P676" s="9"/>
      <c r="Q676" s="9"/>
      <c r="R676" s="9"/>
      <c r="S676" s="9"/>
      <c r="T676" s="9"/>
      <c r="U676" s="9"/>
      <c r="V676" s="9"/>
      <c r="W676" s="9"/>
      <c r="X676" s="11"/>
      <c r="Y676" s="9"/>
      <c r="Z676" s="11"/>
      <c r="AA676" s="9"/>
      <c r="AB676" s="9"/>
      <c r="AC676" s="11"/>
      <c r="AD676" s="9"/>
      <c r="AE676" s="9"/>
      <c r="AF676" s="9"/>
      <c r="AG676" s="9"/>
      <c r="AH676" s="9"/>
      <c r="AI676" s="9"/>
      <c r="AJ676" s="9"/>
      <c r="AK676" s="9"/>
      <c r="AL676" s="9"/>
      <c r="AM676" s="11"/>
      <c r="AN676" s="11"/>
      <c r="AO676" s="9"/>
      <c r="AP676" s="9"/>
      <c r="AQ676" s="9"/>
    </row>
    <row r="677" spans="1:43" x14ac:dyDescent="0.25">
      <c r="A677" s="9"/>
      <c r="B677" s="10"/>
      <c r="C677" s="9"/>
      <c r="D677" s="9"/>
      <c r="E677" s="9"/>
      <c r="F677" s="9"/>
      <c r="G677" s="9"/>
      <c r="H677" s="9"/>
      <c r="I677" s="10"/>
      <c r="J677" s="11"/>
      <c r="K677" s="11"/>
      <c r="L677" s="9"/>
      <c r="M677" s="9"/>
      <c r="N677" s="9"/>
      <c r="O677" s="9"/>
      <c r="P677" s="9"/>
      <c r="Q677" s="9"/>
      <c r="R677" s="9"/>
      <c r="S677" s="9"/>
      <c r="T677" s="9"/>
      <c r="U677" s="9"/>
      <c r="V677" s="9"/>
      <c r="W677" s="9"/>
      <c r="X677" s="11"/>
      <c r="Y677" s="9"/>
      <c r="Z677" s="11"/>
      <c r="AA677" s="9"/>
      <c r="AB677" s="9"/>
      <c r="AC677" s="11"/>
      <c r="AD677" s="9"/>
      <c r="AE677" s="9"/>
      <c r="AF677" s="9"/>
      <c r="AG677" s="9"/>
      <c r="AH677" s="9"/>
      <c r="AI677" s="9"/>
      <c r="AJ677" s="9"/>
      <c r="AK677" s="9"/>
      <c r="AL677" s="9"/>
      <c r="AM677" s="11"/>
      <c r="AN677" s="11"/>
      <c r="AO677" s="9"/>
      <c r="AP677" s="9"/>
      <c r="AQ677" s="9"/>
    </row>
    <row r="678" spans="1:43" x14ac:dyDescent="0.25">
      <c r="A678" s="9"/>
      <c r="B678" s="10"/>
      <c r="C678" s="9"/>
      <c r="D678" s="9"/>
      <c r="E678" s="9"/>
      <c r="F678" s="9"/>
      <c r="G678" s="9"/>
      <c r="H678" s="9"/>
      <c r="I678" s="10"/>
      <c r="J678" s="11"/>
      <c r="K678" s="11"/>
      <c r="L678" s="9"/>
      <c r="M678" s="9"/>
      <c r="N678" s="9"/>
      <c r="O678" s="9"/>
      <c r="P678" s="9"/>
      <c r="Q678" s="9"/>
      <c r="R678" s="9"/>
      <c r="S678" s="9"/>
      <c r="T678" s="9"/>
      <c r="U678" s="9"/>
      <c r="V678" s="9"/>
      <c r="W678" s="9"/>
      <c r="X678" s="11"/>
      <c r="Y678" s="9"/>
      <c r="Z678" s="11"/>
      <c r="AA678" s="9"/>
      <c r="AB678" s="9"/>
      <c r="AC678" s="11"/>
      <c r="AD678" s="9"/>
      <c r="AE678" s="9"/>
      <c r="AF678" s="9"/>
      <c r="AG678" s="9"/>
      <c r="AH678" s="9"/>
      <c r="AI678" s="9"/>
      <c r="AJ678" s="9"/>
      <c r="AK678" s="9"/>
      <c r="AL678" s="9"/>
      <c r="AM678" s="11"/>
      <c r="AN678" s="11"/>
      <c r="AO678" s="9"/>
      <c r="AP678" s="9"/>
      <c r="AQ678" s="9"/>
    </row>
    <row r="679" spans="1:43" x14ac:dyDescent="0.25">
      <c r="A679" s="9"/>
      <c r="B679" s="10"/>
      <c r="C679" s="9"/>
      <c r="D679" s="9"/>
      <c r="E679" s="9"/>
      <c r="F679" s="9"/>
      <c r="G679" s="9"/>
      <c r="H679" s="9"/>
      <c r="I679" s="10"/>
      <c r="J679" s="11"/>
      <c r="K679" s="11"/>
      <c r="L679" s="9"/>
      <c r="M679" s="9"/>
      <c r="N679" s="9"/>
      <c r="O679" s="9"/>
      <c r="P679" s="9"/>
      <c r="Q679" s="9"/>
      <c r="R679" s="9"/>
      <c r="S679" s="9"/>
      <c r="T679" s="9"/>
      <c r="U679" s="9"/>
      <c r="V679" s="9"/>
      <c r="W679" s="9"/>
      <c r="X679" s="11"/>
      <c r="Y679" s="9"/>
      <c r="Z679" s="11"/>
      <c r="AA679" s="9"/>
      <c r="AB679" s="9"/>
      <c r="AC679" s="11"/>
      <c r="AD679" s="9"/>
      <c r="AE679" s="9"/>
      <c r="AF679" s="9"/>
      <c r="AG679" s="9"/>
      <c r="AH679" s="9"/>
      <c r="AI679" s="9"/>
      <c r="AJ679" s="9"/>
      <c r="AK679" s="9"/>
      <c r="AL679" s="9"/>
      <c r="AM679" s="11"/>
      <c r="AN679" s="11"/>
      <c r="AO679" s="9"/>
      <c r="AP679" s="9"/>
      <c r="AQ679" s="9"/>
    </row>
    <row r="680" spans="1:43" x14ac:dyDescent="0.25">
      <c r="A680" s="9"/>
      <c r="B680" s="10"/>
      <c r="C680" s="9"/>
      <c r="D680" s="9"/>
      <c r="E680" s="9"/>
      <c r="F680" s="9"/>
      <c r="G680" s="9"/>
      <c r="H680" s="9"/>
      <c r="I680" s="10"/>
      <c r="J680" s="11"/>
      <c r="K680" s="11"/>
      <c r="L680" s="9"/>
      <c r="M680" s="9"/>
      <c r="N680" s="9"/>
      <c r="O680" s="9"/>
      <c r="P680" s="9"/>
      <c r="Q680" s="9"/>
      <c r="R680" s="9"/>
      <c r="S680" s="9"/>
      <c r="T680" s="9"/>
      <c r="U680" s="9"/>
      <c r="V680" s="9"/>
      <c r="W680" s="9"/>
      <c r="X680" s="11"/>
      <c r="Y680" s="9"/>
      <c r="Z680" s="11"/>
      <c r="AA680" s="9"/>
      <c r="AB680" s="9"/>
      <c r="AC680" s="11"/>
      <c r="AD680" s="9"/>
      <c r="AE680" s="9"/>
      <c r="AF680" s="9"/>
      <c r="AG680" s="9"/>
      <c r="AH680" s="9"/>
      <c r="AI680" s="9"/>
      <c r="AJ680" s="9"/>
      <c r="AK680" s="9"/>
      <c r="AL680" s="9"/>
      <c r="AM680" s="11"/>
      <c r="AN680" s="11"/>
      <c r="AO680" s="9"/>
      <c r="AP680" s="9"/>
      <c r="AQ680" s="9"/>
    </row>
    <row r="681" spans="1:43" x14ac:dyDescent="0.25">
      <c r="A681" s="9"/>
      <c r="B681" s="10"/>
      <c r="C681" s="9"/>
      <c r="D681" s="9"/>
      <c r="E681" s="9"/>
      <c r="F681" s="9"/>
      <c r="G681" s="9"/>
      <c r="H681" s="9"/>
      <c r="I681" s="10"/>
      <c r="J681" s="11"/>
      <c r="K681" s="10"/>
      <c r="L681" s="9"/>
      <c r="M681" s="9"/>
      <c r="N681" s="9"/>
      <c r="O681" s="9"/>
      <c r="P681" s="9"/>
      <c r="Q681" s="9"/>
      <c r="R681" s="9"/>
      <c r="S681" s="9"/>
      <c r="T681" s="9"/>
      <c r="U681" s="9"/>
      <c r="V681" s="9"/>
      <c r="W681" s="9"/>
      <c r="X681" s="11"/>
      <c r="Y681" s="9"/>
      <c r="Z681" s="10"/>
      <c r="AA681" s="9"/>
      <c r="AB681" s="9"/>
      <c r="AC681" s="10"/>
      <c r="AD681" s="9"/>
      <c r="AE681" s="9"/>
      <c r="AF681" s="9"/>
      <c r="AG681" s="9"/>
      <c r="AH681" s="9"/>
      <c r="AI681" s="9"/>
      <c r="AJ681" s="9"/>
      <c r="AK681" s="9"/>
      <c r="AL681" s="9"/>
      <c r="AM681" s="10"/>
      <c r="AN681" s="11"/>
      <c r="AO681" s="9"/>
      <c r="AP681" s="9"/>
      <c r="AQ681" s="9"/>
    </row>
    <row r="682" spans="1:43" x14ac:dyDescent="0.25">
      <c r="A682" s="9"/>
      <c r="B682" s="10"/>
      <c r="C682" s="9"/>
      <c r="D682" s="9"/>
      <c r="E682" s="9"/>
      <c r="F682" s="9"/>
      <c r="G682" s="9"/>
      <c r="H682" s="9"/>
      <c r="I682" s="10"/>
      <c r="J682" s="10"/>
      <c r="K682" s="11"/>
      <c r="L682" s="9"/>
      <c r="M682" s="9"/>
      <c r="N682" s="9"/>
      <c r="O682" s="9"/>
      <c r="P682" s="9"/>
      <c r="Q682" s="9"/>
      <c r="R682" s="9"/>
      <c r="S682" s="9"/>
      <c r="T682" s="9"/>
      <c r="U682" s="9"/>
      <c r="V682" s="9"/>
      <c r="W682" s="9"/>
      <c r="X682" s="10"/>
      <c r="Y682" s="9"/>
      <c r="Z682" s="11"/>
      <c r="AA682" s="9"/>
      <c r="AB682" s="9"/>
      <c r="AC682" s="10"/>
      <c r="AD682" s="9"/>
      <c r="AE682" s="9"/>
      <c r="AF682" s="9"/>
      <c r="AG682" s="9"/>
      <c r="AH682" s="9"/>
      <c r="AI682" s="9"/>
      <c r="AJ682" s="9"/>
      <c r="AK682" s="9"/>
      <c r="AL682" s="9"/>
      <c r="AM682" s="11"/>
      <c r="AN682" s="11"/>
      <c r="AO682" s="9"/>
      <c r="AP682" s="9"/>
      <c r="AQ682" s="9"/>
    </row>
  </sheetData>
  <customSheetViews>
    <customSheetView guid="{679A3195-3DEA-4AC2-A535-82AAF5B552BC}" state="hidden">
      <selection activeCell="A5" sqref="A5"/>
      <pageMargins left="0.7" right="0.7" top="0.75" bottom="0.75" header="0.3" footer="0.3"/>
    </customSheetView>
    <customSheetView guid="{7378B641-E8D1-4C14-8151-CF4CE159D121}" state="hidden">
      <selection activeCell="A5" sqref="A5"/>
      <pageMargins left="0.7" right="0.7" top="0.75" bottom="0.75" header="0.3" footer="0.3"/>
    </customSheetView>
    <customSheetView guid="{6D63B10B-E1E6-452A-80EB-4B2C7D61CF66}" state="hidden">
      <selection activeCell="A5" sqref="A5"/>
      <pageMargins left="0.7" right="0.7" top="0.75" bottom="0.75" header="0.3" footer="0.3"/>
    </customSheetView>
  </customSheetView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AH353"/>
  <sheetViews>
    <sheetView workbookViewId="0">
      <selection activeCell="A5" sqref="A5"/>
    </sheetView>
  </sheetViews>
  <sheetFormatPr defaultRowHeight="15" x14ac:dyDescent="0.25"/>
  <cols>
    <col min="1" max="34" width="23.140625" customWidth="1"/>
  </cols>
  <sheetData>
    <row r="1" spans="1:34" x14ac:dyDescent="0.2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row>
    <row r="2" spans="1:34" x14ac:dyDescent="0.25">
      <c r="A2" s="9"/>
      <c r="B2" s="9"/>
      <c r="C2" s="10"/>
      <c r="D2" s="9"/>
      <c r="E2" s="9"/>
      <c r="F2" s="9"/>
      <c r="G2" s="10"/>
      <c r="H2" s="9"/>
      <c r="I2" s="9"/>
      <c r="J2" s="9"/>
      <c r="K2" s="9"/>
      <c r="L2" s="9"/>
      <c r="M2" s="9"/>
      <c r="N2" s="9"/>
      <c r="O2" s="9"/>
      <c r="P2" s="9"/>
      <c r="Q2" s="12"/>
      <c r="R2" s="12"/>
      <c r="S2" s="12"/>
      <c r="T2" s="12"/>
      <c r="U2" s="12"/>
      <c r="V2" s="12"/>
      <c r="W2" s="10"/>
      <c r="X2" s="9"/>
      <c r="Y2" s="10"/>
      <c r="Z2" s="11"/>
      <c r="AA2" s="10"/>
      <c r="AB2" s="10"/>
      <c r="AC2" s="11"/>
      <c r="AD2" s="10"/>
      <c r="AE2" s="11"/>
      <c r="AF2" s="10"/>
      <c r="AG2" s="10"/>
      <c r="AH2" s="10"/>
    </row>
    <row r="3" spans="1:34" x14ac:dyDescent="0.25">
      <c r="A3" s="9"/>
      <c r="B3" s="9"/>
      <c r="C3" s="10"/>
      <c r="D3" s="9"/>
      <c r="E3" s="9"/>
      <c r="F3" s="9"/>
      <c r="G3" s="10"/>
      <c r="H3" s="9"/>
      <c r="I3" s="9"/>
      <c r="J3" s="9"/>
      <c r="K3" s="9"/>
      <c r="L3" s="9"/>
      <c r="M3" s="9"/>
      <c r="N3" s="9"/>
      <c r="O3" s="9"/>
      <c r="P3" s="9"/>
      <c r="Q3" s="12"/>
      <c r="R3" s="12"/>
      <c r="S3" s="12"/>
      <c r="T3" s="12"/>
      <c r="U3" s="12"/>
      <c r="V3" s="12"/>
      <c r="W3" s="10"/>
      <c r="X3" s="9"/>
      <c r="Y3" s="10"/>
      <c r="Z3" s="11"/>
      <c r="AA3" s="10"/>
      <c r="AB3" s="10"/>
      <c r="AC3" s="11"/>
      <c r="AD3" s="10"/>
      <c r="AE3" s="11"/>
      <c r="AF3" s="10"/>
      <c r="AG3" s="10"/>
      <c r="AH3" s="10"/>
    </row>
    <row r="4" spans="1:34" x14ac:dyDescent="0.25">
      <c r="A4" s="9"/>
      <c r="B4" s="9"/>
      <c r="C4" s="10"/>
      <c r="D4" s="9"/>
      <c r="E4" s="9"/>
      <c r="F4" s="9"/>
      <c r="G4" s="10"/>
      <c r="H4" s="9"/>
      <c r="I4" s="9"/>
      <c r="J4" s="9"/>
      <c r="K4" s="9"/>
      <c r="L4" s="9"/>
      <c r="M4" s="9"/>
      <c r="N4" s="9"/>
      <c r="O4" s="9"/>
      <c r="P4" s="9"/>
      <c r="Q4" s="12"/>
      <c r="R4" s="12"/>
      <c r="S4" s="12"/>
      <c r="T4" s="12"/>
      <c r="U4" s="12"/>
      <c r="V4" s="12"/>
      <c r="W4" s="10"/>
      <c r="X4" s="9"/>
      <c r="Y4" s="10"/>
      <c r="Z4" s="11"/>
      <c r="AA4" s="10"/>
      <c r="AB4" s="10"/>
      <c r="AC4" s="11"/>
      <c r="AD4" s="10"/>
      <c r="AE4" s="11"/>
      <c r="AF4" s="10"/>
      <c r="AG4" s="10"/>
      <c r="AH4" s="10"/>
    </row>
    <row r="5" spans="1:34" x14ac:dyDescent="0.25">
      <c r="A5" s="9"/>
      <c r="B5" s="9"/>
      <c r="C5" s="10"/>
      <c r="D5" s="9"/>
      <c r="E5" s="9"/>
      <c r="F5" s="9"/>
      <c r="G5" s="10"/>
      <c r="H5" s="9"/>
      <c r="I5" s="9"/>
      <c r="J5" s="9"/>
      <c r="K5" s="9"/>
      <c r="L5" s="9"/>
      <c r="M5" s="9"/>
      <c r="N5" s="9"/>
      <c r="O5" s="9"/>
      <c r="P5" s="9"/>
      <c r="Q5" s="12"/>
      <c r="R5" s="12"/>
      <c r="S5" s="12"/>
      <c r="T5" s="12"/>
      <c r="U5" s="12"/>
      <c r="V5" s="12"/>
      <c r="W5" s="10"/>
      <c r="X5" s="9"/>
      <c r="Y5" s="10"/>
      <c r="Z5" s="11"/>
      <c r="AA5" s="10"/>
      <c r="AB5" s="10"/>
      <c r="AC5" s="11"/>
      <c r="AD5" s="10"/>
      <c r="AE5" s="11"/>
      <c r="AF5" s="10"/>
      <c r="AG5" s="10"/>
      <c r="AH5" s="10"/>
    </row>
    <row r="6" spans="1:34" x14ac:dyDescent="0.25">
      <c r="A6" s="9"/>
      <c r="B6" s="9"/>
      <c r="C6" s="10"/>
      <c r="D6" s="9"/>
      <c r="E6" s="9"/>
      <c r="F6" s="9"/>
      <c r="G6" s="10"/>
      <c r="H6" s="9"/>
      <c r="I6" s="9"/>
      <c r="J6" s="9"/>
      <c r="K6" s="9"/>
      <c r="L6" s="9"/>
      <c r="M6" s="9"/>
      <c r="N6" s="9"/>
      <c r="O6" s="9"/>
      <c r="P6" s="9"/>
      <c r="Q6" s="12"/>
      <c r="R6" s="12"/>
      <c r="S6" s="12"/>
      <c r="T6" s="12"/>
      <c r="U6" s="12"/>
      <c r="V6" s="12"/>
      <c r="W6" s="10"/>
      <c r="X6" s="9"/>
      <c r="Y6" s="10"/>
      <c r="Z6" s="11"/>
      <c r="AA6" s="10"/>
      <c r="AB6" s="10"/>
      <c r="AC6" s="11"/>
      <c r="AD6" s="10"/>
      <c r="AE6" s="11"/>
      <c r="AF6" s="10"/>
      <c r="AG6" s="10"/>
      <c r="AH6" s="10"/>
    </row>
    <row r="7" spans="1:34" x14ac:dyDescent="0.25">
      <c r="A7" s="9"/>
      <c r="B7" s="9"/>
      <c r="C7" s="10"/>
      <c r="D7" s="9"/>
      <c r="E7" s="9"/>
      <c r="F7" s="9"/>
      <c r="G7" s="10"/>
      <c r="H7" s="9"/>
      <c r="I7" s="9"/>
      <c r="J7" s="9"/>
      <c r="K7" s="9"/>
      <c r="L7" s="9"/>
      <c r="M7" s="9"/>
      <c r="N7" s="9"/>
      <c r="O7" s="9"/>
      <c r="P7" s="9"/>
      <c r="Q7" s="12"/>
      <c r="R7" s="12"/>
      <c r="S7" s="12"/>
      <c r="T7" s="12"/>
      <c r="U7" s="12"/>
      <c r="V7" s="12"/>
      <c r="W7" s="10"/>
      <c r="X7" s="9"/>
      <c r="Y7" s="10"/>
      <c r="Z7" s="11"/>
      <c r="AA7" s="10"/>
      <c r="AB7" s="10"/>
      <c r="AC7" s="11"/>
      <c r="AD7" s="10"/>
      <c r="AE7" s="11"/>
      <c r="AF7" s="10"/>
      <c r="AG7" s="10"/>
      <c r="AH7" s="10"/>
    </row>
    <row r="8" spans="1:34" x14ac:dyDescent="0.25">
      <c r="A8" s="9"/>
      <c r="B8" s="9"/>
      <c r="C8" s="10"/>
      <c r="D8" s="9"/>
      <c r="E8" s="9"/>
      <c r="F8" s="9"/>
      <c r="G8" s="10"/>
      <c r="H8" s="9"/>
      <c r="I8" s="9"/>
      <c r="J8" s="9"/>
      <c r="K8" s="9"/>
      <c r="L8" s="9"/>
      <c r="M8" s="9"/>
      <c r="N8" s="9"/>
      <c r="O8" s="9"/>
      <c r="P8" s="9"/>
      <c r="Q8" s="12"/>
      <c r="R8" s="12"/>
      <c r="S8" s="12"/>
      <c r="T8" s="12"/>
      <c r="U8" s="12"/>
      <c r="V8" s="12"/>
      <c r="W8" s="10"/>
      <c r="X8" s="9"/>
      <c r="Y8" s="10"/>
      <c r="Z8" s="11"/>
      <c r="AA8" s="10"/>
      <c r="AB8" s="10"/>
      <c r="AC8" s="11"/>
      <c r="AD8" s="10"/>
      <c r="AE8" s="11"/>
      <c r="AF8" s="10"/>
      <c r="AG8" s="10"/>
      <c r="AH8" s="10"/>
    </row>
    <row r="9" spans="1:34" x14ac:dyDescent="0.25">
      <c r="A9" s="9"/>
      <c r="B9" s="9"/>
      <c r="C9" s="10"/>
      <c r="D9" s="9"/>
      <c r="E9" s="9"/>
      <c r="F9" s="9"/>
      <c r="G9" s="10"/>
      <c r="H9" s="9"/>
      <c r="I9" s="9"/>
      <c r="J9" s="9"/>
      <c r="K9" s="9"/>
      <c r="L9" s="9"/>
      <c r="M9" s="9"/>
      <c r="N9" s="9"/>
      <c r="O9" s="9"/>
      <c r="P9" s="9"/>
      <c r="Q9" s="12"/>
      <c r="R9" s="12"/>
      <c r="S9" s="12"/>
      <c r="T9" s="12"/>
      <c r="U9" s="12"/>
      <c r="V9" s="12"/>
      <c r="W9" s="10"/>
      <c r="X9" s="9"/>
      <c r="Y9" s="10"/>
      <c r="Z9" s="11"/>
      <c r="AA9" s="10"/>
      <c r="AB9" s="10"/>
      <c r="AC9" s="11"/>
      <c r="AD9" s="10"/>
      <c r="AE9" s="11"/>
      <c r="AF9" s="10"/>
      <c r="AG9" s="10"/>
      <c r="AH9" s="10"/>
    </row>
    <row r="10" spans="1:34" x14ac:dyDescent="0.25">
      <c r="A10" s="9"/>
      <c r="B10" s="9"/>
      <c r="C10" s="10"/>
      <c r="D10" s="9"/>
      <c r="E10" s="9"/>
      <c r="F10" s="9"/>
      <c r="G10" s="10"/>
      <c r="H10" s="9"/>
      <c r="I10" s="9"/>
      <c r="J10" s="9"/>
      <c r="K10" s="9"/>
      <c r="L10" s="9"/>
      <c r="M10" s="9"/>
      <c r="N10" s="9"/>
      <c r="O10" s="9"/>
      <c r="P10" s="9"/>
      <c r="Q10" s="12"/>
      <c r="R10" s="12"/>
      <c r="S10" s="12"/>
      <c r="T10" s="12"/>
      <c r="U10" s="12"/>
      <c r="V10" s="12"/>
      <c r="W10" s="10"/>
      <c r="X10" s="9"/>
      <c r="Y10" s="10"/>
      <c r="Z10" s="11"/>
      <c r="AA10" s="10"/>
      <c r="AB10" s="10"/>
      <c r="AC10" s="11"/>
      <c r="AD10" s="10"/>
      <c r="AE10" s="11"/>
      <c r="AF10" s="10"/>
      <c r="AG10" s="10"/>
      <c r="AH10" s="10"/>
    </row>
    <row r="11" spans="1:34" x14ac:dyDescent="0.25">
      <c r="A11" s="9"/>
      <c r="B11" s="9"/>
      <c r="C11" s="10"/>
      <c r="D11" s="9"/>
      <c r="E11" s="9"/>
      <c r="F11" s="9"/>
      <c r="G11" s="10"/>
      <c r="H11" s="9"/>
      <c r="I11" s="9"/>
      <c r="J11" s="9"/>
      <c r="K11" s="9"/>
      <c r="L11" s="9"/>
      <c r="M11" s="9"/>
      <c r="N11" s="9"/>
      <c r="O11" s="9"/>
      <c r="P11" s="9"/>
      <c r="Q11" s="12"/>
      <c r="R11" s="12"/>
      <c r="S11" s="12"/>
      <c r="T11" s="12"/>
      <c r="U11" s="12"/>
      <c r="V11" s="12"/>
      <c r="W11" s="10"/>
      <c r="X11" s="9"/>
      <c r="Y11" s="10"/>
      <c r="Z11" s="11"/>
      <c r="AA11" s="10"/>
      <c r="AB11" s="10"/>
      <c r="AC11" s="11"/>
      <c r="AD11" s="10"/>
      <c r="AE11" s="11"/>
      <c r="AF11" s="10"/>
      <c r="AG11" s="10"/>
      <c r="AH11" s="10"/>
    </row>
    <row r="12" spans="1:34" x14ac:dyDescent="0.25">
      <c r="A12" s="9"/>
      <c r="B12" s="9"/>
      <c r="C12" s="10"/>
      <c r="D12" s="9"/>
      <c r="E12" s="9"/>
      <c r="F12" s="9"/>
      <c r="G12" s="10"/>
      <c r="H12" s="9"/>
      <c r="I12" s="9"/>
      <c r="J12" s="9"/>
      <c r="K12" s="9"/>
      <c r="L12" s="9"/>
      <c r="M12" s="9"/>
      <c r="N12" s="9"/>
      <c r="O12" s="9"/>
      <c r="P12" s="9"/>
      <c r="Q12" s="12"/>
      <c r="R12" s="12"/>
      <c r="S12" s="12"/>
      <c r="T12" s="12"/>
      <c r="U12" s="12"/>
      <c r="V12" s="12"/>
      <c r="W12" s="10"/>
      <c r="X12" s="9"/>
      <c r="Y12" s="10"/>
      <c r="Z12" s="11"/>
      <c r="AA12" s="10"/>
      <c r="AB12" s="10"/>
      <c r="AC12" s="11"/>
      <c r="AD12" s="10"/>
      <c r="AE12" s="11"/>
      <c r="AF12" s="10"/>
      <c r="AG12" s="10"/>
      <c r="AH12" s="10"/>
    </row>
    <row r="13" spans="1:34" x14ac:dyDescent="0.25">
      <c r="A13" s="9"/>
      <c r="B13" s="9"/>
      <c r="C13" s="10"/>
      <c r="D13" s="9"/>
      <c r="E13" s="9"/>
      <c r="F13" s="9"/>
      <c r="G13" s="10"/>
      <c r="H13" s="9"/>
      <c r="I13" s="9"/>
      <c r="J13" s="9"/>
      <c r="K13" s="9"/>
      <c r="L13" s="9"/>
      <c r="M13" s="9"/>
      <c r="N13" s="9"/>
      <c r="O13" s="9"/>
      <c r="P13" s="9"/>
      <c r="Q13" s="12"/>
      <c r="R13" s="12"/>
      <c r="S13" s="12"/>
      <c r="T13" s="12"/>
      <c r="U13" s="12"/>
      <c r="V13" s="12"/>
      <c r="W13" s="10"/>
      <c r="X13" s="9"/>
      <c r="Y13" s="10"/>
      <c r="Z13" s="11"/>
      <c r="AA13" s="10"/>
      <c r="AB13" s="10"/>
      <c r="AC13" s="11"/>
      <c r="AD13" s="10"/>
      <c r="AE13" s="11"/>
      <c r="AF13" s="10"/>
      <c r="AG13" s="10"/>
      <c r="AH13" s="10"/>
    </row>
    <row r="14" spans="1:34" x14ac:dyDescent="0.25">
      <c r="A14" s="9"/>
      <c r="B14" s="9"/>
      <c r="C14" s="10"/>
      <c r="D14" s="9"/>
      <c r="E14" s="9"/>
      <c r="F14" s="9"/>
      <c r="G14" s="10"/>
      <c r="H14" s="9"/>
      <c r="I14" s="9"/>
      <c r="J14" s="9"/>
      <c r="K14" s="9"/>
      <c r="L14" s="9"/>
      <c r="M14" s="9"/>
      <c r="N14" s="9"/>
      <c r="O14" s="9"/>
      <c r="P14" s="9"/>
      <c r="Q14" s="12"/>
      <c r="R14" s="12"/>
      <c r="S14" s="12"/>
      <c r="T14" s="12"/>
      <c r="U14" s="12"/>
      <c r="V14" s="12"/>
      <c r="W14" s="10"/>
      <c r="X14" s="9"/>
      <c r="Y14" s="10"/>
      <c r="Z14" s="11"/>
      <c r="AA14" s="10"/>
      <c r="AB14" s="10"/>
      <c r="AC14" s="11"/>
      <c r="AD14" s="10"/>
      <c r="AE14" s="11"/>
      <c r="AF14" s="10"/>
      <c r="AG14" s="10"/>
      <c r="AH14" s="10"/>
    </row>
    <row r="15" spans="1:34" x14ac:dyDescent="0.25">
      <c r="A15" s="9"/>
      <c r="B15" s="9"/>
      <c r="C15" s="10"/>
      <c r="D15" s="9"/>
      <c r="E15" s="9"/>
      <c r="F15" s="9"/>
      <c r="G15" s="10"/>
      <c r="H15" s="9"/>
      <c r="I15" s="9"/>
      <c r="J15" s="9"/>
      <c r="K15" s="9"/>
      <c r="L15" s="9"/>
      <c r="M15" s="9"/>
      <c r="N15" s="9"/>
      <c r="O15" s="9"/>
      <c r="P15" s="9"/>
      <c r="Q15" s="12"/>
      <c r="R15" s="12"/>
      <c r="S15" s="12"/>
      <c r="T15" s="12"/>
      <c r="U15" s="12"/>
      <c r="V15" s="12"/>
      <c r="W15" s="10"/>
      <c r="X15" s="9"/>
      <c r="Y15" s="10"/>
      <c r="Z15" s="11"/>
      <c r="AA15" s="10"/>
      <c r="AB15" s="10"/>
      <c r="AC15" s="11"/>
      <c r="AD15" s="10"/>
      <c r="AE15" s="11"/>
      <c r="AF15" s="10"/>
      <c r="AG15" s="10"/>
      <c r="AH15" s="10"/>
    </row>
    <row r="16" spans="1:34" x14ac:dyDescent="0.25">
      <c r="A16" s="9"/>
      <c r="B16" s="9"/>
      <c r="C16" s="10"/>
      <c r="D16" s="9"/>
      <c r="E16" s="9"/>
      <c r="F16" s="9"/>
      <c r="G16" s="10"/>
      <c r="H16" s="9"/>
      <c r="I16" s="9"/>
      <c r="J16" s="9"/>
      <c r="K16" s="9"/>
      <c r="L16" s="9"/>
      <c r="M16" s="9"/>
      <c r="N16" s="9"/>
      <c r="O16" s="9"/>
      <c r="P16" s="9"/>
      <c r="Q16" s="12"/>
      <c r="R16" s="12"/>
      <c r="S16" s="12"/>
      <c r="T16" s="12"/>
      <c r="U16" s="12"/>
      <c r="V16" s="12"/>
      <c r="W16" s="10"/>
      <c r="X16" s="9"/>
      <c r="Y16" s="10"/>
      <c r="Z16" s="11"/>
      <c r="AA16" s="10"/>
      <c r="AB16" s="10"/>
      <c r="AC16" s="11"/>
      <c r="AD16" s="10"/>
      <c r="AE16" s="11"/>
      <c r="AF16" s="10"/>
      <c r="AG16" s="10"/>
      <c r="AH16" s="10"/>
    </row>
    <row r="17" spans="1:34" x14ac:dyDescent="0.25">
      <c r="A17" s="9"/>
      <c r="B17" s="9"/>
      <c r="C17" s="10"/>
      <c r="D17" s="9"/>
      <c r="E17" s="9"/>
      <c r="F17" s="9"/>
      <c r="G17" s="10"/>
      <c r="H17" s="9"/>
      <c r="I17" s="9"/>
      <c r="J17" s="9"/>
      <c r="K17" s="9"/>
      <c r="L17" s="9"/>
      <c r="M17" s="9"/>
      <c r="N17" s="9"/>
      <c r="O17" s="9"/>
      <c r="P17" s="9"/>
      <c r="Q17" s="12"/>
      <c r="R17" s="12"/>
      <c r="S17" s="12"/>
      <c r="T17" s="12"/>
      <c r="U17" s="12"/>
      <c r="V17" s="12"/>
      <c r="W17" s="10"/>
      <c r="X17" s="9"/>
      <c r="Y17" s="10"/>
      <c r="Z17" s="11"/>
      <c r="AA17" s="10"/>
      <c r="AB17" s="10"/>
      <c r="AC17" s="11"/>
      <c r="AD17" s="10"/>
      <c r="AE17" s="11"/>
      <c r="AF17" s="10"/>
      <c r="AG17" s="10"/>
      <c r="AH17" s="10"/>
    </row>
    <row r="18" spans="1:34" x14ac:dyDescent="0.25">
      <c r="A18" s="9"/>
      <c r="B18" s="9"/>
      <c r="C18" s="10"/>
      <c r="D18" s="9"/>
      <c r="E18" s="9"/>
      <c r="F18" s="9"/>
      <c r="G18" s="10"/>
      <c r="H18" s="9"/>
      <c r="I18" s="9"/>
      <c r="J18" s="9"/>
      <c r="K18" s="9"/>
      <c r="L18" s="9"/>
      <c r="M18" s="9"/>
      <c r="N18" s="9"/>
      <c r="O18" s="9"/>
      <c r="P18" s="9"/>
      <c r="Q18" s="12"/>
      <c r="R18" s="12"/>
      <c r="S18" s="12"/>
      <c r="T18" s="12"/>
      <c r="U18" s="12"/>
      <c r="V18" s="12"/>
      <c r="W18" s="10"/>
      <c r="X18" s="9"/>
      <c r="Y18" s="10"/>
      <c r="Z18" s="11"/>
      <c r="AA18" s="10"/>
      <c r="AB18" s="10"/>
      <c r="AC18" s="11"/>
      <c r="AD18" s="10"/>
      <c r="AE18" s="11"/>
      <c r="AF18" s="10"/>
      <c r="AG18" s="10"/>
      <c r="AH18" s="10"/>
    </row>
    <row r="19" spans="1:34" x14ac:dyDescent="0.25">
      <c r="A19" s="9"/>
      <c r="B19" s="9"/>
      <c r="C19" s="10"/>
      <c r="D19" s="9"/>
      <c r="E19" s="9"/>
      <c r="F19" s="9"/>
      <c r="G19" s="10"/>
      <c r="H19" s="9"/>
      <c r="I19" s="9"/>
      <c r="J19" s="9"/>
      <c r="K19" s="9"/>
      <c r="L19" s="9"/>
      <c r="M19" s="9"/>
      <c r="N19" s="9"/>
      <c r="O19" s="9"/>
      <c r="P19" s="9"/>
      <c r="Q19" s="12"/>
      <c r="R19" s="12"/>
      <c r="S19" s="12"/>
      <c r="T19" s="12"/>
      <c r="U19" s="12"/>
      <c r="V19" s="12"/>
      <c r="W19" s="10"/>
      <c r="X19" s="9"/>
      <c r="Y19" s="10"/>
      <c r="Z19" s="11"/>
      <c r="AA19" s="10"/>
      <c r="AB19" s="10"/>
      <c r="AC19" s="11"/>
      <c r="AD19" s="10"/>
      <c r="AE19" s="11"/>
      <c r="AF19" s="10"/>
      <c r="AG19" s="10"/>
      <c r="AH19" s="10"/>
    </row>
    <row r="20" spans="1:34" x14ac:dyDescent="0.25">
      <c r="A20" s="9"/>
      <c r="B20" s="9"/>
      <c r="C20" s="10"/>
      <c r="D20" s="9"/>
      <c r="E20" s="9"/>
      <c r="F20" s="9"/>
      <c r="G20" s="10"/>
      <c r="H20" s="9"/>
      <c r="I20" s="9"/>
      <c r="J20" s="9"/>
      <c r="K20" s="9"/>
      <c r="L20" s="9"/>
      <c r="M20" s="9"/>
      <c r="N20" s="9"/>
      <c r="O20" s="9"/>
      <c r="P20" s="9"/>
      <c r="Q20" s="12"/>
      <c r="R20" s="12"/>
      <c r="S20" s="12"/>
      <c r="T20" s="12"/>
      <c r="U20" s="12"/>
      <c r="V20" s="12"/>
      <c r="W20" s="10"/>
      <c r="X20" s="9"/>
      <c r="Y20" s="10"/>
      <c r="Z20" s="11"/>
      <c r="AA20" s="10"/>
      <c r="AB20" s="10"/>
      <c r="AC20" s="11"/>
      <c r="AD20" s="10"/>
      <c r="AE20" s="11"/>
      <c r="AF20" s="10"/>
      <c r="AG20" s="10"/>
      <c r="AH20" s="10"/>
    </row>
    <row r="21" spans="1:34" x14ac:dyDescent="0.25">
      <c r="A21" s="9"/>
      <c r="B21" s="9"/>
      <c r="C21" s="10"/>
      <c r="D21" s="9"/>
      <c r="E21" s="9"/>
      <c r="F21" s="9"/>
      <c r="G21" s="10"/>
      <c r="H21" s="9"/>
      <c r="I21" s="9"/>
      <c r="J21" s="9"/>
      <c r="K21" s="9"/>
      <c r="L21" s="9"/>
      <c r="M21" s="9"/>
      <c r="N21" s="9"/>
      <c r="O21" s="9"/>
      <c r="P21" s="9"/>
      <c r="Q21" s="11"/>
      <c r="R21" s="12"/>
      <c r="S21" s="12"/>
      <c r="T21" s="12"/>
      <c r="U21" s="12"/>
      <c r="V21" s="12"/>
      <c r="W21" s="10"/>
      <c r="X21" s="9"/>
      <c r="Y21" s="10"/>
      <c r="Z21" s="11"/>
      <c r="AA21" s="10"/>
      <c r="AB21" s="10"/>
      <c r="AC21" s="11"/>
      <c r="AD21" s="10"/>
      <c r="AE21" s="11"/>
      <c r="AF21" s="10"/>
      <c r="AG21" s="10"/>
      <c r="AH21" s="10"/>
    </row>
    <row r="22" spans="1:34" x14ac:dyDescent="0.25">
      <c r="A22" s="9"/>
      <c r="B22" s="9"/>
      <c r="C22" s="10"/>
      <c r="D22" s="9"/>
      <c r="E22" s="9"/>
      <c r="F22" s="9"/>
      <c r="G22" s="10"/>
      <c r="H22" s="9"/>
      <c r="I22" s="9"/>
      <c r="J22" s="9"/>
      <c r="K22" s="9"/>
      <c r="L22" s="9"/>
      <c r="M22" s="9"/>
      <c r="N22" s="9"/>
      <c r="O22" s="9"/>
      <c r="P22" s="9"/>
      <c r="Q22" s="12"/>
      <c r="R22" s="12"/>
      <c r="S22" s="12"/>
      <c r="T22" s="12"/>
      <c r="U22" s="12"/>
      <c r="V22" s="12"/>
      <c r="W22" s="10"/>
      <c r="X22" s="9"/>
      <c r="Y22" s="10"/>
      <c r="Z22" s="11"/>
      <c r="AA22" s="10"/>
      <c r="AB22" s="10"/>
      <c r="AC22" s="11"/>
      <c r="AD22" s="10"/>
      <c r="AE22" s="11"/>
      <c r="AF22" s="10"/>
      <c r="AG22" s="10"/>
      <c r="AH22" s="10"/>
    </row>
    <row r="23" spans="1:34" x14ac:dyDescent="0.25">
      <c r="A23" s="9"/>
      <c r="B23" s="9"/>
      <c r="C23" s="10"/>
      <c r="D23" s="9"/>
      <c r="E23" s="9"/>
      <c r="F23" s="9"/>
      <c r="G23" s="10"/>
      <c r="H23" s="9"/>
      <c r="I23" s="9"/>
      <c r="J23" s="9"/>
      <c r="K23" s="9"/>
      <c r="L23" s="9"/>
      <c r="M23" s="9"/>
      <c r="N23" s="9"/>
      <c r="O23" s="9"/>
      <c r="P23" s="9"/>
      <c r="Q23" s="12"/>
      <c r="R23" s="12"/>
      <c r="S23" s="12"/>
      <c r="T23" s="12"/>
      <c r="U23" s="12"/>
      <c r="V23" s="12"/>
      <c r="W23" s="10"/>
      <c r="X23" s="9"/>
      <c r="Y23" s="10"/>
      <c r="Z23" s="11"/>
      <c r="AA23" s="10"/>
      <c r="AB23" s="10"/>
      <c r="AC23" s="11"/>
      <c r="AD23" s="10"/>
      <c r="AE23" s="11"/>
      <c r="AF23" s="10"/>
      <c r="AG23" s="10"/>
      <c r="AH23" s="10"/>
    </row>
    <row r="24" spans="1:34" x14ac:dyDescent="0.25">
      <c r="A24" s="9"/>
      <c r="B24" s="9"/>
      <c r="C24" s="10"/>
      <c r="D24" s="9"/>
      <c r="E24" s="9"/>
      <c r="F24" s="9"/>
      <c r="G24" s="10"/>
      <c r="H24" s="9"/>
      <c r="I24" s="9"/>
      <c r="J24" s="9"/>
      <c r="K24" s="9"/>
      <c r="L24" s="9"/>
      <c r="M24" s="9"/>
      <c r="N24" s="9"/>
      <c r="O24" s="9"/>
      <c r="P24" s="9"/>
      <c r="Q24" s="12"/>
      <c r="R24" s="12"/>
      <c r="S24" s="12"/>
      <c r="T24" s="12"/>
      <c r="U24" s="12"/>
      <c r="V24" s="12"/>
      <c r="W24" s="10"/>
      <c r="X24" s="9"/>
      <c r="Y24" s="10"/>
      <c r="Z24" s="11"/>
      <c r="AA24" s="10"/>
      <c r="AB24" s="10"/>
      <c r="AC24" s="11"/>
      <c r="AD24" s="10"/>
      <c r="AE24" s="11"/>
      <c r="AF24" s="10"/>
      <c r="AG24" s="10"/>
      <c r="AH24" s="10"/>
    </row>
    <row r="25" spans="1:34" x14ac:dyDescent="0.25">
      <c r="A25" s="9"/>
      <c r="B25" s="9"/>
      <c r="C25" s="10"/>
      <c r="D25" s="9"/>
      <c r="E25" s="9"/>
      <c r="F25" s="9"/>
      <c r="G25" s="10"/>
      <c r="H25" s="9"/>
      <c r="I25" s="9"/>
      <c r="J25" s="9"/>
      <c r="K25" s="9"/>
      <c r="L25" s="9"/>
      <c r="M25" s="9"/>
      <c r="N25" s="9"/>
      <c r="O25" s="9"/>
      <c r="P25" s="9"/>
      <c r="Q25" s="12"/>
      <c r="R25" s="12"/>
      <c r="S25" s="12"/>
      <c r="T25" s="12"/>
      <c r="U25" s="12"/>
      <c r="V25" s="12"/>
      <c r="W25" s="10"/>
      <c r="X25" s="9"/>
      <c r="Y25" s="10"/>
      <c r="Z25" s="11"/>
      <c r="AA25" s="10"/>
      <c r="AB25" s="10"/>
      <c r="AC25" s="11"/>
      <c r="AD25" s="10"/>
      <c r="AE25" s="11"/>
      <c r="AF25" s="10"/>
      <c r="AG25" s="10"/>
      <c r="AH25" s="10"/>
    </row>
    <row r="26" spans="1:34" x14ac:dyDescent="0.25">
      <c r="A26" s="9"/>
      <c r="B26" s="9"/>
      <c r="C26" s="10"/>
      <c r="D26" s="9"/>
      <c r="E26" s="9"/>
      <c r="F26" s="9"/>
      <c r="G26" s="10"/>
      <c r="H26" s="9"/>
      <c r="I26" s="9"/>
      <c r="J26" s="9"/>
      <c r="K26" s="9"/>
      <c r="L26" s="9"/>
      <c r="M26" s="9"/>
      <c r="N26" s="9"/>
      <c r="O26" s="9"/>
      <c r="P26" s="9"/>
      <c r="Q26" s="12"/>
      <c r="R26" s="12"/>
      <c r="S26" s="12"/>
      <c r="T26" s="12"/>
      <c r="U26" s="12"/>
      <c r="V26" s="12"/>
      <c r="W26" s="10"/>
      <c r="X26" s="9"/>
      <c r="Y26" s="10"/>
      <c r="Z26" s="11"/>
      <c r="AA26" s="10"/>
      <c r="AB26" s="10"/>
      <c r="AC26" s="11"/>
      <c r="AD26" s="10"/>
      <c r="AE26" s="11"/>
      <c r="AF26" s="10"/>
      <c r="AG26" s="10"/>
      <c r="AH26" s="10"/>
    </row>
    <row r="27" spans="1:34" x14ac:dyDescent="0.25">
      <c r="A27" s="9"/>
      <c r="B27" s="9"/>
      <c r="C27" s="10"/>
      <c r="D27" s="9"/>
      <c r="E27" s="9"/>
      <c r="F27" s="9"/>
      <c r="G27" s="10"/>
      <c r="H27" s="9"/>
      <c r="I27" s="9"/>
      <c r="J27" s="9"/>
      <c r="K27" s="9"/>
      <c r="L27" s="9"/>
      <c r="M27" s="9"/>
      <c r="N27" s="9"/>
      <c r="O27" s="9"/>
      <c r="P27" s="9"/>
      <c r="Q27" s="12"/>
      <c r="R27" s="12"/>
      <c r="S27" s="12"/>
      <c r="T27" s="12"/>
      <c r="U27" s="12"/>
      <c r="V27" s="12"/>
      <c r="W27" s="10"/>
      <c r="X27" s="9"/>
      <c r="Y27" s="10"/>
      <c r="Z27" s="11"/>
      <c r="AA27" s="10"/>
      <c r="AB27" s="10"/>
      <c r="AC27" s="11"/>
      <c r="AD27" s="10"/>
      <c r="AE27" s="11"/>
      <c r="AF27" s="10"/>
      <c r="AG27" s="10"/>
      <c r="AH27" s="10"/>
    </row>
    <row r="28" spans="1:34" x14ac:dyDescent="0.25">
      <c r="A28" s="9"/>
      <c r="B28" s="9"/>
      <c r="C28" s="10"/>
      <c r="D28" s="9"/>
      <c r="E28" s="9"/>
      <c r="F28" s="9"/>
      <c r="G28" s="10"/>
      <c r="H28" s="9"/>
      <c r="I28" s="9"/>
      <c r="J28" s="9"/>
      <c r="K28" s="9"/>
      <c r="L28" s="9"/>
      <c r="M28" s="9"/>
      <c r="N28" s="9"/>
      <c r="O28" s="9"/>
      <c r="P28" s="9"/>
      <c r="Q28" s="12"/>
      <c r="R28" s="12"/>
      <c r="S28" s="12"/>
      <c r="T28" s="12"/>
      <c r="U28" s="12"/>
      <c r="V28" s="12"/>
      <c r="W28" s="10"/>
      <c r="X28" s="9"/>
      <c r="Y28" s="10"/>
      <c r="Z28" s="11"/>
      <c r="AA28" s="10"/>
      <c r="AB28" s="10"/>
      <c r="AC28" s="11"/>
      <c r="AD28" s="10"/>
      <c r="AE28" s="11"/>
      <c r="AF28" s="10"/>
      <c r="AG28" s="10"/>
      <c r="AH28" s="10"/>
    </row>
    <row r="29" spans="1:34" x14ac:dyDescent="0.25">
      <c r="A29" s="9"/>
      <c r="B29" s="9"/>
      <c r="C29" s="10"/>
      <c r="D29" s="9"/>
      <c r="E29" s="9"/>
      <c r="F29" s="9"/>
      <c r="G29" s="10"/>
      <c r="H29" s="9"/>
      <c r="I29" s="9"/>
      <c r="J29" s="9"/>
      <c r="K29" s="9"/>
      <c r="L29" s="9"/>
      <c r="M29" s="9"/>
      <c r="N29" s="9"/>
      <c r="O29" s="9"/>
      <c r="P29" s="9"/>
      <c r="Q29" s="12"/>
      <c r="R29" s="12"/>
      <c r="S29" s="12"/>
      <c r="T29" s="12"/>
      <c r="U29" s="12"/>
      <c r="V29" s="12"/>
      <c r="W29" s="10"/>
      <c r="X29" s="9"/>
      <c r="Y29" s="10"/>
      <c r="Z29" s="11"/>
      <c r="AA29" s="10"/>
      <c r="AB29" s="10"/>
      <c r="AC29" s="11"/>
      <c r="AD29" s="10"/>
      <c r="AE29" s="11"/>
      <c r="AF29" s="10"/>
      <c r="AG29" s="10"/>
      <c r="AH29" s="10"/>
    </row>
    <row r="30" spans="1:34" x14ac:dyDescent="0.25">
      <c r="A30" s="9"/>
      <c r="B30" s="9"/>
      <c r="C30" s="10"/>
      <c r="D30" s="9"/>
      <c r="E30" s="9"/>
      <c r="F30" s="9"/>
      <c r="G30" s="10"/>
      <c r="H30" s="9"/>
      <c r="I30" s="9"/>
      <c r="J30" s="9"/>
      <c r="K30" s="9"/>
      <c r="L30" s="9"/>
      <c r="M30" s="9"/>
      <c r="N30" s="9"/>
      <c r="O30" s="9"/>
      <c r="P30" s="9"/>
      <c r="Q30" s="12"/>
      <c r="R30" s="12"/>
      <c r="S30" s="12"/>
      <c r="T30" s="12"/>
      <c r="U30" s="12"/>
      <c r="V30" s="12"/>
      <c r="W30" s="10"/>
      <c r="X30" s="9"/>
      <c r="Y30" s="10"/>
      <c r="Z30" s="11"/>
      <c r="AA30" s="10"/>
      <c r="AB30" s="10"/>
      <c r="AC30" s="11"/>
      <c r="AD30" s="10"/>
      <c r="AE30" s="11"/>
      <c r="AF30" s="10"/>
      <c r="AG30" s="10"/>
      <c r="AH30" s="10"/>
    </row>
    <row r="31" spans="1:34" x14ac:dyDescent="0.25">
      <c r="A31" s="9"/>
      <c r="B31" s="9"/>
      <c r="C31" s="10"/>
      <c r="D31" s="9"/>
      <c r="E31" s="9"/>
      <c r="F31" s="9"/>
      <c r="G31" s="10"/>
      <c r="H31" s="9"/>
      <c r="I31" s="9"/>
      <c r="J31" s="9"/>
      <c r="K31" s="9"/>
      <c r="L31" s="9"/>
      <c r="M31" s="9"/>
      <c r="N31" s="9"/>
      <c r="O31" s="9"/>
      <c r="P31" s="9"/>
      <c r="Q31" s="12"/>
      <c r="R31" s="12"/>
      <c r="S31" s="12"/>
      <c r="T31" s="12"/>
      <c r="U31" s="12"/>
      <c r="V31" s="12"/>
      <c r="W31" s="10"/>
      <c r="X31" s="9"/>
      <c r="Y31" s="10"/>
      <c r="Z31" s="11"/>
      <c r="AA31" s="10"/>
      <c r="AB31" s="10"/>
      <c r="AC31" s="11"/>
      <c r="AD31" s="10"/>
      <c r="AE31" s="11"/>
      <c r="AF31" s="10"/>
      <c r="AG31" s="10"/>
      <c r="AH31" s="10"/>
    </row>
    <row r="32" spans="1:34" x14ac:dyDescent="0.25">
      <c r="A32" s="9"/>
      <c r="B32" s="9"/>
      <c r="C32" s="10"/>
      <c r="D32" s="9"/>
      <c r="E32" s="9"/>
      <c r="F32" s="9"/>
      <c r="G32" s="10"/>
      <c r="H32" s="9"/>
      <c r="I32" s="9"/>
      <c r="J32" s="9"/>
      <c r="K32" s="9"/>
      <c r="L32" s="9"/>
      <c r="M32" s="9"/>
      <c r="N32" s="9"/>
      <c r="O32" s="9"/>
      <c r="P32" s="9"/>
      <c r="Q32" s="12"/>
      <c r="R32" s="12"/>
      <c r="S32" s="12"/>
      <c r="T32" s="12"/>
      <c r="U32" s="12"/>
      <c r="V32" s="12"/>
      <c r="W32" s="10"/>
      <c r="X32" s="9"/>
      <c r="Y32" s="10"/>
      <c r="Z32" s="11"/>
      <c r="AA32" s="10"/>
      <c r="AB32" s="10"/>
      <c r="AC32" s="11"/>
      <c r="AD32" s="10"/>
      <c r="AE32" s="11"/>
      <c r="AF32" s="10"/>
      <c r="AG32" s="10"/>
      <c r="AH32" s="10"/>
    </row>
    <row r="33" spans="1:34" x14ac:dyDescent="0.25">
      <c r="A33" s="9"/>
      <c r="B33" s="9"/>
      <c r="C33" s="10"/>
      <c r="D33" s="9"/>
      <c r="E33" s="9"/>
      <c r="F33" s="9"/>
      <c r="G33" s="10"/>
      <c r="H33" s="9"/>
      <c r="I33" s="9"/>
      <c r="J33" s="9"/>
      <c r="K33" s="9"/>
      <c r="L33" s="9"/>
      <c r="M33" s="9"/>
      <c r="N33" s="9"/>
      <c r="O33" s="9"/>
      <c r="P33" s="9"/>
      <c r="Q33" s="12"/>
      <c r="R33" s="12"/>
      <c r="S33" s="12"/>
      <c r="T33" s="12"/>
      <c r="U33" s="12"/>
      <c r="V33" s="11"/>
      <c r="W33" s="10"/>
      <c r="X33" s="9"/>
      <c r="Y33" s="10"/>
      <c r="Z33" s="11"/>
      <c r="AA33" s="10"/>
      <c r="AB33" s="10"/>
      <c r="AC33" s="11"/>
      <c r="AD33" s="10"/>
      <c r="AE33" s="11"/>
      <c r="AF33" s="10"/>
      <c r="AG33" s="10"/>
      <c r="AH33" s="11"/>
    </row>
    <row r="34" spans="1:34" x14ac:dyDescent="0.25">
      <c r="A34" s="9"/>
      <c r="B34" s="9"/>
      <c r="C34" s="10"/>
      <c r="D34" s="9"/>
      <c r="E34" s="9"/>
      <c r="F34" s="9"/>
      <c r="G34" s="10"/>
      <c r="H34" s="9"/>
      <c r="I34" s="9"/>
      <c r="J34" s="9"/>
      <c r="K34" s="9"/>
      <c r="L34" s="9"/>
      <c r="M34" s="9"/>
      <c r="N34" s="9"/>
      <c r="O34" s="9"/>
      <c r="P34" s="9"/>
      <c r="Q34" s="12"/>
      <c r="R34" s="12"/>
      <c r="S34" s="12"/>
      <c r="T34" s="12"/>
      <c r="U34" s="12"/>
      <c r="V34" s="12"/>
      <c r="W34" s="10"/>
      <c r="X34" s="9"/>
      <c r="Y34" s="10"/>
      <c r="Z34" s="11"/>
      <c r="AA34" s="10"/>
      <c r="AB34" s="10"/>
      <c r="AC34" s="11"/>
      <c r="AD34" s="10"/>
      <c r="AE34" s="11"/>
      <c r="AF34" s="10"/>
      <c r="AG34" s="10"/>
      <c r="AH34" s="10"/>
    </row>
    <row r="35" spans="1:34" x14ac:dyDescent="0.25">
      <c r="A35" s="9"/>
      <c r="B35" s="9"/>
      <c r="C35" s="10"/>
      <c r="D35" s="9"/>
      <c r="E35" s="9"/>
      <c r="F35" s="9"/>
      <c r="G35" s="10"/>
      <c r="H35" s="9"/>
      <c r="I35" s="9"/>
      <c r="J35" s="9"/>
      <c r="K35" s="9"/>
      <c r="L35" s="9"/>
      <c r="M35" s="9"/>
      <c r="N35" s="9"/>
      <c r="O35" s="9"/>
      <c r="P35" s="9"/>
      <c r="Q35" s="12"/>
      <c r="R35" s="12"/>
      <c r="S35" s="12"/>
      <c r="T35" s="12"/>
      <c r="U35" s="12"/>
      <c r="V35" s="12"/>
      <c r="W35" s="10"/>
      <c r="X35" s="9"/>
      <c r="Y35" s="10"/>
      <c r="Z35" s="11"/>
      <c r="AA35" s="10"/>
      <c r="AB35" s="10"/>
      <c r="AC35" s="11"/>
      <c r="AD35" s="10"/>
      <c r="AE35" s="11"/>
      <c r="AF35" s="10"/>
      <c r="AG35" s="10"/>
      <c r="AH35" s="10"/>
    </row>
    <row r="36" spans="1:34" x14ac:dyDescent="0.25">
      <c r="A36" s="9"/>
      <c r="B36" s="9"/>
      <c r="C36" s="10"/>
      <c r="D36" s="9"/>
      <c r="E36" s="9"/>
      <c r="F36" s="9"/>
      <c r="G36" s="10"/>
      <c r="H36" s="9"/>
      <c r="I36" s="9"/>
      <c r="J36" s="9"/>
      <c r="K36" s="9"/>
      <c r="L36" s="9"/>
      <c r="M36" s="9"/>
      <c r="N36" s="9"/>
      <c r="O36" s="9"/>
      <c r="P36" s="9"/>
      <c r="Q36" s="12"/>
      <c r="R36" s="12"/>
      <c r="S36" s="12"/>
      <c r="T36" s="12"/>
      <c r="U36" s="12"/>
      <c r="V36" s="12"/>
      <c r="W36" s="10"/>
      <c r="X36" s="9"/>
      <c r="Y36" s="10"/>
      <c r="Z36" s="11"/>
      <c r="AA36" s="10"/>
      <c r="AB36" s="10"/>
      <c r="AC36" s="11"/>
      <c r="AD36" s="10"/>
      <c r="AE36" s="11"/>
      <c r="AF36" s="10"/>
      <c r="AG36" s="10"/>
      <c r="AH36" s="10"/>
    </row>
    <row r="37" spans="1:34" x14ac:dyDescent="0.25">
      <c r="A37" s="9"/>
      <c r="B37" s="9"/>
      <c r="C37" s="10"/>
      <c r="D37" s="9"/>
      <c r="E37" s="9"/>
      <c r="F37" s="9"/>
      <c r="G37" s="10"/>
      <c r="H37" s="9"/>
      <c r="I37" s="9"/>
      <c r="J37" s="9"/>
      <c r="K37" s="9"/>
      <c r="L37" s="9"/>
      <c r="M37" s="9"/>
      <c r="N37" s="9"/>
      <c r="O37" s="9"/>
      <c r="P37" s="9"/>
      <c r="Q37" s="12"/>
      <c r="R37" s="12"/>
      <c r="S37" s="12"/>
      <c r="T37" s="12"/>
      <c r="U37" s="12"/>
      <c r="V37" s="12"/>
      <c r="W37" s="10"/>
      <c r="X37" s="9"/>
      <c r="Y37" s="10"/>
      <c r="Z37" s="11"/>
      <c r="AA37" s="10"/>
      <c r="AB37" s="10"/>
      <c r="AC37" s="11"/>
      <c r="AD37" s="10"/>
      <c r="AE37" s="11"/>
      <c r="AF37" s="10"/>
      <c r="AG37" s="10"/>
      <c r="AH37" s="10"/>
    </row>
    <row r="38" spans="1:34" x14ac:dyDescent="0.25">
      <c r="A38" s="9"/>
      <c r="B38" s="9"/>
      <c r="C38" s="10"/>
      <c r="D38" s="9"/>
      <c r="E38" s="9"/>
      <c r="F38" s="9"/>
      <c r="G38" s="10"/>
      <c r="H38" s="9"/>
      <c r="I38" s="9"/>
      <c r="J38" s="9"/>
      <c r="K38" s="9"/>
      <c r="L38" s="9"/>
      <c r="M38" s="9"/>
      <c r="N38" s="9"/>
      <c r="O38" s="9"/>
      <c r="P38" s="9"/>
      <c r="Q38" s="12"/>
      <c r="R38" s="12"/>
      <c r="S38" s="12"/>
      <c r="T38" s="12"/>
      <c r="U38" s="12"/>
      <c r="V38" s="12"/>
      <c r="W38" s="10"/>
      <c r="X38" s="9"/>
      <c r="Y38" s="10"/>
      <c r="Z38" s="11"/>
      <c r="AA38" s="10"/>
      <c r="AB38" s="10"/>
      <c r="AC38" s="11"/>
      <c r="AD38" s="10"/>
      <c r="AE38" s="11"/>
      <c r="AF38" s="10"/>
      <c r="AG38" s="10"/>
      <c r="AH38" s="10"/>
    </row>
    <row r="39" spans="1:34" x14ac:dyDescent="0.25">
      <c r="A39" s="9"/>
      <c r="B39" s="9"/>
      <c r="C39" s="10"/>
      <c r="D39" s="9"/>
      <c r="E39" s="9"/>
      <c r="F39" s="9"/>
      <c r="G39" s="10"/>
      <c r="H39" s="9"/>
      <c r="I39" s="9"/>
      <c r="J39" s="9"/>
      <c r="K39" s="9"/>
      <c r="L39" s="9"/>
      <c r="M39" s="9"/>
      <c r="N39" s="9"/>
      <c r="O39" s="9"/>
      <c r="P39" s="9"/>
      <c r="Q39" s="12"/>
      <c r="R39" s="12"/>
      <c r="S39" s="12"/>
      <c r="T39" s="12"/>
      <c r="U39" s="12"/>
      <c r="V39" s="12"/>
      <c r="W39" s="10"/>
      <c r="X39" s="9"/>
      <c r="Y39" s="10"/>
      <c r="Z39" s="11"/>
      <c r="AA39" s="10"/>
      <c r="AB39" s="10"/>
      <c r="AC39" s="11"/>
      <c r="AD39" s="10"/>
      <c r="AE39" s="11"/>
      <c r="AF39" s="10"/>
      <c r="AG39" s="10"/>
      <c r="AH39" s="10"/>
    </row>
    <row r="40" spans="1:34" x14ac:dyDescent="0.25">
      <c r="A40" s="9"/>
      <c r="B40" s="9"/>
      <c r="C40" s="10"/>
      <c r="D40" s="9"/>
      <c r="E40" s="9"/>
      <c r="F40" s="9"/>
      <c r="G40" s="10"/>
      <c r="H40" s="9"/>
      <c r="I40" s="9"/>
      <c r="J40" s="9"/>
      <c r="K40" s="9"/>
      <c r="L40" s="9"/>
      <c r="M40" s="9"/>
      <c r="N40" s="9"/>
      <c r="O40" s="9"/>
      <c r="P40" s="9"/>
      <c r="Q40" s="12"/>
      <c r="R40" s="12"/>
      <c r="S40" s="12"/>
      <c r="T40" s="12"/>
      <c r="U40" s="12"/>
      <c r="V40" s="12"/>
      <c r="W40" s="10"/>
      <c r="X40" s="9"/>
      <c r="Y40" s="10"/>
      <c r="Z40" s="11"/>
      <c r="AA40" s="10"/>
      <c r="AB40" s="10"/>
      <c r="AC40" s="11"/>
      <c r="AD40" s="10"/>
      <c r="AE40" s="11"/>
      <c r="AF40" s="10"/>
      <c r="AG40" s="10"/>
      <c r="AH40" s="10"/>
    </row>
    <row r="41" spans="1:34" x14ac:dyDescent="0.25">
      <c r="A41" s="9"/>
      <c r="B41" s="9"/>
      <c r="C41" s="10"/>
      <c r="D41" s="9"/>
      <c r="E41" s="9"/>
      <c r="F41" s="9"/>
      <c r="G41" s="10"/>
      <c r="H41" s="9"/>
      <c r="I41" s="9"/>
      <c r="J41" s="9"/>
      <c r="K41" s="9"/>
      <c r="L41" s="9"/>
      <c r="M41" s="9"/>
      <c r="N41" s="9"/>
      <c r="O41" s="9"/>
      <c r="P41" s="9"/>
      <c r="Q41" s="12"/>
      <c r="R41" s="12"/>
      <c r="S41" s="12"/>
      <c r="T41" s="12"/>
      <c r="U41" s="12"/>
      <c r="V41" s="12"/>
      <c r="W41" s="10"/>
      <c r="X41" s="9"/>
      <c r="Y41" s="10"/>
      <c r="Z41" s="11"/>
      <c r="AA41" s="10"/>
      <c r="AB41" s="10"/>
      <c r="AC41" s="11"/>
      <c r="AD41" s="10"/>
      <c r="AE41" s="11"/>
      <c r="AF41" s="10"/>
      <c r="AG41" s="10"/>
      <c r="AH41" s="10"/>
    </row>
    <row r="42" spans="1:34" x14ac:dyDescent="0.25">
      <c r="A42" s="9"/>
      <c r="B42" s="9"/>
      <c r="C42" s="10"/>
      <c r="D42" s="9"/>
      <c r="E42" s="9"/>
      <c r="F42" s="9"/>
      <c r="G42" s="10"/>
      <c r="H42" s="9"/>
      <c r="I42" s="9"/>
      <c r="J42" s="9"/>
      <c r="K42" s="9"/>
      <c r="L42" s="9"/>
      <c r="M42" s="9"/>
      <c r="N42" s="9"/>
      <c r="O42" s="9"/>
      <c r="P42" s="9"/>
      <c r="Q42" s="12"/>
      <c r="R42" s="12"/>
      <c r="S42" s="12"/>
      <c r="T42" s="12"/>
      <c r="U42" s="12"/>
      <c r="V42" s="12"/>
      <c r="W42" s="10"/>
      <c r="X42" s="9"/>
      <c r="Y42" s="10"/>
      <c r="Z42" s="11"/>
      <c r="AA42" s="10"/>
      <c r="AB42" s="10"/>
      <c r="AC42" s="11"/>
      <c r="AD42" s="10"/>
      <c r="AE42" s="11"/>
      <c r="AF42" s="10"/>
      <c r="AG42" s="10"/>
      <c r="AH42" s="10"/>
    </row>
    <row r="43" spans="1:34" x14ac:dyDescent="0.25">
      <c r="A43" s="9"/>
      <c r="B43" s="9"/>
      <c r="C43" s="10"/>
      <c r="D43" s="9"/>
      <c r="E43" s="9"/>
      <c r="F43" s="9"/>
      <c r="G43" s="10"/>
      <c r="H43" s="9"/>
      <c r="I43" s="9"/>
      <c r="J43" s="9"/>
      <c r="K43" s="9"/>
      <c r="L43" s="9"/>
      <c r="M43" s="9"/>
      <c r="N43" s="9"/>
      <c r="O43" s="9"/>
      <c r="P43" s="9"/>
      <c r="Q43" s="12"/>
      <c r="R43" s="12"/>
      <c r="S43" s="12"/>
      <c r="T43" s="12"/>
      <c r="U43" s="12"/>
      <c r="V43" s="12"/>
      <c r="W43" s="10"/>
      <c r="X43" s="9"/>
      <c r="Y43" s="10"/>
      <c r="Z43" s="11"/>
      <c r="AA43" s="10"/>
      <c r="AB43" s="10"/>
      <c r="AC43" s="11"/>
      <c r="AD43" s="10"/>
      <c r="AE43" s="11"/>
      <c r="AF43" s="10"/>
      <c r="AG43" s="10"/>
      <c r="AH43" s="10"/>
    </row>
    <row r="44" spans="1:34" x14ac:dyDescent="0.25">
      <c r="A44" s="9"/>
      <c r="B44" s="9"/>
      <c r="C44" s="10"/>
      <c r="D44" s="9"/>
      <c r="E44" s="9"/>
      <c r="F44" s="9"/>
      <c r="G44" s="10"/>
      <c r="H44" s="9"/>
      <c r="I44" s="9"/>
      <c r="J44" s="9"/>
      <c r="K44" s="9"/>
      <c r="L44" s="9"/>
      <c r="M44" s="9"/>
      <c r="N44" s="9"/>
      <c r="O44" s="9"/>
      <c r="P44" s="9"/>
      <c r="Q44" s="12"/>
      <c r="R44" s="12"/>
      <c r="S44" s="12"/>
      <c r="T44" s="12"/>
      <c r="U44" s="12"/>
      <c r="V44" s="12"/>
      <c r="W44" s="10"/>
      <c r="X44" s="9"/>
      <c r="Y44" s="10"/>
      <c r="Z44" s="11"/>
      <c r="AA44" s="10"/>
      <c r="AB44" s="10"/>
      <c r="AC44" s="11"/>
      <c r="AD44" s="10"/>
      <c r="AE44" s="11"/>
      <c r="AF44" s="10"/>
      <c r="AG44" s="10"/>
      <c r="AH44" s="10"/>
    </row>
    <row r="45" spans="1:34" x14ac:dyDescent="0.25">
      <c r="A45" s="9"/>
      <c r="B45" s="9"/>
      <c r="C45" s="10"/>
      <c r="D45" s="9"/>
      <c r="E45" s="9"/>
      <c r="F45" s="9"/>
      <c r="G45" s="10"/>
      <c r="H45" s="9"/>
      <c r="I45" s="9"/>
      <c r="J45" s="9"/>
      <c r="K45" s="9"/>
      <c r="L45" s="9"/>
      <c r="M45" s="9"/>
      <c r="N45" s="9"/>
      <c r="O45" s="9"/>
      <c r="P45" s="9"/>
      <c r="Q45" s="12"/>
      <c r="R45" s="12"/>
      <c r="S45" s="12"/>
      <c r="T45" s="12"/>
      <c r="U45" s="12"/>
      <c r="V45" s="12"/>
      <c r="W45" s="10"/>
      <c r="X45" s="9"/>
      <c r="Y45" s="10"/>
      <c r="Z45" s="11"/>
      <c r="AA45" s="10"/>
      <c r="AB45" s="10"/>
      <c r="AC45" s="11"/>
      <c r="AD45" s="10"/>
      <c r="AE45" s="11"/>
      <c r="AF45" s="10"/>
      <c r="AG45" s="10"/>
      <c r="AH45" s="10"/>
    </row>
    <row r="46" spans="1:34" x14ac:dyDescent="0.25">
      <c r="A46" s="9"/>
      <c r="B46" s="9"/>
      <c r="C46" s="10"/>
      <c r="D46" s="9"/>
      <c r="E46" s="9"/>
      <c r="F46" s="9"/>
      <c r="G46" s="10"/>
      <c r="H46" s="9"/>
      <c r="I46" s="9"/>
      <c r="J46" s="9"/>
      <c r="K46" s="9"/>
      <c r="L46" s="9"/>
      <c r="M46" s="9"/>
      <c r="N46" s="9"/>
      <c r="O46" s="9"/>
      <c r="P46" s="9"/>
      <c r="Q46" s="12"/>
      <c r="R46" s="12"/>
      <c r="S46" s="12"/>
      <c r="T46" s="12"/>
      <c r="U46" s="12"/>
      <c r="V46" s="12"/>
      <c r="W46" s="10"/>
      <c r="X46" s="9"/>
      <c r="Y46" s="10"/>
      <c r="Z46" s="11"/>
      <c r="AA46" s="10"/>
      <c r="AB46" s="10"/>
      <c r="AC46" s="11"/>
      <c r="AD46" s="10"/>
      <c r="AE46" s="11"/>
      <c r="AF46" s="10"/>
      <c r="AG46" s="10"/>
      <c r="AH46" s="10"/>
    </row>
    <row r="47" spans="1:34" x14ac:dyDescent="0.25">
      <c r="A47" s="9"/>
      <c r="B47" s="9"/>
      <c r="C47" s="10"/>
      <c r="D47" s="9"/>
      <c r="E47" s="9"/>
      <c r="F47" s="9"/>
      <c r="G47" s="10"/>
      <c r="H47" s="9"/>
      <c r="I47" s="9"/>
      <c r="J47" s="9"/>
      <c r="K47" s="9"/>
      <c r="L47" s="9"/>
      <c r="M47" s="9"/>
      <c r="N47" s="9"/>
      <c r="O47" s="9"/>
      <c r="P47" s="9"/>
      <c r="Q47" s="12"/>
      <c r="R47" s="12"/>
      <c r="S47" s="12"/>
      <c r="T47" s="12"/>
      <c r="U47" s="12"/>
      <c r="V47" s="12"/>
      <c r="W47" s="10"/>
      <c r="X47" s="9"/>
      <c r="Y47" s="10"/>
      <c r="Z47" s="11"/>
      <c r="AA47" s="10"/>
      <c r="AB47" s="10"/>
      <c r="AC47" s="11"/>
      <c r="AD47" s="10"/>
      <c r="AE47" s="11"/>
      <c r="AF47" s="10"/>
      <c r="AG47" s="10"/>
      <c r="AH47" s="10"/>
    </row>
    <row r="48" spans="1:34" x14ac:dyDescent="0.25">
      <c r="A48" s="9"/>
      <c r="B48" s="9"/>
      <c r="C48" s="10"/>
      <c r="D48" s="9"/>
      <c r="E48" s="9"/>
      <c r="F48" s="9"/>
      <c r="G48" s="10"/>
      <c r="H48" s="9"/>
      <c r="I48" s="9"/>
      <c r="J48" s="9"/>
      <c r="K48" s="9"/>
      <c r="L48" s="9"/>
      <c r="M48" s="9"/>
      <c r="N48" s="9"/>
      <c r="O48" s="9"/>
      <c r="P48" s="9"/>
      <c r="Q48" s="12"/>
      <c r="R48" s="12"/>
      <c r="S48" s="12"/>
      <c r="T48" s="12"/>
      <c r="U48" s="12"/>
      <c r="V48" s="12"/>
      <c r="W48" s="10"/>
      <c r="X48" s="9"/>
      <c r="Y48" s="10"/>
      <c r="Z48" s="11"/>
      <c r="AA48" s="10"/>
      <c r="AB48" s="10"/>
      <c r="AC48" s="11"/>
      <c r="AD48" s="10"/>
      <c r="AE48" s="11"/>
      <c r="AF48" s="10"/>
      <c r="AG48" s="10"/>
      <c r="AH48" s="10"/>
    </row>
    <row r="49" spans="1:34" x14ac:dyDescent="0.25">
      <c r="A49" s="9"/>
      <c r="B49" s="9"/>
      <c r="C49" s="10"/>
      <c r="D49" s="9"/>
      <c r="E49" s="9"/>
      <c r="F49" s="9"/>
      <c r="G49" s="10"/>
      <c r="H49" s="9"/>
      <c r="I49" s="9"/>
      <c r="J49" s="9"/>
      <c r="K49" s="9"/>
      <c r="L49" s="9"/>
      <c r="M49" s="9"/>
      <c r="N49" s="9"/>
      <c r="O49" s="9"/>
      <c r="P49" s="9"/>
      <c r="Q49" s="12"/>
      <c r="R49" s="12"/>
      <c r="S49" s="12"/>
      <c r="T49" s="12"/>
      <c r="U49" s="12"/>
      <c r="V49" s="12"/>
      <c r="W49" s="10"/>
      <c r="X49" s="9"/>
      <c r="Y49" s="10"/>
      <c r="Z49" s="11"/>
      <c r="AA49" s="10"/>
      <c r="AB49" s="10"/>
      <c r="AC49" s="11"/>
      <c r="AD49" s="10"/>
      <c r="AE49" s="11"/>
      <c r="AF49" s="10"/>
      <c r="AG49" s="10"/>
      <c r="AH49" s="10"/>
    </row>
    <row r="50" spans="1:34" x14ac:dyDescent="0.25">
      <c r="A50" s="9"/>
      <c r="B50" s="9"/>
      <c r="C50" s="10"/>
      <c r="D50" s="9"/>
      <c r="E50" s="9"/>
      <c r="F50" s="9"/>
      <c r="G50" s="10"/>
      <c r="H50" s="9"/>
      <c r="I50" s="9"/>
      <c r="J50" s="9"/>
      <c r="K50" s="9"/>
      <c r="L50" s="9"/>
      <c r="M50" s="9"/>
      <c r="N50" s="9"/>
      <c r="O50" s="9"/>
      <c r="P50" s="9"/>
      <c r="Q50" s="12"/>
      <c r="R50" s="12"/>
      <c r="S50" s="12"/>
      <c r="T50" s="12"/>
      <c r="U50" s="12"/>
      <c r="V50" s="12"/>
      <c r="W50" s="10"/>
      <c r="X50" s="9"/>
      <c r="Y50" s="10"/>
      <c r="Z50" s="11"/>
      <c r="AA50" s="10"/>
      <c r="AB50" s="10"/>
      <c r="AC50" s="11"/>
      <c r="AD50" s="10"/>
      <c r="AE50" s="11"/>
      <c r="AF50" s="10"/>
      <c r="AG50" s="10"/>
      <c r="AH50" s="10"/>
    </row>
    <row r="51" spans="1:34" x14ac:dyDescent="0.25">
      <c r="A51" s="9"/>
      <c r="B51" s="9"/>
      <c r="C51" s="10"/>
      <c r="D51" s="9"/>
      <c r="E51" s="9"/>
      <c r="F51" s="9"/>
      <c r="G51" s="10"/>
      <c r="H51" s="9"/>
      <c r="I51" s="9"/>
      <c r="J51" s="9"/>
      <c r="K51" s="9"/>
      <c r="L51" s="9"/>
      <c r="M51" s="9"/>
      <c r="N51" s="9"/>
      <c r="O51" s="9"/>
      <c r="P51" s="9"/>
      <c r="Q51" s="12"/>
      <c r="R51" s="12"/>
      <c r="S51" s="12"/>
      <c r="T51" s="12"/>
      <c r="U51" s="12"/>
      <c r="V51" s="12"/>
      <c r="W51" s="10"/>
      <c r="X51" s="9"/>
      <c r="Y51" s="10"/>
      <c r="Z51" s="11"/>
      <c r="AA51" s="10"/>
      <c r="AB51" s="10"/>
      <c r="AC51" s="11"/>
      <c r="AD51" s="10"/>
      <c r="AE51" s="11"/>
      <c r="AF51" s="10"/>
      <c r="AG51" s="10"/>
      <c r="AH51" s="10"/>
    </row>
    <row r="52" spans="1:34" x14ac:dyDescent="0.25">
      <c r="A52" s="9"/>
      <c r="B52" s="9"/>
      <c r="C52" s="10"/>
      <c r="D52" s="9"/>
      <c r="E52" s="9"/>
      <c r="F52" s="9"/>
      <c r="G52" s="10"/>
      <c r="H52" s="9"/>
      <c r="I52" s="9"/>
      <c r="J52" s="9"/>
      <c r="K52" s="9"/>
      <c r="L52" s="9"/>
      <c r="M52" s="9"/>
      <c r="N52" s="9"/>
      <c r="O52" s="9"/>
      <c r="P52" s="9"/>
      <c r="Q52" s="12"/>
      <c r="R52" s="12"/>
      <c r="S52" s="12"/>
      <c r="T52" s="12"/>
      <c r="U52" s="12"/>
      <c r="V52" s="12"/>
      <c r="W52" s="10"/>
      <c r="X52" s="9"/>
      <c r="Y52" s="10"/>
      <c r="Z52" s="11"/>
      <c r="AA52" s="10"/>
      <c r="AB52" s="10"/>
      <c r="AC52" s="11"/>
      <c r="AD52" s="10"/>
      <c r="AE52" s="11"/>
      <c r="AF52" s="10"/>
      <c r="AG52" s="10"/>
      <c r="AH52" s="10"/>
    </row>
    <row r="53" spans="1:34" x14ac:dyDescent="0.25">
      <c r="A53" s="9"/>
      <c r="B53" s="9"/>
      <c r="C53" s="10"/>
      <c r="D53" s="9"/>
      <c r="E53" s="9"/>
      <c r="F53" s="9"/>
      <c r="G53" s="10"/>
      <c r="H53" s="9"/>
      <c r="I53" s="9"/>
      <c r="J53" s="9"/>
      <c r="K53" s="9"/>
      <c r="L53" s="9"/>
      <c r="M53" s="9"/>
      <c r="N53" s="9"/>
      <c r="O53" s="9"/>
      <c r="P53" s="9"/>
      <c r="Q53" s="12"/>
      <c r="R53" s="12"/>
      <c r="S53" s="12"/>
      <c r="T53" s="12"/>
      <c r="U53" s="12"/>
      <c r="V53" s="12"/>
      <c r="W53" s="10"/>
      <c r="X53" s="9"/>
      <c r="Y53" s="10"/>
      <c r="Z53" s="11"/>
      <c r="AA53" s="10"/>
      <c r="AB53" s="10"/>
      <c r="AC53" s="11"/>
      <c r="AD53" s="10"/>
      <c r="AE53" s="11"/>
      <c r="AF53" s="10"/>
      <c r="AG53" s="10"/>
      <c r="AH53" s="10"/>
    </row>
    <row r="54" spans="1:34" x14ac:dyDescent="0.25">
      <c r="A54" s="9"/>
      <c r="B54" s="9"/>
      <c r="C54" s="10"/>
      <c r="D54" s="9"/>
      <c r="E54" s="9"/>
      <c r="F54" s="9"/>
      <c r="G54" s="10"/>
      <c r="H54" s="9"/>
      <c r="I54" s="9"/>
      <c r="J54" s="9"/>
      <c r="K54" s="9"/>
      <c r="L54" s="9"/>
      <c r="M54" s="9"/>
      <c r="N54" s="9"/>
      <c r="O54" s="9"/>
      <c r="P54" s="9"/>
      <c r="Q54" s="12"/>
      <c r="R54" s="12"/>
      <c r="S54" s="12"/>
      <c r="T54" s="12"/>
      <c r="U54" s="12"/>
      <c r="V54" s="12"/>
      <c r="W54" s="10"/>
      <c r="X54" s="9"/>
      <c r="Y54" s="10"/>
      <c r="Z54" s="11"/>
      <c r="AA54" s="10"/>
      <c r="AB54" s="10"/>
      <c r="AC54" s="11"/>
      <c r="AD54" s="10"/>
      <c r="AE54" s="11"/>
      <c r="AF54" s="10"/>
      <c r="AG54" s="10"/>
      <c r="AH54" s="10"/>
    </row>
    <row r="55" spans="1:34" x14ac:dyDescent="0.25">
      <c r="A55" s="9"/>
      <c r="B55" s="9"/>
      <c r="C55" s="10"/>
      <c r="D55" s="9"/>
      <c r="E55" s="9"/>
      <c r="F55" s="9"/>
      <c r="G55" s="10"/>
      <c r="H55" s="9"/>
      <c r="I55" s="9"/>
      <c r="J55" s="9"/>
      <c r="K55" s="9"/>
      <c r="L55" s="9"/>
      <c r="M55" s="9"/>
      <c r="N55" s="9"/>
      <c r="O55" s="9"/>
      <c r="P55" s="9"/>
      <c r="Q55" s="12"/>
      <c r="R55" s="12"/>
      <c r="S55" s="12"/>
      <c r="T55" s="12"/>
      <c r="U55" s="12"/>
      <c r="V55" s="12"/>
      <c r="W55" s="10"/>
      <c r="X55" s="9"/>
      <c r="Y55" s="10"/>
      <c r="Z55" s="11"/>
      <c r="AA55" s="10"/>
      <c r="AB55" s="10"/>
      <c r="AC55" s="11"/>
      <c r="AD55" s="10"/>
      <c r="AE55" s="11"/>
      <c r="AF55" s="10"/>
      <c r="AG55" s="10"/>
      <c r="AH55" s="10"/>
    </row>
    <row r="56" spans="1:34" x14ac:dyDescent="0.25">
      <c r="A56" s="9"/>
      <c r="B56" s="9"/>
      <c r="C56" s="10"/>
      <c r="D56" s="9"/>
      <c r="E56" s="9"/>
      <c r="F56" s="9"/>
      <c r="G56" s="10"/>
      <c r="H56" s="9"/>
      <c r="I56" s="9"/>
      <c r="J56" s="9"/>
      <c r="K56" s="9"/>
      <c r="L56" s="9"/>
      <c r="M56" s="9"/>
      <c r="N56" s="9"/>
      <c r="O56" s="9"/>
      <c r="P56" s="9"/>
      <c r="Q56" s="12"/>
      <c r="R56" s="12"/>
      <c r="S56" s="12"/>
      <c r="T56" s="12"/>
      <c r="U56" s="12"/>
      <c r="V56" s="12"/>
      <c r="W56" s="10"/>
      <c r="X56" s="9"/>
      <c r="Y56" s="10"/>
      <c r="Z56" s="11"/>
      <c r="AA56" s="10"/>
      <c r="AB56" s="10"/>
      <c r="AC56" s="11"/>
      <c r="AD56" s="10"/>
      <c r="AE56" s="11"/>
      <c r="AF56" s="10"/>
      <c r="AG56" s="10"/>
      <c r="AH56" s="10"/>
    </row>
    <row r="57" spans="1:34" x14ac:dyDescent="0.25">
      <c r="A57" s="9"/>
      <c r="B57" s="9"/>
      <c r="C57" s="10"/>
      <c r="D57" s="9"/>
      <c r="E57" s="9"/>
      <c r="F57" s="9"/>
      <c r="G57" s="10"/>
      <c r="H57" s="9"/>
      <c r="I57" s="9"/>
      <c r="J57" s="9"/>
      <c r="K57" s="9"/>
      <c r="L57" s="9"/>
      <c r="M57" s="9"/>
      <c r="N57" s="9"/>
      <c r="O57" s="9"/>
      <c r="P57" s="9"/>
      <c r="Q57" s="12"/>
      <c r="R57" s="12"/>
      <c r="S57" s="12"/>
      <c r="T57" s="12"/>
      <c r="U57" s="12"/>
      <c r="V57" s="12"/>
      <c r="W57" s="10"/>
      <c r="X57" s="9"/>
      <c r="Y57" s="10"/>
      <c r="Z57" s="11"/>
      <c r="AA57" s="10"/>
      <c r="AB57" s="10"/>
      <c r="AC57" s="11"/>
      <c r="AD57" s="10"/>
      <c r="AE57" s="11"/>
      <c r="AF57" s="10"/>
      <c r="AG57" s="10"/>
      <c r="AH57" s="10"/>
    </row>
    <row r="58" spans="1:34" x14ac:dyDescent="0.25">
      <c r="A58" s="9"/>
      <c r="B58" s="9"/>
      <c r="C58" s="10"/>
      <c r="D58" s="9"/>
      <c r="E58" s="9"/>
      <c r="F58" s="9"/>
      <c r="G58" s="10"/>
      <c r="H58" s="9"/>
      <c r="I58" s="9"/>
      <c r="J58" s="9"/>
      <c r="K58" s="9"/>
      <c r="L58" s="9"/>
      <c r="M58" s="9"/>
      <c r="N58" s="9"/>
      <c r="O58" s="9"/>
      <c r="P58" s="9"/>
      <c r="Q58" s="12"/>
      <c r="R58" s="12"/>
      <c r="S58" s="12"/>
      <c r="T58" s="12"/>
      <c r="U58" s="12"/>
      <c r="V58" s="12"/>
      <c r="W58" s="10"/>
      <c r="X58" s="9"/>
      <c r="Y58" s="10"/>
      <c r="Z58" s="11"/>
      <c r="AA58" s="10"/>
      <c r="AB58" s="10"/>
      <c r="AC58" s="11"/>
      <c r="AD58" s="10"/>
      <c r="AE58" s="11"/>
      <c r="AF58" s="10"/>
      <c r="AG58" s="10"/>
      <c r="AH58" s="10"/>
    </row>
    <row r="59" spans="1:34" x14ac:dyDescent="0.25">
      <c r="A59" s="9"/>
      <c r="B59" s="9"/>
      <c r="C59" s="10"/>
      <c r="D59" s="9"/>
      <c r="E59" s="9"/>
      <c r="F59" s="9"/>
      <c r="G59" s="10"/>
      <c r="H59" s="9"/>
      <c r="I59" s="9"/>
      <c r="J59" s="9"/>
      <c r="K59" s="9"/>
      <c r="L59" s="9"/>
      <c r="M59" s="9"/>
      <c r="N59" s="9"/>
      <c r="O59" s="9"/>
      <c r="P59" s="9"/>
      <c r="Q59" s="12"/>
      <c r="R59" s="12"/>
      <c r="S59" s="12"/>
      <c r="T59" s="12"/>
      <c r="U59" s="12"/>
      <c r="V59" s="12"/>
      <c r="W59" s="10"/>
      <c r="X59" s="9"/>
      <c r="Y59" s="10"/>
      <c r="Z59" s="11"/>
      <c r="AA59" s="10"/>
      <c r="AB59" s="10"/>
      <c r="AC59" s="11"/>
      <c r="AD59" s="10"/>
      <c r="AE59" s="11"/>
      <c r="AF59" s="10"/>
      <c r="AG59" s="10"/>
      <c r="AH59" s="10"/>
    </row>
    <row r="60" spans="1:34" x14ac:dyDescent="0.25">
      <c r="A60" s="9"/>
      <c r="B60" s="9"/>
      <c r="C60" s="10"/>
      <c r="D60" s="9"/>
      <c r="E60" s="9"/>
      <c r="F60" s="9"/>
      <c r="G60" s="10"/>
      <c r="H60" s="9"/>
      <c r="I60" s="9"/>
      <c r="J60" s="9"/>
      <c r="K60" s="9"/>
      <c r="L60" s="9"/>
      <c r="M60" s="9"/>
      <c r="N60" s="9"/>
      <c r="O60" s="9"/>
      <c r="P60" s="9"/>
      <c r="Q60" s="12"/>
      <c r="R60" s="12"/>
      <c r="S60" s="12"/>
      <c r="T60" s="12"/>
      <c r="U60" s="12"/>
      <c r="V60" s="12"/>
      <c r="W60" s="10"/>
      <c r="X60" s="9"/>
      <c r="Y60" s="10"/>
      <c r="Z60" s="11"/>
      <c r="AA60" s="10"/>
      <c r="AB60" s="10"/>
      <c r="AC60" s="11"/>
      <c r="AD60" s="10"/>
      <c r="AE60" s="11"/>
      <c r="AF60" s="10"/>
      <c r="AG60" s="10"/>
      <c r="AH60" s="10"/>
    </row>
    <row r="61" spans="1:34" x14ac:dyDescent="0.25">
      <c r="A61" s="9"/>
      <c r="B61" s="9"/>
      <c r="C61" s="10"/>
      <c r="D61" s="9"/>
      <c r="E61" s="9"/>
      <c r="F61" s="9"/>
      <c r="G61" s="10"/>
      <c r="H61" s="9"/>
      <c r="I61" s="9"/>
      <c r="J61" s="9"/>
      <c r="K61" s="9"/>
      <c r="L61" s="9"/>
      <c r="M61" s="9"/>
      <c r="N61" s="9"/>
      <c r="O61" s="9"/>
      <c r="P61" s="9"/>
      <c r="Q61" s="12"/>
      <c r="R61" s="12"/>
      <c r="S61" s="12"/>
      <c r="T61" s="12"/>
      <c r="U61" s="12"/>
      <c r="V61" s="12"/>
      <c r="W61" s="10"/>
      <c r="X61" s="9"/>
      <c r="Y61" s="10"/>
      <c r="Z61" s="11"/>
      <c r="AA61" s="10"/>
      <c r="AB61" s="10"/>
      <c r="AC61" s="11"/>
      <c r="AD61" s="10"/>
      <c r="AE61" s="11"/>
      <c r="AF61" s="10"/>
      <c r="AG61" s="10"/>
      <c r="AH61" s="10"/>
    </row>
    <row r="62" spans="1:34" x14ac:dyDescent="0.25">
      <c r="A62" s="9"/>
      <c r="B62" s="9"/>
      <c r="C62" s="10"/>
      <c r="D62" s="9"/>
      <c r="E62" s="9"/>
      <c r="F62" s="9"/>
      <c r="G62" s="10"/>
      <c r="H62" s="9"/>
      <c r="I62" s="9"/>
      <c r="J62" s="9"/>
      <c r="K62" s="9"/>
      <c r="L62" s="9"/>
      <c r="M62" s="9"/>
      <c r="N62" s="9"/>
      <c r="O62" s="9"/>
      <c r="P62" s="9"/>
      <c r="Q62" s="12"/>
      <c r="R62" s="12"/>
      <c r="S62" s="12"/>
      <c r="T62" s="12"/>
      <c r="U62" s="12"/>
      <c r="V62" s="12"/>
      <c r="W62" s="10"/>
      <c r="X62" s="9"/>
      <c r="Y62" s="10"/>
      <c r="Z62" s="11"/>
      <c r="AA62" s="10"/>
      <c r="AB62" s="10"/>
      <c r="AC62" s="11"/>
      <c r="AD62" s="10"/>
      <c r="AE62" s="11"/>
      <c r="AF62" s="10"/>
      <c r="AG62" s="10"/>
      <c r="AH62" s="10"/>
    </row>
    <row r="63" spans="1:34" x14ac:dyDescent="0.25">
      <c r="A63" s="9"/>
      <c r="B63" s="9"/>
      <c r="C63" s="10"/>
      <c r="D63" s="9"/>
      <c r="E63" s="9"/>
      <c r="F63" s="9"/>
      <c r="G63" s="10"/>
      <c r="H63" s="9"/>
      <c r="I63" s="9"/>
      <c r="J63" s="9"/>
      <c r="K63" s="9"/>
      <c r="L63" s="9"/>
      <c r="M63" s="9"/>
      <c r="N63" s="9"/>
      <c r="O63" s="9"/>
      <c r="P63" s="9"/>
      <c r="Q63" s="12"/>
      <c r="R63" s="12"/>
      <c r="S63" s="12"/>
      <c r="T63" s="12"/>
      <c r="U63" s="12"/>
      <c r="V63" s="12"/>
      <c r="W63" s="10"/>
      <c r="X63" s="9"/>
      <c r="Y63" s="10"/>
      <c r="Z63" s="11"/>
      <c r="AA63" s="10"/>
      <c r="AB63" s="10"/>
      <c r="AC63" s="11"/>
      <c r="AD63" s="10"/>
      <c r="AE63" s="11"/>
      <c r="AF63" s="10"/>
      <c r="AG63" s="10"/>
      <c r="AH63" s="10"/>
    </row>
    <row r="64" spans="1:34" x14ac:dyDescent="0.25">
      <c r="A64" s="9"/>
      <c r="B64" s="9"/>
      <c r="C64" s="10"/>
      <c r="D64" s="9"/>
      <c r="E64" s="9"/>
      <c r="F64" s="9"/>
      <c r="G64" s="10"/>
      <c r="H64" s="9"/>
      <c r="I64" s="9"/>
      <c r="J64" s="9"/>
      <c r="K64" s="9"/>
      <c r="L64" s="9"/>
      <c r="M64" s="9"/>
      <c r="N64" s="9"/>
      <c r="O64" s="9"/>
      <c r="P64" s="9"/>
      <c r="Q64" s="12"/>
      <c r="R64" s="12"/>
      <c r="S64" s="12"/>
      <c r="T64" s="12"/>
      <c r="U64" s="12"/>
      <c r="V64" s="12"/>
      <c r="W64" s="10"/>
      <c r="X64" s="9"/>
      <c r="Y64" s="10"/>
      <c r="Z64" s="11"/>
      <c r="AA64" s="10"/>
      <c r="AB64" s="10"/>
      <c r="AC64" s="11"/>
      <c r="AD64" s="10"/>
      <c r="AE64" s="11"/>
      <c r="AF64" s="10"/>
      <c r="AG64" s="10"/>
      <c r="AH64" s="10"/>
    </row>
    <row r="65" spans="1:34" x14ac:dyDescent="0.25">
      <c r="A65" s="9"/>
      <c r="B65" s="9"/>
      <c r="C65" s="10"/>
      <c r="D65" s="9"/>
      <c r="E65" s="9"/>
      <c r="F65" s="9"/>
      <c r="G65" s="10"/>
      <c r="H65" s="9"/>
      <c r="I65" s="9"/>
      <c r="J65" s="9"/>
      <c r="K65" s="9"/>
      <c r="L65" s="9"/>
      <c r="M65" s="9"/>
      <c r="N65" s="9"/>
      <c r="O65" s="9"/>
      <c r="P65" s="9"/>
      <c r="Q65" s="12"/>
      <c r="R65" s="12"/>
      <c r="S65" s="12"/>
      <c r="T65" s="12"/>
      <c r="U65" s="12"/>
      <c r="V65" s="12"/>
      <c r="W65" s="10"/>
      <c r="X65" s="9"/>
      <c r="Y65" s="10"/>
      <c r="Z65" s="11"/>
      <c r="AA65" s="10"/>
      <c r="AB65" s="10"/>
      <c r="AC65" s="11"/>
      <c r="AD65" s="10"/>
      <c r="AE65" s="11"/>
      <c r="AF65" s="10"/>
      <c r="AG65" s="10"/>
      <c r="AH65" s="10"/>
    </row>
    <row r="66" spans="1:34" x14ac:dyDescent="0.25">
      <c r="A66" s="9"/>
      <c r="B66" s="9"/>
      <c r="C66" s="10"/>
      <c r="D66" s="9"/>
      <c r="E66" s="9"/>
      <c r="F66" s="9"/>
      <c r="G66" s="10"/>
      <c r="H66" s="9"/>
      <c r="I66" s="9"/>
      <c r="J66" s="9"/>
      <c r="K66" s="9"/>
      <c r="L66" s="9"/>
      <c r="M66" s="9"/>
      <c r="N66" s="9"/>
      <c r="O66" s="9"/>
      <c r="P66" s="9"/>
      <c r="Q66" s="12"/>
      <c r="R66" s="12"/>
      <c r="S66" s="12"/>
      <c r="T66" s="12"/>
      <c r="U66" s="12"/>
      <c r="V66" s="12"/>
      <c r="W66" s="10"/>
      <c r="X66" s="9"/>
      <c r="Y66" s="10"/>
      <c r="Z66" s="11"/>
      <c r="AA66" s="10"/>
      <c r="AB66" s="10"/>
      <c r="AC66" s="11"/>
      <c r="AD66" s="10"/>
      <c r="AE66" s="11"/>
      <c r="AF66" s="10"/>
      <c r="AG66" s="10"/>
      <c r="AH66" s="10"/>
    </row>
    <row r="67" spans="1:34" x14ac:dyDescent="0.25">
      <c r="A67" s="9"/>
      <c r="B67" s="9"/>
      <c r="C67" s="10"/>
      <c r="D67" s="9"/>
      <c r="E67" s="9"/>
      <c r="F67" s="9"/>
      <c r="G67" s="10"/>
      <c r="H67" s="9"/>
      <c r="I67" s="9"/>
      <c r="J67" s="9"/>
      <c r="K67" s="9"/>
      <c r="L67" s="9"/>
      <c r="M67" s="9"/>
      <c r="N67" s="9"/>
      <c r="O67" s="9"/>
      <c r="P67" s="9"/>
      <c r="Q67" s="11"/>
      <c r="R67" s="12"/>
      <c r="S67" s="12"/>
      <c r="T67" s="12"/>
      <c r="U67" s="12"/>
      <c r="V67" s="12"/>
      <c r="W67" s="10"/>
      <c r="X67" s="9"/>
      <c r="Y67" s="10"/>
      <c r="Z67" s="11"/>
      <c r="AA67" s="10"/>
      <c r="AB67" s="10"/>
      <c r="AC67" s="11"/>
      <c r="AD67" s="10"/>
      <c r="AE67" s="11"/>
      <c r="AF67" s="10"/>
      <c r="AG67" s="10"/>
      <c r="AH67" s="10"/>
    </row>
    <row r="68" spans="1:34" x14ac:dyDescent="0.25">
      <c r="A68" s="9"/>
      <c r="B68" s="9"/>
      <c r="C68" s="10"/>
      <c r="D68" s="9"/>
      <c r="E68" s="9"/>
      <c r="F68" s="9"/>
      <c r="G68" s="10"/>
      <c r="H68" s="9"/>
      <c r="I68" s="9"/>
      <c r="J68" s="9"/>
      <c r="K68" s="9"/>
      <c r="L68" s="9"/>
      <c r="M68" s="9"/>
      <c r="N68" s="9"/>
      <c r="O68" s="9"/>
      <c r="P68" s="9"/>
      <c r="Q68" s="12"/>
      <c r="R68" s="12"/>
      <c r="S68" s="12"/>
      <c r="T68" s="12"/>
      <c r="U68" s="12"/>
      <c r="V68" s="12"/>
      <c r="W68" s="10"/>
      <c r="X68" s="9"/>
      <c r="Y68" s="10"/>
      <c r="Z68" s="11"/>
      <c r="AA68" s="10"/>
      <c r="AB68" s="10"/>
      <c r="AC68" s="11"/>
      <c r="AD68" s="10"/>
      <c r="AE68" s="11"/>
      <c r="AF68" s="10"/>
      <c r="AG68" s="10"/>
      <c r="AH68" s="10"/>
    </row>
    <row r="69" spans="1:34" x14ac:dyDescent="0.25">
      <c r="A69" s="9"/>
      <c r="B69" s="9"/>
      <c r="C69" s="10"/>
      <c r="D69" s="9"/>
      <c r="E69" s="9"/>
      <c r="F69" s="9"/>
      <c r="G69" s="10"/>
      <c r="H69" s="9"/>
      <c r="I69" s="9"/>
      <c r="J69" s="9"/>
      <c r="K69" s="9"/>
      <c r="L69" s="9"/>
      <c r="M69" s="9"/>
      <c r="N69" s="9"/>
      <c r="O69" s="9"/>
      <c r="P69" s="9"/>
      <c r="Q69" s="12"/>
      <c r="R69" s="12"/>
      <c r="S69" s="12"/>
      <c r="T69" s="12"/>
      <c r="U69" s="12"/>
      <c r="V69" s="12"/>
      <c r="W69" s="10"/>
      <c r="X69" s="9"/>
      <c r="Y69" s="10"/>
      <c r="Z69" s="11"/>
      <c r="AA69" s="10"/>
      <c r="AB69" s="10"/>
      <c r="AC69" s="11"/>
      <c r="AD69" s="10"/>
      <c r="AE69" s="11"/>
      <c r="AF69" s="10"/>
      <c r="AG69" s="10"/>
      <c r="AH69" s="10"/>
    </row>
    <row r="70" spans="1:34" x14ac:dyDescent="0.25">
      <c r="A70" s="9"/>
      <c r="B70" s="9"/>
      <c r="C70" s="10"/>
      <c r="D70" s="9"/>
      <c r="E70" s="9"/>
      <c r="F70" s="9"/>
      <c r="G70" s="10"/>
      <c r="H70" s="9"/>
      <c r="I70" s="9"/>
      <c r="J70" s="9"/>
      <c r="K70" s="9"/>
      <c r="L70" s="9"/>
      <c r="M70" s="9"/>
      <c r="N70" s="9"/>
      <c r="O70" s="9"/>
      <c r="P70" s="9"/>
      <c r="Q70" s="12"/>
      <c r="R70" s="12"/>
      <c r="S70" s="12"/>
      <c r="T70" s="12"/>
      <c r="U70" s="12"/>
      <c r="V70" s="12"/>
      <c r="W70" s="10"/>
      <c r="X70" s="9"/>
      <c r="Y70" s="10"/>
      <c r="Z70" s="11"/>
      <c r="AA70" s="10"/>
      <c r="AB70" s="10"/>
      <c r="AC70" s="11"/>
      <c r="AD70" s="10"/>
      <c r="AE70" s="11"/>
      <c r="AF70" s="10"/>
      <c r="AG70" s="10"/>
      <c r="AH70" s="10"/>
    </row>
    <row r="71" spans="1:34" x14ac:dyDescent="0.25">
      <c r="A71" s="9"/>
      <c r="B71" s="9"/>
      <c r="C71" s="10"/>
      <c r="D71" s="9"/>
      <c r="E71" s="9"/>
      <c r="F71" s="9"/>
      <c r="G71" s="10"/>
      <c r="H71" s="9"/>
      <c r="I71" s="9"/>
      <c r="J71" s="9"/>
      <c r="K71" s="9"/>
      <c r="L71" s="9"/>
      <c r="M71" s="9"/>
      <c r="N71" s="9"/>
      <c r="O71" s="9"/>
      <c r="P71" s="9"/>
      <c r="Q71" s="12"/>
      <c r="R71" s="12"/>
      <c r="S71" s="12"/>
      <c r="T71" s="12"/>
      <c r="U71" s="12"/>
      <c r="V71" s="12"/>
      <c r="W71" s="10"/>
      <c r="X71" s="9"/>
      <c r="Y71" s="10"/>
      <c r="Z71" s="11"/>
      <c r="AA71" s="10"/>
      <c r="AB71" s="10"/>
      <c r="AC71" s="11"/>
      <c r="AD71" s="10"/>
      <c r="AE71" s="11"/>
      <c r="AF71" s="10"/>
      <c r="AG71" s="10"/>
      <c r="AH71" s="10"/>
    </row>
    <row r="72" spans="1:34" x14ac:dyDescent="0.25">
      <c r="A72" s="9"/>
      <c r="B72" s="9"/>
      <c r="C72" s="10"/>
      <c r="D72" s="9"/>
      <c r="E72" s="9"/>
      <c r="F72" s="9"/>
      <c r="G72" s="10"/>
      <c r="H72" s="9"/>
      <c r="I72" s="9"/>
      <c r="J72" s="9"/>
      <c r="K72" s="9"/>
      <c r="L72" s="9"/>
      <c r="M72" s="9"/>
      <c r="N72" s="9"/>
      <c r="O72" s="9"/>
      <c r="P72" s="9"/>
      <c r="Q72" s="12"/>
      <c r="R72" s="12"/>
      <c r="S72" s="12"/>
      <c r="T72" s="12"/>
      <c r="U72" s="12"/>
      <c r="V72" s="12"/>
      <c r="W72" s="10"/>
      <c r="X72" s="9"/>
      <c r="Y72" s="10"/>
      <c r="Z72" s="11"/>
      <c r="AA72" s="10"/>
      <c r="AB72" s="10"/>
      <c r="AC72" s="11"/>
      <c r="AD72" s="10"/>
      <c r="AE72" s="11"/>
      <c r="AF72" s="10"/>
      <c r="AG72" s="10"/>
      <c r="AH72" s="10"/>
    </row>
    <row r="73" spans="1:34" x14ac:dyDescent="0.25">
      <c r="A73" s="9"/>
      <c r="B73" s="9"/>
      <c r="C73" s="10"/>
      <c r="D73" s="9"/>
      <c r="E73" s="9"/>
      <c r="F73" s="9"/>
      <c r="G73" s="10"/>
      <c r="H73" s="9"/>
      <c r="I73" s="9"/>
      <c r="J73" s="9"/>
      <c r="K73" s="9"/>
      <c r="L73" s="9"/>
      <c r="M73" s="9"/>
      <c r="N73" s="9"/>
      <c r="O73" s="9"/>
      <c r="P73" s="9"/>
      <c r="Q73" s="12"/>
      <c r="R73" s="12"/>
      <c r="S73" s="12"/>
      <c r="T73" s="12"/>
      <c r="U73" s="12"/>
      <c r="V73" s="12"/>
      <c r="W73" s="10"/>
      <c r="X73" s="9"/>
      <c r="Y73" s="10"/>
      <c r="Z73" s="11"/>
      <c r="AA73" s="10"/>
      <c r="AB73" s="10"/>
      <c r="AC73" s="11"/>
      <c r="AD73" s="10"/>
      <c r="AE73" s="11"/>
      <c r="AF73" s="10"/>
      <c r="AG73" s="10"/>
      <c r="AH73" s="10"/>
    </row>
    <row r="74" spans="1:34" x14ac:dyDescent="0.25">
      <c r="A74" s="9"/>
      <c r="B74" s="9"/>
      <c r="C74" s="10"/>
      <c r="D74" s="9"/>
      <c r="E74" s="9"/>
      <c r="F74" s="9"/>
      <c r="G74" s="10"/>
      <c r="H74" s="9"/>
      <c r="I74" s="9"/>
      <c r="J74" s="9"/>
      <c r="K74" s="9"/>
      <c r="L74" s="9"/>
      <c r="M74" s="9"/>
      <c r="N74" s="9"/>
      <c r="O74" s="9"/>
      <c r="P74" s="9"/>
      <c r="Q74" s="12"/>
      <c r="R74" s="12"/>
      <c r="S74" s="12"/>
      <c r="T74" s="12"/>
      <c r="U74" s="12"/>
      <c r="V74" s="12"/>
      <c r="W74" s="10"/>
      <c r="X74" s="9"/>
      <c r="Y74" s="10"/>
      <c r="Z74" s="11"/>
      <c r="AA74" s="10"/>
      <c r="AB74" s="10"/>
      <c r="AC74" s="11"/>
      <c r="AD74" s="10"/>
      <c r="AE74" s="11"/>
      <c r="AF74" s="10"/>
      <c r="AG74" s="10"/>
      <c r="AH74" s="10"/>
    </row>
    <row r="75" spans="1:34" x14ac:dyDescent="0.25">
      <c r="A75" s="9"/>
      <c r="B75" s="9"/>
      <c r="C75" s="10"/>
      <c r="D75" s="9"/>
      <c r="E75" s="9"/>
      <c r="F75" s="9"/>
      <c r="G75" s="10"/>
      <c r="H75" s="9"/>
      <c r="I75" s="9"/>
      <c r="J75" s="9"/>
      <c r="K75" s="9"/>
      <c r="L75" s="9"/>
      <c r="M75" s="9"/>
      <c r="N75" s="9"/>
      <c r="O75" s="9"/>
      <c r="P75" s="9"/>
      <c r="Q75" s="12"/>
      <c r="R75" s="12"/>
      <c r="S75" s="12"/>
      <c r="T75" s="12"/>
      <c r="U75" s="12"/>
      <c r="V75" s="12"/>
      <c r="W75" s="10"/>
      <c r="X75" s="9"/>
      <c r="Y75" s="10"/>
      <c r="Z75" s="11"/>
      <c r="AA75" s="10"/>
      <c r="AB75" s="10"/>
      <c r="AC75" s="11"/>
      <c r="AD75" s="10"/>
      <c r="AE75" s="11"/>
      <c r="AF75" s="10"/>
      <c r="AG75" s="10"/>
      <c r="AH75" s="10"/>
    </row>
    <row r="76" spans="1:34" x14ac:dyDescent="0.25">
      <c r="A76" s="9"/>
      <c r="B76" s="9"/>
      <c r="C76" s="10"/>
      <c r="D76" s="9"/>
      <c r="E76" s="9"/>
      <c r="F76" s="9"/>
      <c r="G76" s="10"/>
      <c r="H76" s="9"/>
      <c r="I76" s="9"/>
      <c r="J76" s="9"/>
      <c r="K76" s="9"/>
      <c r="L76" s="9"/>
      <c r="M76" s="9"/>
      <c r="N76" s="9"/>
      <c r="O76" s="9"/>
      <c r="P76" s="9"/>
      <c r="Q76" s="12"/>
      <c r="R76" s="12"/>
      <c r="S76" s="12"/>
      <c r="T76" s="12"/>
      <c r="U76" s="12"/>
      <c r="V76" s="12"/>
      <c r="W76" s="10"/>
      <c r="X76" s="9"/>
      <c r="Y76" s="10"/>
      <c r="Z76" s="11"/>
      <c r="AA76" s="10"/>
      <c r="AB76" s="10"/>
      <c r="AC76" s="11"/>
      <c r="AD76" s="10"/>
      <c r="AE76" s="11"/>
      <c r="AF76" s="10"/>
      <c r="AG76" s="10"/>
      <c r="AH76" s="10"/>
    </row>
    <row r="77" spans="1:34" x14ac:dyDescent="0.25">
      <c r="A77" s="9"/>
      <c r="B77" s="9"/>
      <c r="C77" s="10"/>
      <c r="D77" s="9"/>
      <c r="E77" s="9"/>
      <c r="F77" s="9"/>
      <c r="G77" s="10"/>
      <c r="H77" s="9"/>
      <c r="I77" s="9"/>
      <c r="J77" s="9"/>
      <c r="K77" s="9"/>
      <c r="L77" s="9"/>
      <c r="M77" s="9"/>
      <c r="N77" s="9"/>
      <c r="O77" s="9"/>
      <c r="P77" s="9"/>
      <c r="Q77" s="12"/>
      <c r="R77" s="12"/>
      <c r="S77" s="12"/>
      <c r="T77" s="12"/>
      <c r="U77" s="12"/>
      <c r="V77" s="12"/>
      <c r="W77" s="10"/>
      <c r="X77" s="9"/>
      <c r="Y77" s="10"/>
      <c r="Z77" s="11"/>
      <c r="AA77" s="10"/>
      <c r="AB77" s="10"/>
      <c r="AC77" s="11"/>
      <c r="AD77" s="10"/>
      <c r="AE77" s="11"/>
      <c r="AF77" s="10"/>
      <c r="AG77" s="10"/>
      <c r="AH77" s="10"/>
    </row>
    <row r="78" spans="1:34" x14ac:dyDescent="0.25">
      <c r="A78" s="9"/>
      <c r="B78" s="9"/>
      <c r="C78" s="10"/>
      <c r="D78" s="9"/>
      <c r="E78" s="9"/>
      <c r="F78" s="9"/>
      <c r="G78" s="10"/>
      <c r="H78" s="9"/>
      <c r="I78" s="9"/>
      <c r="J78" s="9"/>
      <c r="K78" s="9"/>
      <c r="L78" s="9"/>
      <c r="M78" s="9"/>
      <c r="N78" s="9"/>
      <c r="O78" s="9"/>
      <c r="P78" s="9"/>
      <c r="Q78" s="12"/>
      <c r="R78" s="12"/>
      <c r="S78" s="12"/>
      <c r="T78" s="12"/>
      <c r="U78" s="12"/>
      <c r="V78" s="12"/>
      <c r="W78" s="10"/>
      <c r="X78" s="9"/>
      <c r="Y78" s="10"/>
      <c r="Z78" s="11"/>
      <c r="AA78" s="10"/>
      <c r="AB78" s="10"/>
      <c r="AC78" s="11"/>
      <c r="AD78" s="10"/>
      <c r="AE78" s="11"/>
      <c r="AF78" s="10"/>
      <c r="AG78" s="10"/>
      <c r="AH78" s="10"/>
    </row>
    <row r="79" spans="1:34" x14ac:dyDescent="0.25">
      <c r="A79" s="9"/>
      <c r="B79" s="9"/>
      <c r="C79" s="10"/>
      <c r="D79" s="9"/>
      <c r="E79" s="9"/>
      <c r="F79" s="9"/>
      <c r="G79" s="10"/>
      <c r="H79" s="9"/>
      <c r="I79" s="9"/>
      <c r="J79" s="9"/>
      <c r="K79" s="9"/>
      <c r="L79" s="9"/>
      <c r="M79" s="9"/>
      <c r="N79" s="9"/>
      <c r="O79" s="9"/>
      <c r="P79" s="9"/>
      <c r="Q79" s="12"/>
      <c r="R79" s="12"/>
      <c r="S79" s="12"/>
      <c r="T79" s="12"/>
      <c r="U79" s="12"/>
      <c r="V79" s="12"/>
      <c r="W79" s="10"/>
      <c r="X79" s="9"/>
      <c r="Y79" s="10"/>
      <c r="Z79" s="11"/>
      <c r="AA79" s="10"/>
      <c r="AB79" s="10"/>
      <c r="AC79" s="11"/>
      <c r="AD79" s="10"/>
      <c r="AE79" s="11"/>
      <c r="AF79" s="10"/>
      <c r="AG79" s="10"/>
      <c r="AH79" s="10"/>
    </row>
    <row r="80" spans="1:34" x14ac:dyDescent="0.25">
      <c r="A80" s="9"/>
      <c r="B80" s="9"/>
      <c r="C80" s="10"/>
      <c r="D80" s="9"/>
      <c r="E80" s="9"/>
      <c r="F80" s="9"/>
      <c r="G80" s="10"/>
      <c r="H80" s="9"/>
      <c r="I80" s="9"/>
      <c r="J80" s="9"/>
      <c r="K80" s="9"/>
      <c r="L80" s="9"/>
      <c r="M80" s="9"/>
      <c r="N80" s="9"/>
      <c r="O80" s="9"/>
      <c r="P80" s="9"/>
      <c r="Q80" s="12"/>
      <c r="R80" s="12"/>
      <c r="S80" s="12"/>
      <c r="T80" s="12"/>
      <c r="U80" s="12"/>
      <c r="V80" s="12"/>
      <c r="W80" s="10"/>
      <c r="X80" s="9"/>
      <c r="Y80" s="10"/>
      <c r="Z80" s="11"/>
      <c r="AA80" s="10"/>
      <c r="AB80" s="10"/>
      <c r="AC80" s="11"/>
      <c r="AD80" s="10"/>
      <c r="AE80" s="11"/>
      <c r="AF80" s="10"/>
      <c r="AG80" s="10"/>
      <c r="AH80" s="10"/>
    </row>
    <row r="81" spans="1:34" x14ac:dyDescent="0.25">
      <c r="A81" s="9"/>
      <c r="B81" s="9"/>
      <c r="C81" s="10"/>
      <c r="D81" s="9"/>
      <c r="E81" s="9"/>
      <c r="F81" s="9"/>
      <c r="G81" s="10"/>
      <c r="H81" s="9"/>
      <c r="I81" s="9"/>
      <c r="J81" s="9"/>
      <c r="K81" s="9"/>
      <c r="L81" s="9"/>
      <c r="M81" s="9"/>
      <c r="N81" s="9"/>
      <c r="O81" s="9"/>
      <c r="P81" s="9"/>
      <c r="Q81" s="12"/>
      <c r="R81" s="12"/>
      <c r="S81" s="12"/>
      <c r="T81" s="12"/>
      <c r="U81" s="12"/>
      <c r="V81" s="12"/>
      <c r="W81" s="10"/>
      <c r="X81" s="9"/>
      <c r="Y81" s="10"/>
      <c r="Z81" s="11"/>
      <c r="AA81" s="10"/>
      <c r="AB81" s="10"/>
      <c r="AC81" s="11"/>
      <c r="AD81" s="10"/>
      <c r="AE81" s="11"/>
      <c r="AF81" s="10"/>
      <c r="AG81" s="10"/>
      <c r="AH81" s="10"/>
    </row>
    <row r="82" spans="1:34" x14ac:dyDescent="0.25">
      <c r="A82" s="9"/>
      <c r="B82" s="9"/>
      <c r="C82" s="10"/>
      <c r="D82" s="9"/>
      <c r="E82" s="9"/>
      <c r="F82" s="9"/>
      <c r="G82" s="10"/>
      <c r="H82" s="9"/>
      <c r="I82" s="9"/>
      <c r="J82" s="9"/>
      <c r="K82" s="9"/>
      <c r="L82" s="9"/>
      <c r="M82" s="9"/>
      <c r="N82" s="9"/>
      <c r="O82" s="9"/>
      <c r="P82" s="9"/>
      <c r="Q82" s="12"/>
      <c r="R82" s="12"/>
      <c r="S82" s="12"/>
      <c r="T82" s="12"/>
      <c r="U82" s="12"/>
      <c r="V82" s="12"/>
      <c r="W82" s="10"/>
      <c r="X82" s="9"/>
      <c r="Y82" s="10"/>
      <c r="Z82" s="11"/>
      <c r="AA82" s="10"/>
      <c r="AB82" s="10"/>
      <c r="AC82" s="11"/>
      <c r="AD82" s="10"/>
      <c r="AE82" s="11"/>
      <c r="AF82" s="10"/>
      <c r="AG82" s="10"/>
      <c r="AH82" s="10"/>
    </row>
    <row r="83" spans="1:34" x14ac:dyDescent="0.25">
      <c r="A83" s="9"/>
      <c r="B83" s="9"/>
      <c r="C83" s="10"/>
      <c r="D83" s="9"/>
      <c r="E83" s="9"/>
      <c r="F83" s="9"/>
      <c r="G83" s="10"/>
      <c r="H83" s="9"/>
      <c r="I83" s="9"/>
      <c r="J83" s="9"/>
      <c r="K83" s="9"/>
      <c r="L83" s="9"/>
      <c r="M83" s="9"/>
      <c r="N83" s="9"/>
      <c r="O83" s="9"/>
      <c r="P83" s="9"/>
      <c r="Q83" s="12"/>
      <c r="R83" s="12"/>
      <c r="S83" s="12"/>
      <c r="T83" s="12"/>
      <c r="U83" s="12"/>
      <c r="V83" s="12"/>
      <c r="W83" s="10"/>
      <c r="X83" s="9"/>
      <c r="Y83" s="10"/>
      <c r="Z83" s="11"/>
      <c r="AA83" s="10"/>
      <c r="AB83" s="10"/>
      <c r="AC83" s="11"/>
      <c r="AD83" s="10"/>
      <c r="AE83" s="11"/>
      <c r="AF83" s="10"/>
      <c r="AG83" s="10"/>
      <c r="AH83" s="10"/>
    </row>
    <row r="84" spans="1:34" x14ac:dyDescent="0.25">
      <c r="A84" s="9"/>
      <c r="B84" s="9"/>
      <c r="C84" s="10"/>
      <c r="D84" s="9"/>
      <c r="E84" s="9"/>
      <c r="F84" s="9"/>
      <c r="G84" s="10"/>
      <c r="H84" s="9"/>
      <c r="I84" s="9"/>
      <c r="J84" s="9"/>
      <c r="K84" s="9"/>
      <c r="L84" s="9"/>
      <c r="M84" s="9"/>
      <c r="N84" s="9"/>
      <c r="O84" s="9"/>
      <c r="P84" s="9"/>
      <c r="Q84" s="12"/>
      <c r="R84" s="12"/>
      <c r="S84" s="12"/>
      <c r="T84" s="12"/>
      <c r="U84" s="12"/>
      <c r="V84" s="11"/>
      <c r="W84" s="10"/>
      <c r="X84" s="9"/>
      <c r="Y84" s="10"/>
      <c r="Z84" s="11"/>
      <c r="AA84" s="10"/>
      <c r="AB84" s="10"/>
      <c r="AC84" s="11"/>
      <c r="AD84" s="10"/>
      <c r="AE84" s="11"/>
      <c r="AF84" s="10"/>
      <c r="AG84" s="10"/>
      <c r="AH84" s="11"/>
    </row>
    <row r="85" spans="1:34" x14ac:dyDescent="0.25">
      <c r="A85" s="9"/>
      <c r="B85" s="9"/>
      <c r="C85" s="10"/>
      <c r="D85" s="9"/>
      <c r="E85" s="9"/>
      <c r="F85" s="9"/>
      <c r="G85" s="10"/>
      <c r="H85" s="9"/>
      <c r="I85" s="9"/>
      <c r="J85" s="9"/>
      <c r="K85" s="9"/>
      <c r="L85" s="9"/>
      <c r="M85" s="9"/>
      <c r="N85" s="9"/>
      <c r="O85" s="9"/>
      <c r="P85" s="9"/>
      <c r="Q85" s="12"/>
      <c r="R85" s="12"/>
      <c r="S85" s="12"/>
      <c r="T85" s="12"/>
      <c r="U85" s="12"/>
      <c r="V85" s="12"/>
      <c r="W85" s="10"/>
      <c r="X85" s="9"/>
      <c r="Y85" s="10"/>
      <c r="Z85" s="11"/>
      <c r="AA85" s="10"/>
      <c r="AB85" s="10"/>
      <c r="AC85" s="11"/>
      <c r="AD85" s="10"/>
      <c r="AE85" s="11"/>
      <c r="AF85" s="10"/>
      <c r="AG85" s="10"/>
      <c r="AH85" s="10"/>
    </row>
    <row r="86" spans="1:34" x14ac:dyDescent="0.25">
      <c r="A86" s="9"/>
      <c r="B86" s="9"/>
      <c r="C86" s="10"/>
      <c r="D86" s="9"/>
      <c r="E86" s="9"/>
      <c r="F86" s="9"/>
      <c r="G86" s="10"/>
      <c r="H86" s="9"/>
      <c r="I86" s="9"/>
      <c r="J86" s="9"/>
      <c r="K86" s="9"/>
      <c r="L86" s="9"/>
      <c r="M86" s="9"/>
      <c r="N86" s="9"/>
      <c r="O86" s="9"/>
      <c r="P86" s="9"/>
      <c r="Q86" s="12"/>
      <c r="R86" s="12"/>
      <c r="S86" s="12"/>
      <c r="T86" s="12"/>
      <c r="U86" s="11"/>
      <c r="V86" s="12"/>
      <c r="W86" s="10"/>
      <c r="X86" s="9"/>
      <c r="Y86" s="10"/>
      <c r="Z86" s="11"/>
      <c r="AA86" s="10"/>
      <c r="AB86" s="10"/>
      <c r="AC86" s="11"/>
      <c r="AD86" s="10"/>
      <c r="AE86" s="11"/>
      <c r="AF86" s="10"/>
      <c r="AG86" s="10"/>
      <c r="AH86" s="10"/>
    </row>
    <row r="87" spans="1:34" x14ac:dyDescent="0.25">
      <c r="A87" s="9"/>
      <c r="B87" s="9"/>
      <c r="C87" s="10"/>
      <c r="D87" s="9"/>
      <c r="E87" s="9"/>
      <c r="F87" s="9"/>
      <c r="G87" s="10"/>
      <c r="H87" s="9"/>
      <c r="I87" s="9"/>
      <c r="J87" s="9"/>
      <c r="K87" s="9"/>
      <c r="L87" s="9"/>
      <c r="M87" s="9"/>
      <c r="N87" s="9"/>
      <c r="O87" s="9"/>
      <c r="P87" s="9"/>
      <c r="Q87" s="12"/>
      <c r="R87" s="12"/>
      <c r="S87" s="12"/>
      <c r="T87" s="12"/>
      <c r="U87" s="12"/>
      <c r="V87" s="12"/>
      <c r="W87" s="10"/>
      <c r="X87" s="9"/>
      <c r="Y87" s="10"/>
      <c r="Z87" s="11"/>
      <c r="AA87" s="10"/>
      <c r="AB87" s="10"/>
      <c r="AC87" s="11"/>
      <c r="AD87" s="10"/>
      <c r="AE87" s="11"/>
      <c r="AF87" s="10"/>
      <c r="AG87" s="10"/>
      <c r="AH87" s="10"/>
    </row>
    <row r="88" spans="1:34" x14ac:dyDescent="0.25">
      <c r="A88" s="9"/>
      <c r="B88" s="9"/>
      <c r="C88" s="10"/>
      <c r="D88" s="9"/>
      <c r="E88" s="9"/>
      <c r="F88" s="9"/>
      <c r="G88" s="10"/>
      <c r="H88" s="9"/>
      <c r="I88" s="9"/>
      <c r="J88" s="9"/>
      <c r="K88" s="9"/>
      <c r="L88" s="9"/>
      <c r="M88" s="9"/>
      <c r="N88" s="9"/>
      <c r="O88" s="9"/>
      <c r="P88" s="9"/>
      <c r="Q88" s="12"/>
      <c r="R88" s="12"/>
      <c r="S88" s="12"/>
      <c r="T88" s="12"/>
      <c r="U88" s="12"/>
      <c r="V88" s="12"/>
      <c r="W88" s="10"/>
      <c r="X88" s="9"/>
      <c r="Y88" s="10"/>
      <c r="Z88" s="11"/>
      <c r="AA88" s="10"/>
      <c r="AB88" s="10"/>
      <c r="AC88" s="11"/>
      <c r="AD88" s="10"/>
      <c r="AE88" s="11"/>
      <c r="AF88" s="10"/>
      <c r="AG88" s="10"/>
      <c r="AH88" s="10"/>
    </row>
    <row r="89" spans="1:34" x14ac:dyDescent="0.25">
      <c r="A89" s="9"/>
      <c r="B89" s="9"/>
      <c r="C89" s="10"/>
      <c r="D89" s="9"/>
      <c r="E89" s="9"/>
      <c r="F89" s="9"/>
      <c r="G89" s="10"/>
      <c r="H89" s="9"/>
      <c r="I89" s="9"/>
      <c r="J89" s="9"/>
      <c r="K89" s="9"/>
      <c r="L89" s="9"/>
      <c r="M89" s="9"/>
      <c r="N89" s="9"/>
      <c r="O89" s="9"/>
      <c r="P89" s="9"/>
      <c r="Q89" s="12"/>
      <c r="R89" s="12"/>
      <c r="S89" s="12"/>
      <c r="T89" s="12"/>
      <c r="U89" s="12"/>
      <c r="V89" s="12"/>
      <c r="W89" s="10"/>
      <c r="X89" s="9"/>
      <c r="Y89" s="10"/>
      <c r="Z89" s="11"/>
      <c r="AA89" s="10"/>
      <c r="AB89" s="10"/>
      <c r="AC89" s="11"/>
      <c r="AD89" s="10"/>
      <c r="AE89" s="11"/>
      <c r="AF89" s="10"/>
      <c r="AG89" s="10"/>
      <c r="AH89" s="10"/>
    </row>
    <row r="90" spans="1:34" x14ac:dyDescent="0.25">
      <c r="A90" s="9"/>
      <c r="B90" s="9"/>
      <c r="C90" s="10"/>
      <c r="D90" s="9"/>
      <c r="E90" s="9"/>
      <c r="F90" s="9"/>
      <c r="G90" s="10"/>
      <c r="H90" s="9"/>
      <c r="I90" s="9"/>
      <c r="J90" s="9"/>
      <c r="K90" s="9"/>
      <c r="L90" s="9"/>
      <c r="M90" s="9"/>
      <c r="N90" s="9"/>
      <c r="O90" s="9"/>
      <c r="P90" s="9"/>
      <c r="Q90" s="12"/>
      <c r="R90" s="12"/>
      <c r="S90" s="12"/>
      <c r="T90" s="12"/>
      <c r="U90" s="12"/>
      <c r="V90" s="12"/>
      <c r="W90" s="10"/>
      <c r="X90" s="9"/>
      <c r="Y90" s="10"/>
      <c r="Z90" s="11"/>
      <c r="AA90" s="10"/>
      <c r="AB90" s="10"/>
      <c r="AC90" s="11"/>
      <c r="AD90" s="10"/>
      <c r="AE90" s="11"/>
      <c r="AF90" s="10"/>
      <c r="AG90" s="10"/>
      <c r="AH90" s="10"/>
    </row>
    <row r="91" spans="1:34" x14ac:dyDescent="0.25">
      <c r="A91" s="9"/>
      <c r="B91" s="9"/>
      <c r="C91" s="10"/>
      <c r="D91" s="9"/>
      <c r="E91" s="9"/>
      <c r="F91" s="9"/>
      <c r="G91" s="10"/>
      <c r="H91" s="9"/>
      <c r="I91" s="9"/>
      <c r="J91" s="9"/>
      <c r="K91" s="9"/>
      <c r="L91" s="9"/>
      <c r="M91" s="9"/>
      <c r="N91" s="9"/>
      <c r="O91" s="9"/>
      <c r="P91" s="9"/>
      <c r="Q91" s="12"/>
      <c r="R91" s="12"/>
      <c r="S91" s="12"/>
      <c r="T91" s="12"/>
      <c r="U91" s="12"/>
      <c r="V91" s="12"/>
      <c r="W91" s="10"/>
      <c r="X91" s="9"/>
      <c r="Y91" s="10"/>
      <c r="Z91" s="11"/>
      <c r="AA91" s="10"/>
      <c r="AB91" s="10"/>
      <c r="AC91" s="11"/>
      <c r="AD91" s="10"/>
      <c r="AE91" s="11"/>
      <c r="AF91" s="10"/>
      <c r="AG91" s="10"/>
      <c r="AH91" s="10"/>
    </row>
    <row r="92" spans="1:34" x14ac:dyDescent="0.25">
      <c r="A92" s="9"/>
      <c r="B92" s="9"/>
      <c r="C92" s="10"/>
      <c r="D92" s="9"/>
      <c r="E92" s="9"/>
      <c r="F92" s="9"/>
      <c r="G92" s="10"/>
      <c r="H92" s="9"/>
      <c r="I92" s="9"/>
      <c r="J92" s="9"/>
      <c r="K92" s="9"/>
      <c r="L92" s="9"/>
      <c r="M92" s="9"/>
      <c r="N92" s="9"/>
      <c r="O92" s="9"/>
      <c r="P92" s="9"/>
      <c r="Q92" s="12"/>
      <c r="R92" s="12"/>
      <c r="S92" s="12"/>
      <c r="T92" s="12"/>
      <c r="U92" s="12"/>
      <c r="V92" s="12"/>
      <c r="W92" s="10"/>
      <c r="X92" s="9"/>
      <c r="Y92" s="10"/>
      <c r="Z92" s="11"/>
      <c r="AA92" s="10"/>
      <c r="AB92" s="10"/>
      <c r="AC92" s="11"/>
      <c r="AD92" s="10"/>
      <c r="AE92" s="11"/>
      <c r="AF92" s="10"/>
      <c r="AG92" s="10"/>
      <c r="AH92" s="10"/>
    </row>
    <row r="93" spans="1:34" x14ac:dyDescent="0.25">
      <c r="A93" s="9"/>
      <c r="B93" s="9"/>
      <c r="C93" s="10"/>
      <c r="D93" s="9"/>
      <c r="E93" s="9"/>
      <c r="F93" s="9"/>
      <c r="G93" s="10"/>
      <c r="H93" s="9"/>
      <c r="I93" s="9"/>
      <c r="J93" s="9"/>
      <c r="K93" s="9"/>
      <c r="L93" s="9"/>
      <c r="M93" s="9"/>
      <c r="N93" s="9"/>
      <c r="O93" s="9"/>
      <c r="P93" s="9"/>
      <c r="Q93" s="12"/>
      <c r="R93" s="12"/>
      <c r="S93" s="12"/>
      <c r="T93" s="12"/>
      <c r="U93" s="12"/>
      <c r="V93" s="12"/>
      <c r="W93" s="10"/>
      <c r="X93" s="9"/>
      <c r="Y93" s="10"/>
      <c r="Z93" s="11"/>
      <c r="AA93" s="10"/>
      <c r="AB93" s="10"/>
      <c r="AC93" s="11"/>
      <c r="AD93" s="10"/>
      <c r="AE93" s="11"/>
      <c r="AF93" s="10"/>
      <c r="AG93" s="10"/>
      <c r="AH93" s="10"/>
    </row>
    <row r="94" spans="1:34" x14ac:dyDescent="0.25">
      <c r="A94" s="9"/>
      <c r="B94" s="9"/>
      <c r="C94" s="10"/>
      <c r="D94" s="9"/>
      <c r="E94" s="9"/>
      <c r="F94" s="9"/>
      <c r="G94" s="10"/>
      <c r="H94" s="9"/>
      <c r="I94" s="9"/>
      <c r="J94" s="9"/>
      <c r="K94" s="9"/>
      <c r="L94" s="9"/>
      <c r="M94" s="9"/>
      <c r="N94" s="9"/>
      <c r="O94" s="9"/>
      <c r="P94" s="9"/>
      <c r="Q94" s="12"/>
      <c r="R94" s="12"/>
      <c r="S94" s="12"/>
      <c r="T94" s="12"/>
      <c r="U94" s="12"/>
      <c r="V94" s="12"/>
      <c r="W94" s="10"/>
      <c r="X94" s="9"/>
      <c r="Y94" s="10"/>
      <c r="Z94" s="11"/>
      <c r="AA94" s="10"/>
      <c r="AB94" s="10"/>
      <c r="AC94" s="11"/>
      <c r="AD94" s="10"/>
      <c r="AE94" s="11"/>
      <c r="AF94" s="10"/>
      <c r="AG94" s="10"/>
      <c r="AH94" s="10"/>
    </row>
    <row r="95" spans="1:34" x14ac:dyDescent="0.25">
      <c r="A95" s="9"/>
      <c r="B95" s="9"/>
      <c r="C95" s="10"/>
      <c r="D95" s="9"/>
      <c r="E95" s="9"/>
      <c r="F95" s="9"/>
      <c r="G95" s="10"/>
      <c r="H95" s="9"/>
      <c r="I95" s="9"/>
      <c r="J95" s="9"/>
      <c r="K95" s="9"/>
      <c r="L95" s="9"/>
      <c r="M95" s="9"/>
      <c r="N95" s="9"/>
      <c r="O95" s="9"/>
      <c r="P95" s="9"/>
      <c r="Q95" s="12"/>
      <c r="R95" s="12"/>
      <c r="S95" s="12"/>
      <c r="T95" s="12"/>
      <c r="U95" s="12"/>
      <c r="V95" s="12"/>
      <c r="W95" s="10"/>
      <c r="X95" s="9"/>
      <c r="Y95" s="10"/>
      <c r="Z95" s="11"/>
      <c r="AA95" s="10"/>
      <c r="AB95" s="10"/>
      <c r="AC95" s="11"/>
      <c r="AD95" s="10"/>
      <c r="AE95" s="11"/>
      <c r="AF95" s="10"/>
      <c r="AG95" s="10"/>
      <c r="AH95" s="10"/>
    </row>
    <row r="96" spans="1:34" x14ac:dyDescent="0.25">
      <c r="A96" s="9"/>
      <c r="B96" s="9"/>
      <c r="C96" s="10"/>
      <c r="D96" s="9"/>
      <c r="E96" s="9"/>
      <c r="F96" s="9"/>
      <c r="G96" s="10"/>
      <c r="H96" s="9"/>
      <c r="I96" s="9"/>
      <c r="J96" s="9"/>
      <c r="K96" s="9"/>
      <c r="L96" s="9"/>
      <c r="M96" s="9"/>
      <c r="N96" s="9"/>
      <c r="O96" s="9"/>
      <c r="P96" s="9"/>
      <c r="Q96" s="12"/>
      <c r="R96" s="12"/>
      <c r="S96" s="12"/>
      <c r="T96" s="12"/>
      <c r="U96" s="12"/>
      <c r="V96" s="12"/>
      <c r="W96" s="10"/>
      <c r="X96" s="9"/>
      <c r="Y96" s="10"/>
      <c r="Z96" s="11"/>
      <c r="AA96" s="10"/>
      <c r="AB96" s="10"/>
      <c r="AC96" s="11"/>
      <c r="AD96" s="10"/>
      <c r="AE96" s="11"/>
      <c r="AF96" s="10"/>
      <c r="AG96" s="10"/>
      <c r="AH96" s="10"/>
    </row>
    <row r="97" spans="1:34" x14ac:dyDescent="0.25">
      <c r="A97" s="9"/>
      <c r="B97" s="9"/>
      <c r="C97" s="10"/>
      <c r="D97" s="9"/>
      <c r="E97" s="9"/>
      <c r="F97" s="9"/>
      <c r="G97" s="10"/>
      <c r="H97" s="9"/>
      <c r="I97" s="9"/>
      <c r="J97" s="9"/>
      <c r="K97" s="9"/>
      <c r="L97" s="9"/>
      <c r="M97" s="9"/>
      <c r="N97" s="9"/>
      <c r="O97" s="9"/>
      <c r="P97" s="9"/>
      <c r="Q97" s="12"/>
      <c r="R97" s="12"/>
      <c r="S97" s="12"/>
      <c r="T97" s="12"/>
      <c r="U97" s="12"/>
      <c r="V97" s="12"/>
      <c r="W97" s="10"/>
      <c r="X97" s="9"/>
      <c r="Y97" s="10"/>
      <c r="Z97" s="11"/>
      <c r="AA97" s="10"/>
      <c r="AB97" s="10"/>
      <c r="AC97" s="11"/>
      <c r="AD97" s="10"/>
      <c r="AE97" s="11"/>
      <c r="AF97" s="10"/>
      <c r="AG97" s="10"/>
      <c r="AH97" s="10"/>
    </row>
    <row r="98" spans="1:34" x14ac:dyDescent="0.25">
      <c r="A98" s="9"/>
      <c r="B98" s="9"/>
      <c r="C98" s="10"/>
      <c r="D98" s="9"/>
      <c r="E98" s="9"/>
      <c r="F98" s="9"/>
      <c r="G98" s="10"/>
      <c r="H98" s="9"/>
      <c r="I98" s="9"/>
      <c r="J98" s="9"/>
      <c r="K98" s="9"/>
      <c r="L98" s="9"/>
      <c r="M98" s="9"/>
      <c r="N98" s="9"/>
      <c r="O98" s="9"/>
      <c r="P98" s="9"/>
      <c r="Q98" s="12"/>
      <c r="R98" s="12"/>
      <c r="S98" s="12"/>
      <c r="T98" s="12"/>
      <c r="U98" s="12"/>
      <c r="V98" s="12"/>
      <c r="W98" s="10"/>
      <c r="X98" s="9"/>
      <c r="Y98" s="10"/>
      <c r="Z98" s="11"/>
      <c r="AA98" s="10"/>
      <c r="AB98" s="10"/>
      <c r="AC98" s="11"/>
      <c r="AD98" s="10"/>
      <c r="AE98" s="11"/>
      <c r="AF98" s="10"/>
      <c r="AG98" s="10"/>
      <c r="AH98" s="10"/>
    </row>
    <row r="99" spans="1:34" x14ac:dyDescent="0.25">
      <c r="A99" s="9"/>
      <c r="B99" s="9"/>
      <c r="C99" s="10"/>
      <c r="D99" s="9"/>
      <c r="E99" s="9"/>
      <c r="F99" s="9"/>
      <c r="G99" s="10"/>
      <c r="H99" s="9"/>
      <c r="I99" s="9"/>
      <c r="J99" s="9"/>
      <c r="K99" s="9"/>
      <c r="L99" s="9"/>
      <c r="M99" s="9"/>
      <c r="N99" s="9"/>
      <c r="O99" s="9"/>
      <c r="P99" s="9"/>
      <c r="Q99" s="12"/>
      <c r="R99" s="12"/>
      <c r="S99" s="12"/>
      <c r="T99" s="12"/>
      <c r="U99" s="12"/>
      <c r="V99" s="12"/>
      <c r="W99" s="10"/>
      <c r="X99" s="9"/>
      <c r="Y99" s="10"/>
      <c r="Z99" s="11"/>
      <c r="AA99" s="10"/>
      <c r="AB99" s="10"/>
      <c r="AC99" s="11"/>
      <c r="AD99" s="10"/>
      <c r="AE99" s="11"/>
      <c r="AF99" s="10"/>
      <c r="AG99" s="10"/>
      <c r="AH99" s="10"/>
    </row>
    <row r="100" spans="1:34" x14ac:dyDescent="0.25">
      <c r="A100" s="9"/>
      <c r="B100" s="9"/>
      <c r="C100" s="10"/>
      <c r="D100" s="9"/>
      <c r="E100" s="9"/>
      <c r="F100" s="9"/>
      <c r="G100" s="10"/>
      <c r="H100" s="9"/>
      <c r="I100" s="9"/>
      <c r="J100" s="9"/>
      <c r="K100" s="9"/>
      <c r="L100" s="9"/>
      <c r="M100" s="9"/>
      <c r="N100" s="9"/>
      <c r="O100" s="9"/>
      <c r="P100" s="9"/>
      <c r="Q100" s="12"/>
      <c r="R100" s="12"/>
      <c r="S100" s="12"/>
      <c r="T100" s="12"/>
      <c r="U100" s="12"/>
      <c r="V100" s="12"/>
      <c r="W100" s="10"/>
      <c r="X100" s="9"/>
      <c r="Y100" s="10"/>
      <c r="Z100" s="11"/>
      <c r="AA100" s="10"/>
      <c r="AB100" s="10"/>
      <c r="AC100" s="11"/>
      <c r="AD100" s="10"/>
      <c r="AE100" s="11"/>
      <c r="AF100" s="10"/>
      <c r="AG100" s="10"/>
      <c r="AH100" s="10"/>
    </row>
    <row r="101" spans="1:34" x14ac:dyDescent="0.25">
      <c r="A101" s="9"/>
      <c r="B101" s="9"/>
      <c r="C101" s="10"/>
      <c r="D101" s="9"/>
      <c r="E101" s="9"/>
      <c r="F101" s="9"/>
      <c r="G101" s="10"/>
      <c r="H101" s="9"/>
      <c r="I101" s="9"/>
      <c r="J101" s="9"/>
      <c r="K101" s="9"/>
      <c r="L101" s="9"/>
      <c r="M101" s="9"/>
      <c r="N101" s="9"/>
      <c r="O101" s="9"/>
      <c r="P101" s="9"/>
      <c r="Q101" s="12"/>
      <c r="R101" s="12"/>
      <c r="S101" s="12"/>
      <c r="T101" s="12"/>
      <c r="U101" s="12"/>
      <c r="V101" s="12"/>
      <c r="W101" s="10"/>
      <c r="X101" s="9"/>
      <c r="Y101" s="10"/>
      <c r="Z101" s="11"/>
      <c r="AA101" s="10"/>
      <c r="AB101" s="10"/>
      <c r="AC101" s="11"/>
      <c r="AD101" s="10"/>
      <c r="AE101" s="11"/>
      <c r="AF101" s="10"/>
      <c r="AG101" s="10"/>
      <c r="AH101" s="10"/>
    </row>
    <row r="102" spans="1:34" x14ac:dyDescent="0.25">
      <c r="A102" s="9"/>
      <c r="B102" s="9"/>
      <c r="C102" s="10"/>
      <c r="D102" s="9"/>
      <c r="E102" s="9"/>
      <c r="F102" s="9"/>
      <c r="G102" s="10"/>
      <c r="H102" s="9"/>
      <c r="I102" s="9"/>
      <c r="J102" s="9"/>
      <c r="K102" s="9"/>
      <c r="L102" s="9"/>
      <c r="M102" s="9"/>
      <c r="N102" s="9"/>
      <c r="O102" s="9"/>
      <c r="P102" s="9"/>
      <c r="Q102" s="12"/>
      <c r="R102" s="12"/>
      <c r="S102" s="12"/>
      <c r="T102" s="12"/>
      <c r="U102" s="12"/>
      <c r="V102" s="12"/>
      <c r="W102" s="10"/>
      <c r="X102" s="9"/>
      <c r="Y102" s="10"/>
      <c r="Z102" s="11"/>
      <c r="AA102" s="10"/>
      <c r="AB102" s="10"/>
      <c r="AC102" s="11"/>
      <c r="AD102" s="10"/>
      <c r="AE102" s="11"/>
      <c r="AF102" s="10"/>
      <c r="AG102" s="10"/>
      <c r="AH102" s="10"/>
    </row>
    <row r="103" spans="1:34" x14ac:dyDescent="0.25">
      <c r="A103" s="9"/>
      <c r="B103" s="9"/>
      <c r="C103" s="10"/>
      <c r="D103" s="9"/>
      <c r="E103" s="9"/>
      <c r="F103" s="9"/>
      <c r="G103" s="10"/>
      <c r="H103" s="9"/>
      <c r="I103" s="9"/>
      <c r="J103" s="9"/>
      <c r="K103" s="9"/>
      <c r="L103" s="9"/>
      <c r="M103" s="9"/>
      <c r="N103" s="9"/>
      <c r="O103" s="9"/>
      <c r="P103" s="9"/>
      <c r="Q103" s="12"/>
      <c r="R103" s="12"/>
      <c r="S103" s="12"/>
      <c r="T103" s="12"/>
      <c r="U103" s="12"/>
      <c r="V103" s="12"/>
      <c r="W103" s="10"/>
      <c r="X103" s="9"/>
      <c r="Y103" s="10"/>
      <c r="Z103" s="11"/>
      <c r="AA103" s="10"/>
      <c r="AB103" s="10"/>
      <c r="AC103" s="11"/>
      <c r="AD103" s="10"/>
      <c r="AE103" s="11"/>
      <c r="AF103" s="10"/>
      <c r="AG103" s="10"/>
      <c r="AH103" s="10"/>
    </row>
    <row r="104" spans="1:34" x14ac:dyDescent="0.25">
      <c r="A104" s="9"/>
      <c r="B104" s="9"/>
      <c r="C104" s="10"/>
      <c r="D104" s="9"/>
      <c r="E104" s="9"/>
      <c r="F104" s="9"/>
      <c r="G104" s="10"/>
      <c r="H104" s="9"/>
      <c r="I104" s="9"/>
      <c r="J104" s="9"/>
      <c r="K104" s="9"/>
      <c r="L104" s="9"/>
      <c r="M104" s="9"/>
      <c r="N104" s="9"/>
      <c r="O104" s="9"/>
      <c r="P104" s="9"/>
      <c r="Q104" s="12"/>
      <c r="R104" s="12"/>
      <c r="S104" s="12"/>
      <c r="T104" s="12"/>
      <c r="U104" s="12"/>
      <c r="V104" s="12"/>
      <c r="W104" s="10"/>
      <c r="X104" s="9"/>
      <c r="Y104" s="10"/>
      <c r="Z104" s="11"/>
      <c r="AA104" s="10"/>
      <c r="AB104" s="10"/>
      <c r="AC104" s="11"/>
      <c r="AD104" s="10"/>
      <c r="AE104" s="11"/>
      <c r="AF104" s="10"/>
      <c r="AG104" s="10"/>
      <c r="AH104" s="10"/>
    </row>
    <row r="105" spans="1:34" x14ac:dyDescent="0.25">
      <c r="A105" s="9"/>
      <c r="B105" s="9"/>
      <c r="C105" s="10"/>
      <c r="D105" s="9"/>
      <c r="E105" s="9"/>
      <c r="F105" s="9"/>
      <c r="G105" s="10"/>
      <c r="H105" s="9"/>
      <c r="I105" s="9"/>
      <c r="J105" s="9"/>
      <c r="K105" s="9"/>
      <c r="L105" s="9"/>
      <c r="M105" s="9"/>
      <c r="N105" s="9"/>
      <c r="O105" s="9"/>
      <c r="P105" s="9"/>
      <c r="Q105" s="12"/>
      <c r="R105" s="12"/>
      <c r="S105" s="12"/>
      <c r="T105" s="12"/>
      <c r="U105" s="12"/>
      <c r="V105" s="12"/>
      <c r="W105" s="10"/>
      <c r="X105" s="9"/>
      <c r="Y105" s="10"/>
      <c r="Z105" s="11"/>
      <c r="AA105" s="10"/>
      <c r="AB105" s="10"/>
      <c r="AC105" s="11"/>
      <c r="AD105" s="10"/>
      <c r="AE105" s="11"/>
      <c r="AF105" s="10"/>
      <c r="AG105" s="10"/>
      <c r="AH105" s="10"/>
    </row>
    <row r="106" spans="1:34" x14ac:dyDescent="0.25">
      <c r="A106" s="9"/>
      <c r="B106" s="9"/>
      <c r="C106" s="10"/>
      <c r="D106" s="9"/>
      <c r="E106" s="9"/>
      <c r="F106" s="9"/>
      <c r="G106" s="10"/>
      <c r="H106" s="9"/>
      <c r="I106" s="9"/>
      <c r="J106" s="9"/>
      <c r="K106" s="9"/>
      <c r="L106" s="9"/>
      <c r="M106" s="9"/>
      <c r="N106" s="9"/>
      <c r="O106" s="9"/>
      <c r="P106" s="9"/>
      <c r="Q106" s="12"/>
      <c r="R106" s="12"/>
      <c r="S106" s="12"/>
      <c r="T106" s="12"/>
      <c r="U106" s="12"/>
      <c r="V106" s="12"/>
      <c r="W106" s="10"/>
      <c r="X106" s="9"/>
      <c r="Y106" s="10"/>
      <c r="Z106" s="11"/>
      <c r="AA106" s="10"/>
      <c r="AB106" s="10"/>
      <c r="AC106" s="11"/>
      <c r="AD106" s="10"/>
      <c r="AE106" s="11"/>
      <c r="AF106" s="10"/>
      <c r="AG106" s="10"/>
      <c r="AH106" s="10"/>
    </row>
    <row r="107" spans="1:34" x14ac:dyDescent="0.25">
      <c r="A107" s="9"/>
      <c r="B107" s="9"/>
      <c r="C107" s="10"/>
      <c r="D107" s="9"/>
      <c r="E107" s="9"/>
      <c r="F107" s="9"/>
      <c r="G107" s="10"/>
      <c r="H107" s="9"/>
      <c r="I107" s="9"/>
      <c r="J107" s="9"/>
      <c r="K107" s="9"/>
      <c r="L107" s="9"/>
      <c r="M107" s="9"/>
      <c r="N107" s="9"/>
      <c r="O107" s="9"/>
      <c r="P107" s="9"/>
      <c r="Q107" s="12"/>
      <c r="R107" s="12"/>
      <c r="S107" s="12"/>
      <c r="T107" s="12"/>
      <c r="U107" s="12"/>
      <c r="V107" s="12"/>
      <c r="W107" s="10"/>
      <c r="X107" s="9"/>
      <c r="Y107" s="10"/>
      <c r="Z107" s="11"/>
      <c r="AA107" s="10"/>
      <c r="AB107" s="10"/>
      <c r="AC107" s="11"/>
      <c r="AD107" s="10"/>
      <c r="AE107" s="11"/>
      <c r="AF107" s="10"/>
      <c r="AG107" s="10"/>
      <c r="AH107" s="10"/>
    </row>
    <row r="108" spans="1:34" x14ac:dyDescent="0.25">
      <c r="A108" s="9"/>
      <c r="B108" s="9"/>
      <c r="C108" s="10"/>
      <c r="D108" s="9"/>
      <c r="E108" s="9"/>
      <c r="F108" s="9"/>
      <c r="G108" s="10"/>
      <c r="H108" s="9"/>
      <c r="I108" s="9"/>
      <c r="J108" s="9"/>
      <c r="K108" s="9"/>
      <c r="L108" s="9"/>
      <c r="M108" s="9"/>
      <c r="N108" s="9"/>
      <c r="O108" s="9"/>
      <c r="P108" s="9"/>
      <c r="Q108" s="12"/>
      <c r="R108" s="12"/>
      <c r="S108" s="12"/>
      <c r="T108" s="12"/>
      <c r="U108" s="12"/>
      <c r="V108" s="12"/>
      <c r="W108" s="10"/>
      <c r="X108" s="9"/>
      <c r="Y108" s="10"/>
      <c r="Z108" s="11"/>
      <c r="AA108" s="10"/>
      <c r="AB108" s="10"/>
      <c r="AC108" s="11"/>
      <c r="AD108" s="10"/>
      <c r="AE108" s="11"/>
      <c r="AF108" s="10"/>
      <c r="AG108" s="10"/>
      <c r="AH108" s="10"/>
    </row>
    <row r="109" spans="1:34" x14ac:dyDescent="0.25">
      <c r="A109" s="9"/>
      <c r="B109" s="9"/>
      <c r="C109" s="10"/>
      <c r="D109" s="9"/>
      <c r="E109" s="9"/>
      <c r="F109" s="9"/>
      <c r="G109" s="10"/>
      <c r="H109" s="9"/>
      <c r="I109" s="9"/>
      <c r="J109" s="9"/>
      <c r="K109" s="9"/>
      <c r="L109" s="9"/>
      <c r="M109" s="9"/>
      <c r="N109" s="9"/>
      <c r="O109" s="9"/>
      <c r="P109" s="9"/>
      <c r="Q109" s="12"/>
      <c r="R109" s="12"/>
      <c r="S109" s="12"/>
      <c r="T109" s="12"/>
      <c r="U109" s="12"/>
      <c r="V109" s="12"/>
      <c r="W109" s="10"/>
      <c r="X109" s="9"/>
      <c r="Y109" s="10"/>
      <c r="Z109" s="11"/>
      <c r="AA109" s="10"/>
      <c r="AB109" s="10"/>
      <c r="AC109" s="11"/>
      <c r="AD109" s="10"/>
      <c r="AE109" s="11"/>
      <c r="AF109" s="10"/>
      <c r="AG109" s="10"/>
      <c r="AH109" s="10"/>
    </row>
    <row r="110" spans="1:34" x14ac:dyDescent="0.25">
      <c r="A110" s="9"/>
      <c r="B110" s="9"/>
      <c r="C110" s="10"/>
      <c r="D110" s="9"/>
      <c r="E110" s="9"/>
      <c r="F110" s="9"/>
      <c r="G110" s="10"/>
      <c r="H110" s="9"/>
      <c r="I110" s="9"/>
      <c r="J110" s="9"/>
      <c r="K110" s="9"/>
      <c r="L110" s="9"/>
      <c r="M110" s="9"/>
      <c r="N110" s="9"/>
      <c r="O110" s="9"/>
      <c r="P110" s="9"/>
      <c r="Q110" s="12"/>
      <c r="R110" s="12"/>
      <c r="S110" s="12"/>
      <c r="T110" s="12"/>
      <c r="U110" s="12"/>
      <c r="V110" s="12"/>
      <c r="W110" s="10"/>
      <c r="X110" s="9"/>
      <c r="Y110" s="10"/>
      <c r="Z110" s="11"/>
      <c r="AA110" s="10"/>
      <c r="AB110" s="10"/>
      <c r="AC110" s="11"/>
      <c r="AD110" s="10"/>
      <c r="AE110" s="11"/>
      <c r="AF110" s="10"/>
      <c r="AG110" s="10"/>
      <c r="AH110" s="10"/>
    </row>
    <row r="111" spans="1:34" x14ac:dyDescent="0.25">
      <c r="A111" s="9"/>
      <c r="B111" s="9"/>
      <c r="C111" s="10"/>
      <c r="D111" s="9"/>
      <c r="E111" s="9"/>
      <c r="F111" s="9"/>
      <c r="G111" s="10"/>
      <c r="H111" s="9"/>
      <c r="I111" s="9"/>
      <c r="J111" s="9"/>
      <c r="K111" s="9"/>
      <c r="L111" s="9"/>
      <c r="M111" s="9"/>
      <c r="N111" s="9"/>
      <c r="O111" s="9"/>
      <c r="P111" s="9"/>
      <c r="Q111" s="12"/>
      <c r="R111" s="12"/>
      <c r="S111" s="12"/>
      <c r="T111" s="12"/>
      <c r="U111" s="12"/>
      <c r="V111" s="12"/>
      <c r="W111" s="10"/>
      <c r="X111" s="9"/>
      <c r="Y111" s="10"/>
      <c r="Z111" s="11"/>
      <c r="AA111" s="10"/>
      <c r="AB111" s="10"/>
      <c r="AC111" s="11"/>
      <c r="AD111" s="10"/>
      <c r="AE111" s="11"/>
      <c r="AF111" s="10"/>
      <c r="AG111" s="10"/>
      <c r="AH111" s="10"/>
    </row>
    <row r="112" spans="1:34" x14ac:dyDescent="0.25">
      <c r="A112" s="9"/>
      <c r="B112" s="9"/>
      <c r="C112" s="10"/>
      <c r="D112" s="9"/>
      <c r="E112" s="9"/>
      <c r="F112" s="9"/>
      <c r="G112" s="10"/>
      <c r="H112" s="9"/>
      <c r="I112" s="9"/>
      <c r="J112" s="9"/>
      <c r="K112" s="9"/>
      <c r="L112" s="9"/>
      <c r="M112" s="9"/>
      <c r="N112" s="9"/>
      <c r="O112" s="9"/>
      <c r="P112" s="9"/>
      <c r="Q112" s="12"/>
      <c r="R112" s="12"/>
      <c r="S112" s="12"/>
      <c r="T112" s="12"/>
      <c r="U112" s="12"/>
      <c r="V112" s="12"/>
      <c r="W112" s="10"/>
      <c r="X112" s="9"/>
      <c r="Y112" s="10"/>
      <c r="Z112" s="11"/>
      <c r="AA112" s="10"/>
      <c r="AB112" s="10"/>
      <c r="AC112" s="11"/>
      <c r="AD112" s="10"/>
      <c r="AE112" s="11"/>
      <c r="AF112" s="10"/>
      <c r="AG112" s="10"/>
      <c r="AH112" s="10"/>
    </row>
    <row r="113" spans="1:34" x14ac:dyDescent="0.25">
      <c r="A113" s="9"/>
      <c r="B113" s="9"/>
      <c r="C113" s="10"/>
      <c r="D113" s="9"/>
      <c r="E113" s="9"/>
      <c r="F113" s="9"/>
      <c r="G113" s="10"/>
      <c r="H113" s="9"/>
      <c r="I113" s="9"/>
      <c r="J113" s="9"/>
      <c r="K113" s="9"/>
      <c r="L113" s="9"/>
      <c r="M113" s="9"/>
      <c r="N113" s="9"/>
      <c r="O113" s="9"/>
      <c r="P113" s="9"/>
      <c r="Q113" s="12"/>
      <c r="R113" s="12"/>
      <c r="S113" s="12"/>
      <c r="T113" s="12"/>
      <c r="U113" s="12"/>
      <c r="V113" s="12"/>
      <c r="W113" s="10"/>
      <c r="X113" s="9"/>
      <c r="Y113" s="10"/>
      <c r="Z113" s="11"/>
      <c r="AA113" s="10"/>
      <c r="AB113" s="10"/>
      <c r="AC113" s="11"/>
      <c r="AD113" s="10"/>
      <c r="AE113" s="11"/>
      <c r="AF113" s="10"/>
      <c r="AG113" s="10"/>
      <c r="AH113" s="10"/>
    </row>
    <row r="114" spans="1:34" x14ac:dyDescent="0.25">
      <c r="A114" s="9"/>
      <c r="B114" s="9"/>
      <c r="C114" s="10"/>
      <c r="D114" s="9"/>
      <c r="E114" s="9"/>
      <c r="F114" s="9"/>
      <c r="G114" s="10"/>
      <c r="H114" s="9"/>
      <c r="I114" s="9"/>
      <c r="J114" s="9"/>
      <c r="K114" s="9"/>
      <c r="L114" s="9"/>
      <c r="M114" s="9"/>
      <c r="N114" s="9"/>
      <c r="O114" s="9"/>
      <c r="P114" s="9"/>
      <c r="Q114" s="12"/>
      <c r="R114" s="12"/>
      <c r="S114" s="12"/>
      <c r="T114" s="12"/>
      <c r="U114" s="12"/>
      <c r="V114" s="12"/>
      <c r="W114" s="10"/>
      <c r="X114" s="9"/>
      <c r="Y114" s="10"/>
      <c r="Z114" s="11"/>
      <c r="AA114" s="10"/>
      <c r="AB114" s="10"/>
      <c r="AC114" s="11"/>
      <c r="AD114" s="10"/>
      <c r="AE114" s="11"/>
      <c r="AF114" s="10"/>
      <c r="AG114" s="10"/>
      <c r="AH114" s="10"/>
    </row>
    <row r="115" spans="1:34" x14ac:dyDescent="0.25">
      <c r="A115" s="9"/>
      <c r="B115" s="9"/>
      <c r="C115" s="10"/>
      <c r="D115" s="9"/>
      <c r="E115" s="9"/>
      <c r="F115" s="9"/>
      <c r="G115" s="10"/>
      <c r="H115" s="9"/>
      <c r="I115" s="9"/>
      <c r="J115" s="9"/>
      <c r="K115" s="9"/>
      <c r="L115" s="9"/>
      <c r="M115" s="9"/>
      <c r="N115" s="9"/>
      <c r="O115" s="9"/>
      <c r="P115" s="9"/>
      <c r="Q115" s="12"/>
      <c r="R115" s="12"/>
      <c r="S115" s="12"/>
      <c r="T115" s="12"/>
      <c r="U115" s="12"/>
      <c r="V115" s="12"/>
      <c r="W115" s="10"/>
      <c r="X115" s="9"/>
      <c r="Y115" s="10"/>
      <c r="Z115" s="11"/>
      <c r="AA115" s="10"/>
      <c r="AB115" s="10"/>
      <c r="AC115" s="11"/>
      <c r="AD115" s="10"/>
      <c r="AE115" s="11"/>
      <c r="AF115" s="10"/>
      <c r="AG115" s="10"/>
      <c r="AH115" s="10"/>
    </row>
    <row r="116" spans="1:34" x14ac:dyDescent="0.25">
      <c r="A116" s="9"/>
      <c r="B116" s="9"/>
      <c r="C116" s="10"/>
      <c r="D116" s="9"/>
      <c r="E116" s="9"/>
      <c r="F116" s="9"/>
      <c r="G116" s="10"/>
      <c r="H116" s="9"/>
      <c r="I116" s="9"/>
      <c r="J116" s="9"/>
      <c r="K116" s="9"/>
      <c r="L116" s="9"/>
      <c r="M116" s="9"/>
      <c r="N116" s="9"/>
      <c r="O116" s="9"/>
      <c r="P116" s="9"/>
      <c r="Q116" s="12"/>
      <c r="R116" s="12"/>
      <c r="S116" s="12"/>
      <c r="T116" s="12"/>
      <c r="U116" s="12"/>
      <c r="V116" s="12"/>
      <c r="W116" s="10"/>
      <c r="X116" s="9"/>
      <c r="Y116" s="10"/>
      <c r="Z116" s="11"/>
      <c r="AA116" s="10"/>
      <c r="AB116" s="10"/>
      <c r="AC116" s="11"/>
      <c r="AD116" s="10"/>
      <c r="AE116" s="11"/>
      <c r="AF116" s="10"/>
      <c r="AG116" s="10"/>
      <c r="AH116" s="10"/>
    </row>
    <row r="117" spans="1:34" x14ac:dyDescent="0.25">
      <c r="A117" s="9"/>
      <c r="B117" s="9"/>
      <c r="C117" s="10"/>
      <c r="D117" s="9"/>
      <c r="E117" s="9"/>
      <c r="F117" s="9"/>
      <c r="G117" s="10"/>
      <c r="H117" s="9"/>
      <c r="I117" s="9"/>
      <c r="J117" s="9"/>
      <c r="K117" s="9"/>
      <c r="L117" s="9"/>
      <c r="M117" s="9"/>
      <c r="N117" s="9"/>
      <c r="O117" s="9"/>
      <c r="P117" s="9"/>
      <c r="Q117" s="12"/>
      <c r="R117" s="12"/>
      <c r="S117" s="12"/>
      <c r="T117" s="12"/>
      <c r="U117" s="12"/>
      <c r="V117" s="12"/>
      <c r="W117" s="10"/>
      <c r="X117" s="9"/>
      <c r="Y117" s="10"/>
      <c r="Z117" s="11"/>
      <c r="AA117" s="10"/>
      <c r="AB117" s="10"/>
      <c r="AC117" s="11"/>
      <c r="AD117" s="10"/>
      <c r="AE117" s="11"/>
      <c r="AF117" s="10"/>
      <c r="AG117" s="10"/>
      <c r="AH117" s="10"/>
    </row>
    <row r="118" spans="1:34" x14ac:dyDescent="0.25">
      <c r="A118" s="9"/>
      <c r="B118" s="9"/>
      <c r="C118" s="10"/>
      <c r="D118" s="9"/>
      <c r="E118" s="9"/>
      <c r="F118" s="9"/>
      <c r="G118" s="10"/>
      <c r="H118" s="9"/>
      <c r="I118" s="9"/>
      <c r="J118" s="9"/>
      <c r="K118" s="9"/>
      <c r="L118" s="9"/>
      <c r="M118" s="9"/>
      <c r="N118" s="9"/>
      <c r="O118" s="9"/>
      <c r="P118" s="9"/>
      <c r="Q118" s="12"/>
      <c r="R118" s="12"/>
      <c r="S118" s="12"/>
      <c r="T118" s="12"/>
      <c r="U118" s="12"/>
      <c r="V118" s="12"/>
      <c r="W118" s="10"/>
      <c r="X118" s="9"/>
      <c r="Y118" s="10"/>
      <c r="Z118" s="11"/>
      <c r="AA118" s="10"/>
      <c r="AB118" s="10"/>
      <c r="AC118" s="11"/>
      <c r="AD118" s="10"/>
      <c r="AE118" s="11"/>
      <c r="AF118" s="10"/>
      <c r="AG118" s="10"/>
      <c r="AH118" s="10"/>
    </row>
    <row r="119" spans="1:34" x14ac:dyDescent="0.25">
      <c r="A119" s="9"/>
      <c r="B119" s="9"/>
      <c r="C119" s="10"/>
      <c r="D119" s="9"/>
      <c r="E119" s="9"/>
      <c r="F119" s="9"/>
      <c r="G119" s="10"/>
      <c r="H119" s="9"/>
      <c r="I119" s="9"/>
      <c r="J119" s="9"/>
      <c r="K119" s="9"/>
      <c r="L119" s="9"/>
      <c r="M119" s="9"/>
      <c r="N119" s="9"/>
      <c r="O119" s="9"/>
      <c r="P119" s="9"/>
      <c r="Q119" s="12"/>
      <c r="R119" s="12"/>
      <c r="S119" s="12"/>
      <c r="T119" s="12"/>
      <c r="U119" s="12"/>
      <c r="V119" s="12"/>
      <c r="W119" s="10"/>
      <c r="X119" s="9"/>
      <c r="Y119" s="10"/>
      <c r="Z119" s="11"/>
      <c r="AA119" s="10"/>
      <c r="AB119" s="10"/>
      <c r="AC119" s="11"/>
      <c r="AD119" s="10"/>
      <c r="AE119" s="11"/>
      <c r="AF119" s="10"/>
      <c r="AG119" s="10"/>
      <c r="AH119" s="10"/>
    </row>
    <row r="120" spans="1:34" x14ac:dyDescent="0.25">
      <c r="A120" s="9"/>
      <c r="B120" s="9"/>
      <c r="C120" s="10"/>
      <c r="D120" s="9"/>
      <c r="E120" s="9"/>
      <c r="F120" s="9"/>
      <c r="G120" s="10"/>
      <c r="H120" s="9"/>
      <c r="I120" s="9"/>
      <c r="J120" s="9"/>
      <c r="K120" s="9"/>
      <c r="L120" s="9"/>
      <c r="M120" s="9"/>
      <c r="N120" s="9"/>
      <c r="O120" s="9"/>
      <c r="P120" s="9"/>
      <c r="Q120" s="12"/>
      <c r="R120" s="12"/>
      <c r="S120" s="12"/>
      <c r="T120" s="12"/>
      <c r="U120" s="12"/>
      <c r="V120" s="12"/>
      <c r="W120" s="10"/>
      <c r="X120" s="9"/>
      <c r="Y120" s="10"/>
      <c r="Z120" s="11"/>
      <c r="AA120" s="10"/>
      <c r="AB120" s="10"/>
      <c r="AC120" s="11"/>
      <c r="AD120" s="10"/>
      <c r="AE120" s="11"/>
      <c r="AF120" s="10"/>
      <c r="AG120" s="10"/>
      <c r="AH120" s="10"/>
    </row>
    <row r="121" spans="1:34" x14ac:dyDescent="0.25">
      <c r="A121" s="9"/>
      <c r="B121" s="9"/>
      <c r="C121" s="10"/>
      <c r="D121" s="9"/>
      <c r="E121" s="9"/>
      <c r="F121" s="9"/>
      <c r="G121" s="10"/>
      <c r="H121" s="9"/>
      <c r="I121" s="9"/>
      <c r="J121" s="9"/>
      <c r="K121" s="9"/>
      <c r="L121" s="9"/>
      <c r="M121" s="9"/>
      <c r="N121" s="9"/>
      <c r="O121" s="9"/>
      <c r="P121" s="9"/>
      <c r="Q121" s="12"/>
      <c r="R121" s="12"/>
      <c r="S121" s="12"/>
      <c r="T121" s="12"/>
      <c r="U121" s="12"/>
      <c r="V121" s="12"/>
      <c r="W121" s="10"/>
      <c r="X121" s="9"/>
      <c r="Y121" s="10"/>
      <c r="Z121" s="11"/>
      <c r="AA121" s="10"/>
      <c r="AB121" s="10"/>
      <c r="AC121" s="11"/>
      <c r="AD121" s="10"/>
      <c r="AE121" s="11"/>
      <c r="AF121" s="10"/>
      <c r="AG121" s="10"/>
      <c r="AH121" s="10"/>
    </row>
    <row r="122" spans="1:34" x14ac:dyDescent="0.25">
      <c r="A122" s="9"/>
      <c r="B122" s="9"/>
      <c r="C122" s="10"/>
      <c r="D122" s="9"/>
      <c r="E122" s="9"/>
      <c r="F122" s="9"/>
      <c r="G122" s="10"/>
      <c r="H122" s="9"/>
      <c r="I122" s="9"/>
      <c r="J122" s="9"/>
      <c r="K122" s="9"/>
      <c r="L122" s="9"/>
      <c r="M122" s="9"/>
      <c r="N122" s="9"/>
      <c r="O122" s="9"/>
      <c r="P122" s="9"/>
      <c r="Q122" s="12"/>
      <c r="R122" s="12"/>
      <c r="S122" s="12"/>
      <c r="T122" s="12"/>
      <c r="U122" s="12"/>
      <c r="V122" s="12"/>
      <c r="W122" s="10"/>
      <c r="X122" s="9"/>
      <c r="Y122" s="10"/>
      <c r="Z122" s="11"/>
      <c r="AA122" s="10"/>
      <c r="AB122" s="10"/>
      <c r="AC122" s="11"/>
      <c r="AD122" s="10"/>
      <c r="AE122" s="11"/>
      <c r="AF122" s="10"/>
      <c r="AG122" s="10"/>
      <c r="AH122" s="10"/>
    </row>
    <row r="123" spans="1:34" x14ac:dyDescent="0.25">
      <c r="A123" s="9"/>
      <c r="B123" s="9"/>
      <c r="C123" s="10"/>
      <c r="D123" s="9"/>
      <c r="E123" s="9"/>
      <c r="F123" s="9"/>
      <c r="G123" s="10"/>
      <c r="H123" s="9"/>
      <c r="I123" s="9"/>
      <c r="J123" s="9"/>
      <c r="K123" s="9"/>
      <c r="L123" s="9"/>
      <c r="M123" s="9"/>
      <c r="N123" s="9"/>
      <c r="O123" s="9"/>
      <c r="P123" s="9"/>
      <c r="Q123" s="12"/>
      <c r="R123" s="12"/>
      <c r="S123" s="12"/>
      <c r="T123" s="12"/>
      <c r="U123" s="12"/>
      <c r="V123" s="12"/>
      <c r="W123" s="10"/>
      <c r="X123" s="9"/>
      <c r="Y123" s="10"/>
      <c r="Z123" s="11"/>
      <c r="AA123" s="10"/>
      <c r="AB123" s="10"/>
      <c r="AC123" s="11"/>
      <c r="AD123" s="10"/>
      <c r="AE123" s="11"/>
      <c r="AF123" s="10"/>
      <c r="AG123" s="10"/>
      <c r="AH123" s="10"/>
    </row>
    <row r="124" spans="1:34" x14ac:dyDescent="0.25">
      <c r="A124" s="9"/>
      <c r="B124" s="9"/>
      <c r="C124" s="10"/>
      <c r="D124" s="9"/>
      <c r="E124" s="9"/>
      <c r="F124" s="9"/>
      <c r="G124" s="10"/>
      <c r="H124" s="9"/>
      <c r="I124" s="9"/>
      <c r="J124" s="9"/>
      <c r="K124" s="9"/>
      <c r="L124" s="9"/>
      <c r="M124" s="9"/>
      <c r="N124" s="9"/>
      <c r="O124" s="9"/>
      <c r="P124" s="9"/>
      <c r="Q124" s="12"/>
      <c r="R124" s="12"/>
      <c r="S124" s="12"/>
      <c r="T124" s="12"/>
      <c r="U124" s="12"/>
      <c r="V124" s="12"/>
      <c r="W124" s="10"/>
      <c r="X124" s="9"/>
      <c r="Y124" s="10"/>
      <c r="Z124" s="11"/>
      <c r="AA124" s="10"/>
      <c r="AB124" s="10"/>
      <c r="AC124" s="11"/>
      <c r="AD124" s="10"/>
      <c r="AE124" s="11"/>
      <c r="AF124" s="10"/>
      <c r="AG124" s="10"/>
      <c r="AH124" s="10"/>
    </row>
    <row r="125" spans="1:34" x14ac:dyDescent="0.25">
      <c r="A125" s="9"/>
      <c r="B125" s="9"/>
      <c r="C125" s="10"/>
      <c r="D125" s="9"/>
      <c r="E125" s="9"/>
      <c r="F125" s="9"/>
      <c r="G125" s="10"/>
      <c r="H125" s="9"/>
      <c r="I125" s="9"/>
      <c r="J125" s="9"/>
      <c r="K125" s="9"/>
      <c r="L125" s="9"/>
      <c r="M125" s="9"/>
      <c r="N125" s="9"/>
      <c r="O125" s="9"/>
      <c r="P125" s="9"/>
      <c r="Q125" s="12"/>
      <c r="R125" s="12"/>
      <c r="S125" s="12"/>
      <c r="T125" s="12"/>
      <c r="U125" s="12"/>
      <c r="V125" s="12"/>
      <c r="W125" s="10"/>
      <c r="X125" s="9"/>
      <c r="Y125" s="10"/>
      <c r="Z125" s="11"/>
      <c r="AA125" s="10"/>
      <c r="AB125" s="10"/>
      <c r="AC125" s="11"/>
      <c r="AD125" s="10"/>
      <c r="AE125" s="11"/>
      <c r="AF125" s="10"/>
      <c r="AG125" s="10"/>
      <c r="AH125" s="10"/>
    </row>
    <row r="126" spans="1:34" x14ac:dyDescent="0.25">
      <c r="A126" s="9"/>
      <c r="B126" s="9"/>
      <c r="C126" s="10"/>
      <c r="D126" s="9"/>
      <c r="E126" s="9"/>
      <c r="F126" s="9"/>
      <c r="G126" s="10"/>
      <c r="H126" s="9"/>
      <c r="I126" s="9"/>
      <c r="J126" s="9"/>
      <c r="K126" s="9"/>
      <c r="L126" s="9"/>
      <c r="M126" s="9"/>
      <c r="N126" s="9"/>
      <c r="O126" s="9"/>
      <c r="P126" s="9"/>
      <c r="Q126" s="12"/>
      <c r="R126" s="12"/>
      <c r="S126" s="12"/>
      <c r="T126" s="12"/>
      <c r="U126" s="12"/>
      <c r="V126" s="12"/>
      <c r="W126" s="10"/>
      <c r="X126" s="9"/>
      <c r="Y126" s="10"/>
      <c r="Z126" s="11"/>
      <c r="AA126" s="10"/>
      <c r="AB126" s="10"/>
      <c r="AC126" s="11"/>
      <c r="AD126" s="10"/>
      <c r="AE126" s="11"/>
      <c r="AF126" s="10"/>
      <c r="AG126" s="10"/>
      <c r="AH126" s="10"/>
    </row>
    <row r="127" spans="1:34" x14ac:dyDescent="0.25">
      <c r="A127" s="9"/>
      <c r="B127" s="9"/>
      <c r="C127" s="10"/>
      <c r="D127" s="9"/>
      <c r="E127" s="9"/>
      <c r="F127" s="9"/>
      <c r="G127" s="10"/>
      <c r="H127" s="9"/>
      <c r="I127" s="9"/>
      <c r="J127" s="9"/>
      <c r="K127" s="9"/>
      <c r="L127" s="9"/>
      <c r="M127" s="9"/>
      <c r="N127" s="9"/>
      <c r="O127" s="9"/>
      <c r="P127" s="9"/>
      <c r="Q127" s="12"/>
      <c r="R127" s="12"/>
      <c r="S127" s="12"/>
      <c r="T127" s="12"/>
      <c r="U127" s="12"/>
      <c r="V127" s="12"/>
      <c r="W127" s="10"/>
      <c r="X127" s="9"/>
      <c r="Y127" s="10"/>
      <c r="Z127" s="11"/>
      <c r="AA127" s="10"/>
      <c r="AB127" s="10"/>
      <c r="AC127" s="11"/>
      <c r="AD127" s="10"/>
      <c r="AE127" s="11"/>
      <c r="AF127" s="10"/>
      <c r="AG127" s="10"/>
      <c r="AH127" s="10"/>
    </row>
    <row r="128" spans="1:34" x14ac:dyDescent="0.25">
      <c r="A128" s="9"/>
      <c r="B128" s="9"/>
      <c r="C128" s="10"/>
      <c r="D128" s="9"/>
      <c r="E128" s="9"/>
      <c r="F128" s="9"/>
      <c r="G128" s="10"/>
      <c r="H128" s="9"/>
      <c r="I128" s="9"/>
      <c r="J128" s="9"/>
      <c r="K128" s="9"/>
      <c r="L128" s="9"/>
      <c r="M128" s="9"/>
      <c r="N128" s="9"/>
      <c r="O128" s="9"/>
      <c r="P128" s="9"/>
      <c r="Q128" s="12"/>
      <c r="R128" s="12"/>
      <c r="S128" s="12"/>
      <c r="T128" s="12"/>
      <c r="U128" s="12"/>
      <c r="V128" s="12"/>
      <c r="W128" s="10"/>
      <c r="X128" s="9"/>
      <c r="Y128" s="10"/>
      <c r="Z128" s="11"/>
      <c r="AA128" s="10"/>
      <c r="AB128" s="10"/>
      <c r="AC128" s="11"/>
      <c r="AD128" s="10"/>
      <c r="AE128" s="11"/>
      <c r="AF128" s="10"/>
      <c r="AG128" s="10"/>
      <c r="AH128" s="10"/>
    </row>
    <row r="129" spans="1:34" x14ac:dyDescent="0.25">
      <c r="A129" s="9"/>
      <c r="B129" s="9"/>
      <c r="C129" s="10"/>
      <c r="D129" s="9"/>
      <c r="E129" s="9"/>
      <c r="F129" s="9"/>
      <c r="G129" s="10"/>
      <c r="H129" s="9"/>
      <c r="I129" s="9"/>
      <c r="J129" s="9"/>
      <c r="K129" s="9"/>
      <c r="L129" s="9"/>
      <c r="M129" s="9"/>
      <c r="N129" s="9"/>
      <c r="O129" s="9"/>
      <c r="P129" s="9"/>
      <c r="Q129" s="12"/>
      <c r="R129" s="12"/>
      <c r="S129" s="12"/>
      <c r="T129" s="12"/>
      <c r="U129" s="12"/>
      <c r="V129" s="12"/>
      <c r="W129" s="10"/>
      <c r="X129" s="9"/>
      <c r="Y129" s="10"/>
      <c r="Z129" s="11"/>
      <c r="AA129" s="10"/>
      <c r="AB129" s="10"/>
      <c r="AC129" s="11"/>
      <c r="AD129" s="10"/>
      <c r="AE129" s="11"/>
      <c r="AF129" s="10"/>
      <c r="AG129" s="10"/>
      <c r="AH129" s="10"/>
    </row>
    <row r="130" spans="1:34" x14ac:dyDescent="0.25">
      <c r="A130" s="9"/>
      <c r="B130" s="9"/>
      <c r="C130" s="10"/>
      <c r="D130" s="9"/>
      <c r="E130" s="9"/>
      <c r="F130" s="9"/>
      <c r="G130" s="10"/>
      <c r="H130" s="9"/>
      <c r="I130" s="9"/>
      <c r="J130" s="9"/>
      <c r="K130" s="9"/>
      <c r="L130" s="9"/>
      <c r="M130" s="9"/>
      <c r="N130" s="9"/>
      <c r="O130" s="9"/>
      <c r="P130" s="9"/>
      <c r="Q130" s="12"/>
      <c r="R130" s="12"/>
      <c r="S130" s="12"/>
      <c r="T130" s="12"/>
      <c r="U130" s="12"/>
      <c r="V130" s="12"/>
      <c r="W130" s="10"/>
      <c r="X130" s="9"/>
      <c r="Y130" s="10"/>
      <c r="Z130" s="11"/>
      <c r="AA130" s="10"/>
      <c r="AB130" s="10"/>
      <c r="AC130" s="11"/>
      <c r="AD130" s="10"/>
      <c r="AE130" s="11"/>
      <c r="AF130" s="10"/>
      <c r="AG130" s="10"/>
      <c r="AH130" s="10"/>
    </row>
    <row r="131" spans="1:34" x14ac:dyDescent="0.25">
      <c r="A131" s="9"/>
      <c r="B131" s="9"/>
      <c r="C131" s="10"/>
      <c r="D131" s="9"/>
      <c r="E131" s="9"/>
      <c r="F131" s="9"/>
      <c r="G131" s="10"/>
      <c r="H131" s="9"/>
      <c r="I131" s="9"/>
      <c r="J131" s="9"/>
      <c r="K131" s="9"/>
      <c r="L131" s="9"/>
      <c r="M131" s="9"/>
      <c r="N131" s="9"/>
      <c r="O131" s="9"/>
      <c r="P131" s="9"/>
      <c r="Q131" s="12"/>
      <c r="R131" s="12"/>
      <c r="S131" s="12"/>
      <c r="T131" s="12"/>
      <c r="U131" s="12"/>
      <c r="V131" s="12"/>
      <c r="W131" s="10"/>
      <c r="X131" s="9"/>
      <c r="Y131" s="10"/>
      <c r="Z131" s="11"/>
      <c r="AA131" s="10"/>
      <c r="AB131" s="10"/>
      <c r="AC131" s="11"/>
      <c r="AD131" s="10"/>
      <c r="AE131" s="11"/>
      <c r="AF131" s="10"/>
      <c r="AG131" s="10"/>
      <c r="AH131" s="10"/>
    </row>
    <row r="132" spans="1:34" x14ac:dyDescent="0.25">
      <c r="A132" s="9"/>
      <c r="B132" s="9"/>
      <c r="C132" s="10"/>
      <c r="D132" s="9"/>
      <c r="E132" s="9"/>
      <c r="F132" s="9"/>
      <c r="G132" s="10"/>
      <c r="H132" s="9"/>
      <c r="I132" s="9"/>
      <c r="J132" s="9"/>
      <c r="K132" s="9"/>
      <c r="L132" s="9"/>
      <c r="M132" s="9"/>
      <c r="N132" s="9"/>
      <c r="O132" s="9"/>
      <c r="P132" s="9"/>
      <c r="Q132" s="12"/>
      <c r="R132" s="12"/>
      <c r="S132" s="12"/>
      <c r="T132" s="12"/>
      <c r="U132" s="12"/>
      <c r="V132" s="12"/>
      <c r="W132" s="10"/>
      <c r="X132" s="9"/>
      <c r="Y132" s="10"/>
      <c r="Z132" s="11"/>
      <c r="AA132" s="10"/>
      <c r="AB132" s="10"/>
      <c r="AC132" s="11"/>
      <c r="AD132" s="10"/>
      <c r="AE132" s="11"/>
      <c r="AF132" s="10"/>
      <c r="AG132" s="10"/>
      <c r="AH132" s="10"/>
    </row>
    <row r="133" spans="1:34" x14ac:dyDescent="0.25">
      <c r="A133" s="9"/>
      <c r="B133" s="9"/>
      <c r="C133" s="10"/>
      <c r="D133" s="9"/>
      <c r="E133" s="9"/>
      <c r="F133" s="9"/>
      <c r="G133" s="10"/>
      <c r="H133" s="9"/>
      <c r="I133" s="9"/>
      <c r="J133" s="9"/>
      <c r="K133" s="9"/>
      <c r="L133" s="9"/>
      <c r="M133" s="9"/>
      <c r="N133" s="9"/>
      <c r="O133" s="9"/>
      <c r="P133" s="9"/>
      <c r="Q133" s="12"/>
      <c r="R133" s="12"/>
      <c r="S133" s="12"/>
      <c r="T133" s="12"/>
      <c r="U133" s="12"/>
      <c r="V133" s="12"/>
      <c r="W133" s="10"/>
      <c r="X133" s="9"/>
      <c r="Y133" s="10"/>
      <c r="Z133" s="11"/>
      <c r="AA133" s="10"/>
      <c r="AB133" s="10"/>
      <c r="AC133" s="11"/>
      <c r="AD133" s="10"/>
      <c r="AE133" s="11"/>
      <c r="AF133" s="10"/>
      <c r="AG133" s="10"/>
      <c r="AH133" s="10"/>
    </row>
    <row r="134" spans="1:34" x14ac:dyDescent="0.25">
      <c r="A134" s="9"/>
      <c r="B134" s="9"/>
      <c r="C134" s="10"/>
      <c r="D134" s="9"/>
      <c r="E134" s="9"/>
      <c r="F134" s="9"/>
      <c r="G134" s="10"/>
      <c r="H134" s="9"/>
      <c r="I134" s="9"/>
      <c r="J134" s="9"/>
      <c r="K134" s="9"/>
      <c r="L134" s="9"/>
      <c r="M134" s="9"/>
      <c r="N134" s="9"/>
      <c r="O134" s="9"/>
      <c r="P134" s="9"/>
      <c r="Q134" s="12"/>
      <c r="R134" s="12"/>
      <c r="S134" s="12"/>
      <c r="T134" s="12"/>
      <c r="U134" s="12"/>
      <c r="V134" s="12"/>
      <c r="W134" s="10"/>
      <c r="X134" s="9"/>
      <c r="Y134" s="10"/>
      <c r="Z134" s="11"/>
      <c r="AA134" s="10"/>
      <c r="AB134" s="10"/>
      <c r="AC134" s="11"/>
      <c r="AD134" s="10"/>
      <c r="AE134" s="11"/>
      <c r="AF134" s="10"/>
      <c r="AG134" s="10"/>
      <c r="AH134" s="10"/>
    </row>
    <row r="135" spans="1:34" x14ac:dyDescent="0.25">
      <c r="A135" s="9"/>
      <c r="B135" s="9"/>
      <c r="C135" s="10"/>
      <c r="D135" s="9"/>
      <c r="E135" s="9"/>
      <c r="F135" s="9"/>
      <c r="G135" s="10"/>
      <c r="H135" s="9"/>
      <c r="I135" s="9"/>
      <c r="J135" s="9"/>
      <c r="K135" s="9"/>
      <c r="L135" s="9"/>
      <c r="M135" s="9"/>
      <c r="N135" s="9"/>
      <c r="O135" s="9"/>
      <c r="P135" s="9"/>
      <c r="Q135" s="12"/>
      <c r="R135" s="12"/>
      <c r="S135" s="12"/>
      <c r="T135" s="12"/>
      <c r="U135" s="12"/>
      <c r="V135" s="12"/>
      <c r="W135" s="10"/>
      <c r="X135" s="9"/>
      <c r="Y135" s="10"/>
      <c r="Z135" s="11"/>
      <c r="AA135" s="10"/>
      <c r="AB135" s="10"/>
      <c r="AC135" s="11"/>
      <c r="AD135" s="10"/>
      <c r="AE135" s="11"/>
      <c r="AF135" s="10"/>
      <c r="AG135" s="10"/>
      <c r="AH135" s="10"/>
    </row>
    <row r="136" spans="1:34" x14ac:dyDescent="0.25">
      <c r="A136" s="9"/>
      <c r="B136" s="9"/>
      <c r="C136" s="10"/>
      <c r="D136" s="9"/>
      <c r="E136" s="9"/>
      <c r="F136" s="9"/>
      <c r="G136" s="10"/>
      <c r="H136" s="9"/>
      <c r="I136" s="9"/>
      <c r="J136" s="9"/>
      <c r="K136" s="9"/>
      <c r="L136" s="9"/>
      <c r="M136" s="9"/>
      <c r="N136" s="9"/>
      <c r="O136" s="9"/>
      <c r="P136" s="9"/>
      <c r="Q136" s="12"/>
      <c r="R136" s="12"/>
      <c r="S136" s="12"/>
      <c r="T136" s="12"/>
      <c r="U136" s="12"/>
      <c r="V136" s="12"/>
      <c r="W136" s="10"/>
      <c r="X136" s="9"/>
      <c r="Y136" s="10"/>
      <c r="Z136" s="11"/>
      <c r="AA136" s="10"/>
      <c r="AB136" s="10"/>
      <c r="AC136" s="11"/>
      <c r="AD136" s="10"/>
      <c r="AE136" s="11"/>
      <c r="AF136" s="10"/>
      <c r="AG136" s="10"/>
      <c r="AH136" s="10"/>
    </row>
    <row r="137" spans="1:34" x14ac:dyDescent="0.25">
      <c r="A137" s="9"/>
      <c r="B137" s="9"/>
      <c r="C137" s="10"/>
      <c r="D137" s="9"/>
      <c r="E137" s="9"/>
      <c r="F137" s="9"/>
      <c r="G137" s="10"/>
      <c r="H137" s="9"/>
      <c r="I137" s="9"/>
      <c r="J137" s="9"/>
      <c r="K137" s="9"/>
      <c r="L137" s="9"/>
      <c r="M137" s="9"/>
      <c r="N137" s="9"/>
      <c r="O137" s="9"/>
      <c r="P137" s="9"/>
      <c r="Q137" s="12"/>
      <c r="R137" s="12"/>
      <c r="S137" s="12"/>
      <c r="T137" s="12"/>
      <c r="U137" s="12"/>
      <c r="V137" s="12"/>
      <c r="W137" s="10"/>
      <c r="X137" s="9"/>
      <c r="Y137" s="10"/>
      <c r="Z137" s="11"/>
      <c r="AA137" s="10"/>
      <c r="AB137" s="10"/>
      <c r="AC137" s="11"/>
      <c r="AD137" s="10"/>
      <c r="AE137" s="11"/>
      <c r="AF137" s="10"/>
      <c r="AG137" s="10"/>
      <c r="AH137" s="10"/>
    </row>
    <row r="138" spans="1:34" x14ac:dyDescent="0.25">
      <c r="A138" s="9"/>
      <c r="B138" s="9"/>
      <c r="C138" s="10"/>
      <c r="D138" s="9"/>
      <c r="E138" s="9"/>
      <c r="F138" s="9"/>
      <c r="G138" s="10"/>
      <c r="H138" s="9"/>
      <c r="I138" s="9"/>
      <c r="J138" s="9"/>
      <c r="K138" s="9"/>
      <c r="L138" s="9"/>
      <c r="M138" s="9"/>
      <c r="N138" s="9"/>
      <c r="O138" s="9"/>
      <c r="P138" s="9"/>
      <c r="Q138" s="12"/>
      <c r="R138" s="12"/>
      <c r="S138" s="12"/>
      <c r="T138" s="12"/>
      <c r="U138" s="12"/>
      <c r="V138" s="12"/>
      <c r="W138" s="10"/>
      <c r="X138" s="9"/>
      <c r="Y138" s="10"/>
      <c r="Z138" s="11"/>
      <c r="AA138" s="10"/>
      <c r="AB138" s="10"/>
      <c r="AC138" s="11"/>
      <c r="AD138" s="10"/>
      <c r="AE138" s="11"/>
      <c r="AF138" s="10"/>
      <c r="AG138" s="10"/>
      <c r="AH138" s="10"/>
    </row>
    <row r="139" spans="1:34" x14ac:dyDescent="0.25">
      <c r="A139" s="9"/>
      <c r="B139" s="9"/>
      <c r="C139" s="10"/>
      <c r="D139" s="9"/>
      <c r="E139" s="9"/>
      <c r="F139" s="9"/>
      <c r="G139" s="10"/>
      <c r="H139" s="9"/>
      <c r="I139" s="9"/>
      <c r="J139" s="9"/>
      <c r="K139" s="9"/>
      <c r="L139" s="9"/>
      <c r="M139" s="9"/>
      <c r="N139" s="9"/>
      <c r="O139" s="9"/>
      <c r="P139" s="9"/>
      <c r="Q139" s="12"/>
      <c r="R139" s="12"/>
      <c r="S139" s="12"/>
      <c r="T139" s="12"/>
      <c r="U139" s="12"/>
      <c r="V139" s="12"/>
      <c r="W139" s="10"/>
      <c r="X139" s="9"/>
      <c r="Y139" s="10"/>
      <c r="Z139" s="11"/>
      <c r="AA139" s="10"/>
      <c r="AB139" s="10"/>
      <c r="AC139" s="11"/>
      <c r="AD139" s="10"/>
      <c r="AE139" s="11"/>
      <c r="AF139" s="10"/>
      <c r="AG139" s="10"/>
      <c r="AH139" s="10"/>
    </row>
    <row r="140" spans="1:34" x14ac:dyDescent="0.25">
      <c r="A140" s="9"/>
      <c r="B140" s="9"/>
      <c r="C140" s="10"/>
      <c r="D140" s="9"/>
      <c r="E140" s="9"/>
      <c r="F140" s="9"/>
      <c r="G140" s="10"/>
      <c r="H140" s="9"/>
      <c r="I140" s="9"/>
      <c r="J140" s="9"/>
      <c r="K140" s="9"/>
      <c r="L140" s="9"/>
      <c r="M140" s="9"/>
      <c r="N140" s="9"/>
      <c r="O140" s="9"/>
      <c r="P140" s="9"/>
      <c r="Q140" s="12"/>
      <c r="R140" s="12"/>
      <c r="S140" s="12"/>
      <c r="T140" s="12"/>
      <c r="U140" s="12"/>
      <c r="V140" s="12"/>
      <c r="W140" s="10"/>
      <c r="X140" s="9"/>
      <c r="Y140" s="10"/>
      <c r="Z140" s="11"/>
      <c r="AA140" s="10"/>
      <c r="AB140" s="10"/>
      <c r="AC140" s="11"/>
      <c r="AD140" s="10"/>
      <c r="AE140" s="11"/>
      <c r="AF140" s="10"/>
      <c r="AG140" s="10"/>
      <c r="AH140" s="10"/>
    </row>
    <row r="141" spans="1:34" x14ac:dyDescent="0.25">
      <c r="A141" s="9"/>
      <c r="B141" s="9"/>
      <c r="C141" s="10"/>
      <c r="D141" s="9"/>
      <c r="E141" s="9"/>
      <c r="F141" s="9"/>
      <c r="G141" s="10"/>
      <c r="H141" s="9"/>
      <c r="I141" s="9"/>
      <c r="J141" s="9"/>
      <c r="K141" s="9"/>
      <c r="L141" s="9"/>
      <c r="M141" s="9"/>
      <c r="N141" s="9"/>
      <c r="O141" s="9"/>
      <c r="P141" s="9"/>
      <c r="Q141" s="12"/>
      <c r="R141" s="12"/>
      <c r="S141" s="12"/>
      <c r="T141" s="12"/>
      <c r="U141" s="12"/>
      <c r="V141" s="12"/>
      <c r="W141" s="10"/>
      <c r="X141" s="9"/>
      <c r="Y141" s="10"/>
      <c r="Z141" s="11"/>
      <c r="AA141" s="10"/>
      <c r="AB141" s="10"/>
      <c r="AC141" s="11"/>
      <c r="AD141" s="10"/>
      <c r="AE141" s="11"/>
      <c r="AF141" s="10"/>
      <c r="AG141" s="10"/>
      <c r="AH141" s="10"/>
    </row>
    <row r="142" spans="1:34" x14ac:dyDescent="0.25">
      <c r="A142" s="9"/>
      <c r="B142" s="9"/>
      <c r="C142" s="10"/>
      <c r="D142" s="9"/>
      <c r="E142" s="9"/>
      <c r="F142" s="9"/>
      <c r="G142" s="10"/>
      <c r="H142" s="9"/>
      <c r="I142" s="9"/>
      <c r="J142" s="9"/>
      <c r="K142" s="9"/>
      <c r="L142" s="9"/>
      <c r="M142" s="9"/>
      <c r="N142" s="9"/>
      <c r="O142" s="9"/>
      <c r="P142" s="9"/>
      <c r="Q142" s="12"/>
      <c r="R142" s="12"/>
      <c r="S142" s="12"/>
      <c r="T142" s="12"/>
      <c r="U142" s="12"/>
      <c r="V142" s="12"/>
      <c r="W142" s="10"/>
      <c r="X142" s="9"/>
      <c r="Y142" s="10"/>
      <c r="Z142" s="11"/>
      <c r="AA142" s="10"/>
      <c r="AB142" s="10"/>
      <c r="AC142" s="11"/>
      <c r="AD142" s="10"/>
      <c r="AE142" s="11"/>
      <c r="AF142" s="10"/>
      <c r="AG142" s="10"/>
      <c r="AH142" s="10"/>
    </row>
    <row r="143" spans="1:34" x14ac:dyDescent="0.25">
      <c r="A143" s="9"/>
      <c r="B143" s="9"/>
      <c r="C143" s="10"/>
      <c r="D143" s="9"/>
      <c r="E143" s="9"/>
      <c r="F143" s="9"/>
      <c r="G143" s="10"/>
      <c r="H143" s="9"/>
      <c r="I143" s="9"/>
      <c r="J143" s="9"/>
      <c r="K143" s="9"/>
      <c r="L143" s="9"/>
      <c r="M143" s="9"/>
      <c r="N143" s="9"/>
      <c r="O143" s="9"/>
      <c r="P143" s="9"/>
      <c r="Q143" s="12"/>
      <c r="R143" s="12"/>
      <c r="S143" s="12"/>
      <c r="T143" s="12"/>
      <c r="U143" s="12"/>
      <c r="V143" s="12"/>
      <c r="W143" s="10"/>
      <c r="X143" s="9"/>
      <c r="Y143" s="10"/>
      <c r="Z143" s="11"/>
      <c r="AA143" s="10"/>
      <c r="AB143" s="10"/>
      <c r="AC143" s="11"/>
      <c r="AD143" s="10"/>
      <c r="AE143" s="11"/>
      <c r="AF143" s="10"/>
      <c r="AG143" s="10"/>
      <c r="AH143" s="10"/>
    </row>
    <row r="144" spans="1:34" x14ac:dyDescent="0.25">
      <c r="A144" s="9"/>
      <c r="B144" s="9"/>
      <c r="C144" s="10"/>
      <c r="D144" s="9"/>
      <c r="E144" s="9"/>
      <c r="F144" s="9"/>
      <c r="G144" s="10"/>
      <c r="H144" s="9"/>
      <c r="I144" s="9"/>
      <c r="J144" s="9"/>
      <c r="K144" s="9"/>
      <c r="L144" s="9"/>
      <c r="M144" s="9"/>
      <c r="N144" s="9"/>
      <c r="O144" s="9"/>
      <c r="P144" s="9"/>
      <c r="Q144" s="12"/>
      <c r="R144" s="12"/>
      <c r="S144" s="12"/>
      <c r="T144" s="12"/>
      <c r="U144" s="12"/>
      <c r="V144" s="12"/>
      <c r="W144" s="10"/>
      <c r="X144" s="9"/>
      <c r="Y144" s="10"/>
      <c r="Z144" s="11"/>
      <c r="AA144" s="10"/>
      <c r="AB144" s="10"/>
      <c r="AC144" s="11"/>
      <c r="AD144" s="10"/>
      <c r="AE144" s="11"/>
      <c r="AF144" s="10"/>
      <c r="AG144" s="10"/>
      <c r="AH144" s="10"/>
    </row>
    <row r="145" spans="1:34" x14ac:dyDescent="0.25">
      <c r="A145" s="9"/>
      <c r="B145" s="9"/>
      <c r="C145" s="10"/>
      <c r="D145" s="9"/>
      <c r="E145" s="9"/>
      <c r="F145" s="9"/>
      <c r="G145" s="10"/>
      <c r="H145" s="9"/>
      <c r="I145" s="9"/>
      <c r="J145" s="9"/>
      <c r="K145" s="9"/>
      <c r="L145" s="9"/>
      <c r="M145" s="9"/>
      <c r="N145" s="9"/>
      <c r="O145" s="9"/>
      <c r="P145" s="9"/>
      <c r="Q145" s="12"/>
      <c r="R145" s="12"/>
      <c r="S145" s="12"/>
      <c r="T145" s="12"/>
      <c r="U145" s="12"/>
      <c r="V145" s="12"/>
      <c r="W145" s="10"/>
      <c r="X145" s="9"/>
      <c r="Y145" s="10"/>
      <c r="Z145" s="11"/>
      <c r="AA145" s="10"/>
      <c r="AB145" s="10"/>
      <c r="AC145" s="11"/>
      <c r="AD145" s="10"/>
      <c r="AE145" s="11"/>
      <c r="AF145" s="10"/>
      <c r="AG145" s="10"/>
      <c r="AH145" s="10"/>
    </row>
    <row r="146" spans="1:34" x14ac:dyDescent="0.25">
      <c r="A146" s="9"/>
      <c r="B146" s="9"/>
      <c r="C146" s="10"/>
      <c r="D146" s="9"/>
      <c r="E146" s="9"/>
      <c r="F146" s="9"/>
      <c r="G146" s="10"/>
      <c r="H146" s="9"/>
      <c r="I146" s="9"/>
      <c r="J146" s="9"/>
      <c r="K146" s="9"/>
      <c r="L146" s="9"/>
      <c r="M146" s="9"/>
      <c r="N146" s="9"/>
      <c r="O146" s="9"/>
      <c r="P146" s="9"/>
      <c r="Q146" s="12"/>
      <c r="R146" s="12"/>
      <c r="S146" s="12"/>
      <c r="T146" s="12"/>
      <c r="U146" s="11"/>
      <c r="V146" s="12"/>
      <c r="W146" s="10"/>
      <c r="X146" s="9"/>
      <c r="Y146" s="10"/>
      <c r="Z146" s="11"/>
      <c r="AA146" s="10"/>
      <c r="AB146" s="10"/>
      <c r="AC146" s="11"/>
      <c r="AD146" s="10"/>
      <c r="AE146" s="11"/>
      <c r="AF146" s="10"/>
      <c r="AG146" s="10"/>
      <c r="AH146" s="10"/>
    </row>
    <row r="147" spans="1:34" x14ac:dyDescent="0.25">
      <c r="A147" s="9"/>
      <c r="B147" s="9"/>
      <c r="C147" s="10"/>
      <c r="D147" s="9"/>
      <c r="E147" s="9"/>
      <c r="F147" s="9"/>
      <c r="G147" s="10"/>
      <c r="H147" s="9"/>
      <c r="I147" s="9"/>
      <c r="J147" s="9"/>
      <c r="K147" s="9"/>
      <c r="L147" s="9"/>
      <c r="M147" s="9"/>
      <c r="N147" s="9"/>
      <c r="O147" s="9"/>
      <c r="P147" s="9"/>
      <c r="Q147" s="12"/>
      <c r="R147" s="12"/>
      <c r="S147" s="12"/>
      <c r="T147" s="12"/>
      <c r="U147" s="12"/>
      <c r="V147" s="12"/>
      <c r="W147" s="10"/>
      <c r="X147" s="9"/>
      <c r="Y147" s="10"/>
      <c r="Z147" s="11"/>
      <c r="AA147" s="10"/>
      <c r="AB147" s="10"/>
      <c r="AC147" s="11"/>
      <c r="AD147" s="10"/>
      <c r="AE147" s="11"/>
      <c r="AF147" s="10"/>
      <c r="AG147" s="10"/>
      <c r="AH147" s="10"/>
    </row>
    <row r="148" spans="1:34" x14ac:dyDescent="0.25">
      <c r="A148" s="9"/>
      <c r="B148" s="9"/>
      <c r="C148" s="10"/>
      <c r="D148" s="9"/>
      <c r="E148" s="9"/>
      <c r="F148" s="9"/>
      <c r="G148" s="10"/>
      <c r="H148" s="9"/>
      <c r="I148" s="9"/>
      <c r="J148" s="9"/>
      <c r="K148" s="9"/>
      <c r="L148" s="9"/>
      <c r="M148" s="9"/>
      <c r="N148" s="9"/>
      <c r="O148" s="9"/>
      <c r="P148" s="9"/>
      <c r="Q148" s="12"/>
      <c r="R148" s="12"/>
      <c r="S148" s="12"/>
      <c r="T148" s="12"/>
      <c r="U148" s="12"/>
      <c r="V148" s="12"/>
      <c r="W148" s="10"/>
      <c r="X148" s="9"/>
      <c r="Y148" s="10"/>
      <c r="Z148" s="11"/>
      <c r="AA148" s="10"/>
      <c r="AB148" s="10"/>
      <c r="AC148" s="11"/>
      <c r="AD148" s="10"/>
      <c r="AE148" s="11"/>
      <c r="AF148" s="10"/>
      <c r="AG148" s="10"/>
      <c r="AH148" s="10"/>
    </row>
    <row r="149" spans="1:34" x14ac:dyDescent="0.25">
      <c r="A149" s="9"/>
      <c r="B149" s="9"/>
      <c r="C149" s="10"/>
      <c r="D149" s="9"/>
      <c r="E149" s="9"/>
      <c r="F149" s="9"/>
      <c r="G149" s="10"/>
      <c r="H149" s="9"/>
      <c r="I149" s="9"/>
      <c r="J149" s="9"/>
      <c r="K149" s="9"/>
      <c r="L149" s="9"/>
      <c r="M149" s="9"/>
      <c r="N149" s="9"/>
      <c r="O149" s="9"/>
      <c r="P149" s="9"/>
      <c r="Q149" s="12"/>
      <c r="R149" s="12"/>
      <c r="S149" s="12"/>
      <c r="T149" s="12"/>
      <c r="U149" s="12"/>
      <c r="V149" s="12"/>
      <c r="W149" s="10"/>
      <c r="X149" s="9"/>
      <c r="Y149" s="10"/>
      <c r="Z149" s="11"/>
      <c r="AA149" s="10"/>
      <c r="AB149" s="10"/>
      <c r="AC149" s="11"/>
      <c r="AD149" s="10"/>
      <c r="AE149" s="11"/>
      <c r="AF149" s="10"/>
      <c r="AG149" s="10"/>
      <c r="AH149" s="10"/>
    </row>
    <row r="150" spans="1:34" x14ac:dyDescent="0.25">
      <c r="A150" s="9"/>
      <c r="B150" s="9"/>
      <c r="C150" s="10"/>
      <c r="D150" s="9"/>
      <c r="E150" s="9"/>
      <c r="F150" s="9"/>
      <c r="G150" s="10"/>
      <c r="H150" s="9"/>
      <c r="I150" s="9"/>
      <c r="J150" s="9"/>
      <c r="K150" s="9"/>
      <c r="L150" s="9"/>
      <c r="M150" s="9"/>
      <c r="N150" s="9"/>
      <c r="O150" s="9"/>
      <c r="P150" s="9"/>
      <c r="Q150" s="12"/>
      <c r="R150" s="12"/>
      <c r="S150" s="12"/>
      <c r="T150" s="12"/>
      <c r="U150" s="12"/>
      <c r="V150" s="12"/>
      <c r="W150" s="10"/>
      <c r="X150" s="9"/>
      <c r="Y150" s="10"/>
      <c r="Z150" s="11"/>
      <c r="AA150" s="10"/>
      <c r="AB150" s="10"/>
      <c r="AC150" s="11"/>
      <c r="AD150" s="10"/>
      <c r="AE150" s="11"/>
      <c r="AF150" s="10"/>
      <c r="AG150" s="10"/>
      <c r="AH150" s="10"/>
    </row>
    <row r="151" spans="1:34" x14ac:dyDescent="0.25">
      <c r="A151" s="9"/>
      <c r="B151" s="9"/>
      <c r="C151" s="10"/>
      <c r="D151" s="9"/>
      <c r="E151" s="9"/>
      <c r="F151" s="9"/>
      <c r="G151" s="10"/>
      <c r="H151" s="9"/>
      <c r="I151" s="9"/>
      <c r="J151" s="9"/>
      <c r="K151" s="9"/>
      <c r="L151" s="9"/>
      <c r="M151" s="9"/>
      <c r="N151" s="9"/>
      <c r="O151" s="9"/>
      <c r="P151" s="9"/>
      <c r="Q151" s="12"/>
      <c r="R151" s="12"/>
      <c r="S151" s="12"/>
      <c r="T151" s="12"/>
      <c r="U151" s="12"/>
      <c r="V151" s="12"/>
      <c r="W151" s="10"/>
      <c r="X151" s="9"/>
      <c r="Y151" s="10"/>
      <c r="Z151" s="11"/>
      <c r="AA151" s="10"/>
      <c r="AB151" s="10"/>
      <c r="AC151" s="11"/>
      <c r="AD151" s="10"/>
      <c r="AE151" s="11"/>
      <c r="AF151" s="10"/>
      <c r="AG151" s="10"/>
      <c r="AH151" s="10"/>
    </row>
    <row r="152" spans="1:34" x14ac:dyDescent="0.25">
      <c r="A152" s="9"/>
      <c r="B152" s="9"/>
      <c r="C152" s="10"/>
      <c r="D152" s="9"/>
      <c r="E152" s="9"/>
      <c r="F152" s="9"/>
      <c r="G152" s="10"/>
      <c r="H152" s="9"/>
      <c r="I152" s="9"/>
      <c r="J152" s="9"/>
      <c r="K152" s="9"/>
      <c r="L152" s="9"/>
      <c r="M152" s="9"/>
      <c r="N152" s="9"/>
      <c r="O152" s="9"/>
      <c r="P152" s="9"/>
      <c r="Q152" s="12"/>
      <c r="R152" s="12"/>
      <c r="S152" s="12"/>
      <c r="T152" s="12"/>
      <c r="U152" s="12"/>
      <c r="V152" s="12"/>
      <c r="W152" s="10"/>
      <c r="X152" s="9"/>
      <c r="Y152" s="10"/>
      <c r="Z152" s="11"/>
      <c r="AA152" s="10"/>
      <c r="AB152" s="10"/>
      <c r="AC152" s="11"/>
      <c r="AD152" s="10"/>
      <c r="AE152" s="11"/>
      <c r="AF152" s="10"/>
      <c r="AG152" s="10"/>
      <c r="AH152" s="10"/>
    </row>
    <row r="153" spans="1:34" x14ac:dyDescent="0.25">
      <c r="A153" s="9"/>
      <c r="B153" s="9"/>
      <c r="C153" s="10"/>
      <c r="D153" s="9"/>
      <c r="E153" s="9"/>
      <c r="F153" s="9"/>
      <c r="G153" s="10"/>
      <c r="H153" s="9"/>
      <c r="I153" s="9"/>
      <c r="J153" s="9"/>
      <c r="K153" s="9"/>
      <c r="L153" s="9"/>
      <c r="M153" s="9"/>
      <c r="N153" s="9"/>
      <c r="O153" s="9"/>
      <c r="P153" s="9"/>
      <c r="Q153" s="12"/>
      <c r="R153" s="12"/>
      <c r="S153" s="12"/>
      <c r="T153" s="12"/>
      <c r="U153" s="12"/>
      <c r="V153" s="12"/>
      <c r="W153" s="10"/>
      <c r="X153" s="9"/>
      <c r="Y153" s="10"/>
      <c r="Z153" s="11"/>
      <c r="AA153" s="10"/>
      <c r="AB153" s="10"/>
      <c r="AC153" s="11"/>
      <c r="AD153" s="10"/>
      <c r="AE153" s="11"/>
      <c r="AF153" s="10"/>
      <c r="AG153" s="10"/>
      <c r="AH153" s="10"/>
    </row>
    <row r="154" spans="1:34" x14ac:dyDescent="0.25">
      <c r="A154" s="9"/>
      <c r="B154" s="9"/>
      <c r="C154" s="10"/>
      <c r="D154" s="9"/>
      <c r="E154" s="9"/>
      <c r="F154" s="9"/>
      <c r="G154" s="10"/>
      <c r="H154" s="9"/>
      <c r="I154" s="9"/>
      <c r="J154" s="9"/>
      <c r="K154" s="9"/>
      <c r="L154" s="9"/>
      <c r="M154" s="9"/>
      <c r="N154" s="9"/>
      <c r="O154" s="9"/>
      <c r="P154" s="9"/>
      <c r="Q154" s="12"/>
      <c r="R154" s="12"/>
      <c r="S154" s="12"/>
      <c r="T154" s="12"/>
      <c r="U154" s="12"/>
      <c r="V154" s="12"/>
      <c r="W154" s="10"/>
      <c r="X154" s="9"/>
      <c r="Y154" s="10"/>
      <c r="Z154" s="11"/>
      <c r="AA154" s="10"/>
      <c r="AB154" s="10"/>
      <c r="AC154" s="11"/>
      <c r="AD154" s="10"/>
      <c r="AE154" s="11"/>
      <c r="AF154" s="10"/>
      <c r="AG154" s="10"/>
      <c r="AH154" s="10"/>
    </row>
    <row r="155" spans="1:34" x14ac:dyDescent="0.25">
      <c r="A155" s="9"/>
      <c r="B155" s="9"/>
      <c r="C155" s="10"/>
      <c r="D155" s="9"/>
      <c r="E155" s="9"/>
      <c r="F155" s="9"/>
      <c r="G155" s="10"/>
      <c r="H155" s="9"/>
      <c r="I155" s="9"/>
      <c r="J155" s="9"/>
      <c r="K155" s="9"/>
      <c r="L155" s="9"/>
      <c r="M155" s="9"/>
      <c r="N155" s="9"/>
      <c r="O155" s="9"/>
      <c r="P155" s="9"/>
      <c r="Q155" s="12"/>
      <c r="R155" s="12"/>
      <c r="S155" s="12"/>
      <c r="T155" s="12"/>
      <c r="U155" s="12"/>
      <c r="V155" s="12"/>
      <c r="W155" s="10"/>
      <c r="X155" s="9"/>
      <c r="Y155" s="10"/>
      <c r="Z155" s="11"/>
      <c r="AA155" s="10"/>
      <c r="AB155" s="10"/>
      <c r="AC155" s="11"/>
      <c r="AD155" s="10"/>
      <c r="AE155" s="11"/>
      <c r="AF155" s="10"/>
      <c r="AG155" s="10"/>
      <c r="AH155" s="10"/>
    </row>
    <row r="156" spans="1:34" x14ac:dyDescent="0.25">
      <c r="A156" s="9"/>
      <c r="B156" s="9"/>
      <c r="C156" s="10"/>
      <c r="D156" s="9"/>
      <c r="E156" s="9"/>
      <c r="F156" s="9"/>
      <c r="G156" s="10"/>
      <c r="H156" s="9"/>
      <c r="I156" s="9"/>
      <c r="J156" s="9"/>
      <c r="K156" s="9"/>
      <c r="L156" s="9"/>
      <c r="M156" s="9"/>
      <c r="N156" s="9"/>
      <c r="O156" s="9"/>
      <c r="P156" s="9"/>
      <c r="Q156" s="12"/>
      <c r="R156" s="12"/>
      <c r="S156" s="12"/>
      <c r="T156" s="12"/>
      <c r="U156" s="12"/>
      <c r="V156" s="12"/>
      <c r="W156" s="10"/>
      <c r="X156" s="9"/>
      <c r="Y156" s="10"/>
      <c r="Z156" s="11"/>
      <c r="AA156" s="10"/>
      <c r="AB156" s="10"/>
      <c r="AC156" s="11"/>
      <c r="AD156" s="10"/>
      <c r="AE156" s="11"/>
      <c r="AF156" s="10"/>
      <c r="AG156" s="10"/>
      <c r="AH156" s="10"/>
    </row>
    <row r="157" spans="1:34" x14ac:dyDescent="0.25">
      <c r="A157" s="9"/>
      <c r="B157" s="9"/>
      <c r="C157" s="10"/>
      <c r="D157" s="9"/>
      <c r="E157" s="9"/>
      <c r="F157" s="9"/>
      <c r="G157" s="10"/>
      <c r="H157" s="9"/>
      <c r="I157" s="9"/>
      <c r="J157" s="9"/>
      <c r="K157" s="9"/>
      <c r="L157" s="9"/>
      <c r="M157" s="9"/>
      <c r="N157" s="9"/>
      <c r="O157" s="9"/>
      <c r="P157" s="9"/>
      <c r="Q157" s="12"/>
      <c r="R157" s="12"/>
      <c r="S157" s="12"/>
      <c r="T157" s="12"/>
      <c r="U157" s="12"/>
      <c r="V157" s="12"/>
      <c r="W157" s="10"/>
      <c r="X157" s="9"/>
      <c r="Y157" s="10"/>
      <c r="Z157" s="11"/>
      <c r="AA157" s="10"/>
      <c r="AB157" s="10"/>
      <c r="AC157" s="11"/>
      <c r="AD157" s="10"/>
      <c r="AE157" s="11"/>
      <c r="AF157" s="10"/>
      <c r="AG157" s="10"/>
      <c r="AH157" s="10"/>
    </row>
    <row r="158" spans="1:34" x14ac:dyDescent="0.25">
      <c r="A158" s="9"/>
      <c r="B158" s="9"/>
      <c r="C158" s="10"/>
      <c r="D158" s="9"/>
      <c r="E158" s="9"/>
      <c r="F158" s="9"/>
      <c r="G158" s="10"/>
      <c r="H158" s="9"/>
      <c r="I158" s="9"/>
      <c r="J158" s="9"/>
      <c r="K158" s="9"/>
      <c r="L158" s="9"/>
      <c r="M158" s="9"/>
      <c r="N158" s="9"/>
      <c r="O158" s="9"/>
      <c r="P158" s="9"/>
      <c r="Q158" s="12"/>
      <c r="R158" s="12"/>
      <c r="S158" s="12"/>
      <c r="T158" s="12"/>
      <c r="U158" s="12"/>
      <c r="V158" s="12"/>
      <c r="W158" s="10"/>
      <c r="X158" s="9"/>
      <c r="Y158" s="10"/>
      <c r="Z158" s="11"/>
      <c r="AA158" s="10"/>
      <c r="AB158" s="10"/>
      <c r="AC158" s="11"/>
      <c r="AD158" s="10"/>
      <c r="AE158" s="11"/>
      <c r="AF158" s="10"/>
      <c r="AG158" s="10"/>
      <c r="AH158" s="10"/>
    </row>
    <row r="159" spans="1:34" x14ac:dyDescent="0.25">
      <c r="A159" s="9"/>
      <c r="B159" s="9"/>
      <c r="C159" s="10"/>
      <c r="D159" s="9"/>
      <c r="E159" s="9"/>
      <c r="F159" s="9"/>
      <c r="G159" s="10"/>
      <c r="H159" s="9"/>
      <c r="I159" s="9"/>
      <c r="J159" s="9"/>
      <c r="K159" s="9"/>
      <c r="L159" s="9"/>
      <c r="M159" s="9"/>
      <c r="N159" s="9"/>
      <c r="O159" s="9"/>
      <c r="P159" s="9"/>
      <c r="Q159" s="12"/>
      <c r="R159" s="12"/>
      <c r="S159" s="12"/>
      <c r="T159" s="12"/>
      <c r="U159" s="12"/>
      <c r="V159" s="12"/>
      <c r="W159" s="10"/>
      <c r="X159" s="9"/>
      <c r="Y159" s="10"/>
      <c r="Z159" s="11"/>
      <c r="AA159" s="10"/>
      <c r="AB159" s="10"/>
      <c r="AC159" s="11"/>
      <c r="AD159" s="10"/>
      <c r="AE159" s="11"/>
      <c r="AF159" s="10"/>
      <c r="AG159" s="10"/>
      <c r="AH159" s="10"/>
    </row>
    <row r="160" spans="1:34" x14ac:dyDescent="0.25">
      <c r="A160" s="9"/>
      <c r="B160" s="9"/>
      <c r="C160" s="10"/>
      <c r="D160" s="9"/>
      <c r="E160" s="9"/>
      <c r="F160" s="9"/>
      <c r="G160" s="10"/>
      <c r="H160" s="9"/>
      <c r="I160" s="9"/>
      <c r="J160" s="9"/>
      <c r="K160" s="9"/>
      <c r="L160" s="9"/>
      <c r="M160" s="9"/>
      <c r="N160" s="9"/>
      <c r="O160" s="9"/>
      <c r="P160" s="9"/>
      <c r="Q160" s="12"/>
      <c r="R160" s="12"/>
      <c r="S160" s="12"/>
      <c r="T160" s="12"/>
      <c r="U160" s="12"/>
      <c r="V160" s="12"/>
      <c r="W160" s="10"/>
      <c r="X160" s="9"/>
      <c r="Y160" s="10"/>
      <c r="Z160" s="11"/>
      <c r="AA160" s="10"/>
      <c r="AB160" s="10"/>
      <c r="AC160" s="11"/>
      <c r="AD160" s="10"/>
      <c r="AE160" s="11"/>
      <c r="AF160" s="10"/>
      <c r="AG160" s="10"/>
      <c r="AH160" s="10"/>
    </row>
    <row r="161" spans="1:34" x14ac:dyDescent="0.25">
      <c r="A161" s="9"/>
      <c r="B161" s="9"/>
      <c r="C161" s="10"/>
      <c r="D161" s="9"/>
      <c r="E161" s="9"/>
      <c r="F161" s="9"/>
      <c r="G161" s="10"/>
      <c r="H161" s="9"/>
      <c r="I161" s="9"/>
      <c r="J161" s="9"/>
      <c r="K161" s="9"/>
      <c r="L161" s="9"/>
      <c r="M161" s="9"/>
      <c r="N161" s="9"/>
      <c r="O161" s="9"/>
      <c r="P161" s="9"/>
      <c r="Q161" s="12"/>
      <c r="R161" s="12"/>
      <c r="S161" s="12"/>
      <c r="T161" s="12"/>
      <c r="U161" s="12"/>
      <c r="V161" s="11"/>
      <c r="W161" s="10"/>
      <c r="X161" s="9"/>
      <c r="Y161" s="10"/>
      <c r="Z161" s="11"/>
      <c r="AA161" s="10"/>
      <c r="AB161" s="10"/>
      <c r="AC161" s="11"/>
      <c r="AD161" s="10"/>
      <c r="AE161" s="11"/>
      <c r="AF161" s="10"/>
      <c r="AG161" s="10"/>
      <c r="AH161" s="11"/>
    </row>
    <row r="162" spans="1:34" x14ac:dyDescent="0.25">
      <c r="A162" s="9"/>
      <c r="B162" s="9"/>
      <c r="C162" s="10"/>
      <c r="D162" s="9"/>
      <c r="E162" s="9"/>
      <c r="F162" s="9"/>
      <c r="G162" s="10"/>
      <c r="H162" s="9"/>
      <c r="I162" s="9"/>
      <c r="J162" s="9"/>
      <c r="K162" s="9"/>
      <c r="L162" s="9"/>
      <c r="M162" s="9"/>
      <c r="N162" s="9"/>
      <c r="O162" s="9"/>
      <c r="P162" s="9"/>
      <c r="Q162" s="12"/>
      <c r="R162" s="12"/>
      <c r="S162" s="12"/>
      <c r="T162" s="12"/>
      <c r="U162" s="12"/>
      <c r="V162" s="12"/>
      <c r="W162" s="10"/>
      <c r="X162" s="9"/>
      <c r="Y162" s="10"/>
      <c r="Z162" s="11"/>
      <c r="AA162" s="10"/>
      <c r="AB162" s="10"/>
      <c r="AC162" s="11"/>
      <c r="AD162" s="10"/>
      <c r="AE162" s="11"/>
      <c r="AF162" s="10"/>
      <c r="AG162" s="10"/>
      <c r="AH162" s="10"/>
    </row>
    <row r="163" spans="1:34" x14ac:dyDescent="0.25">
      <c r="A163" s="9"/>
      <c r="B163" s="9"/>
      <c r="C163" s="10"/>
      <c r="D163" s="9"/>
      <c r="E163" s="9"/>
      <c r="F163" s="9"/>
      <c r="G163" s="10"/>
      <c r="H163" s="9"/>
      <c r="I163" s="9"/>
      <c r="J163" s="9"/>
      <c r="K163" s="9"/>
      <c r="L163" s="9"/>
      <c r="M163" s="9"/>
      <c r="N163" s="9"/>
      <c r="O163" s="9"/>
      <c r="P163" s="9"/>
      <c r="Q163" s="12"/>
      <c r="R163" s="12"/>
      <c r="S163" s="12"/>
      <c r="T163" s="12"/>
      <c r="U163" s="12"/>
      <c r="V163" s="12"/>
      <c r="W163" s="10"/>
      <c r="X163" s="9"/>
      <c r="Y163" s="10"/>
      <c r="Z163" s="11"/>
      <c r="AA163" s="10"/>
      <c r="AB163" s="10"/>
      <c r="AC163" s="11"/>
      <c r="AD163" s="10"/>
      <c r="AE163" s="11"/>
      <c r="AF163" s="10"/>
      <c r="AG163" s="10"/>
      <c r="AH163" s="10"/>
    </row>
    <row r="164" spans="1:34" x14ac:dyDescent="0.25">
      <c r="A164" s="9"/>
      <c r="B164" s="9"/>
      <c r="C164" s="10"/>
      <c r="D164" s="9"/>
      <c r="E164" s="9"/>
      <c r="F164" s="9"/>
      <c r="G164" s="10"/>
      <c r="H164" s="9"/>
      <c r="I164" s="9"/>
      <c r="J164" s="9"/>
      <c r="K164" s="9"/>
      <c r="L164" s="9"/>
      <c r="M164" s="9"/>
      <c r="N164" s="9"/>
      <c r="O164" s="9"/>
      <c r="P164" s="9"/>
      <c r="Q164" s="12"/>
      <c r="R164" s="12"/>
      <c r="S164" s="12"/>
      <c r="T164" s="12"/>
      <c r="U164" s="12"/>
      <c r="V164" s="12"/>
      <c r="W164" s="10"/>
      <c r="X164" s="9"/>
      <c r="Y164" s="10"/>
      <c r="Z164" s="11"/>
      <c r="AA164" s="10"/>
      <c r="AB164" s="10"/>
      <c r="AC164" s="11"/>
      <c r="AD164" s="10"/>
      <c r="AE164" s="11"/>
      <c r="AF164" s="10"/>
      <c r="AG164" s="10"/>
      <c r="AH164" s="10"/>
    </row>
    <row r="165" spans="1:34" x14ac:dyDescent="0.25">
      <c r="A165" s="9"/>
      <c r="B165" s="9"/>
      <c r="C165" s="10"/>
      <c r="D165" s="9"/>
      <c r="E165" s="9"/>
      <c r="F165" s="9"/>
      <c r="G165" s="10"/>
      <c r="H165" s="9"/>
      <c r="I165" s="9"/>
      <c r="J165" s="9"/>
      <c r="K165" s="9"/>
      <c r="L165" s="9"/>
      <c r="M165" s="9"/>
      <c r="N165" s="9"/>
      <c r="O165" s="9"/>
      <c r="P165" s="9"/>
      <c r="Q165" s="12"/>
      <c r="R165" s="12"/>
      <c r="S165" s="12"/>
      <c r="T165" s="12"/>
      <c r="U165" s="12"/>
      <c r="V165" s="12"/>
      <c r="W165" s="10"/>
      <c r="X165" s="9"/>
      <c r="Y165" s="10"/>
      <c r="Z165" s="11"/>
      <c r="AA165" s="10"/>
      <c r="AB165" s="10"/>
      <c r="AC165" s="11"/>
      <c r="AD165" s="10"/>
      <c r="AE165" s="11"/>
      <c r="AF165" s="10"/>
      <c r="AG165" s="10"/>
      <c r="AH165" s="10"/>
    </row>
    <row r="166" spans="1:34" x14ac:dyDescent="0.25">
      <c r="A166" s="9"/>
      <c r="B166" s="9"/>
      <c r="C166" s="10"/>
      <c r="D166" s="9"/>
      <c r="E166" s="9"/>
      <c r="F166" s="9"/>
      <c r="G166" s="10"/>
      <c r="H166" s="9"/>
      <c r="I166" s="9"/>
      <c r="J166" s="9"/>
      <c r="K166" s="9"/>
      <c r="L166" s="9"/>
      <c r="M166" s="9"/>
      <c r="N166" s="9"/>
      <c r="O166" s="9"/>
      <c r="P166" s="9"/>
      <c r="Q166" s="12"/>
      <c r="R166" s="12"/>
      <c r="S166" s="12"/>
      <c r="T166" s="12"/>
      <c r="U166" s="12"/>
      <c r="V166" s="12"/>
      <c r="W166" s="10"/>
      <c r="X166" s="9"/>
      <c r="Y166" s="10"/>
      <c r="Z166" s="11"/>
      <c r="AA166" s="10"/>
      <c r="AB166" s="10"/>
      <c r="AC166" s="11"/>
      <c r="AD166" s="10"/>
      <c r="AE166" s="11"/>
      <c r="AF166" s="10"/>
      <c r="AG166" s="10"/>
      <c r="AH166" s="10"/>
    </row>
    <row r="167" spans="1:34" x14ac:dyDescent="0.25">
      <c r="A167" s="9"/>
      <c r="B167" s="9"/>
      <c r="C167" s="10"/>
      <c r="D167" s="9"/>
      <c r="E167" s="9"/>
      <c r="F167" s="9"/>
      <c r="G167" s="10"/>
      <c r="H167" s="9"/>
      <c r="I167" s="9"/>
      <c r="J167" s="9"/>
      <c r="K167" s="9"/>
      <c r="L167" s="9"/>
      <c r="M167" s="9"/>
      <c r="N167" s="9"/>
      <c r="O167" s="9"/>
      <c r="P167" s="9"/>
      <c r="Q167" s="12"/>
      <c r="R167" s="12"/>
      <c r="S167" s="12"/>
      <c r="T167" s="12"/>
      <c r="U167" s="12"/>
      <c r="V167" s="12"/>
      <c r="W167" s="10"/>
      <c r="X167" s="9"/>
      <c r="Y167" s="10"/>
      <c r="Z167" s="11"/>
      <c r="AA167" s="10"/>
      <c r="AB167" s="10"/>
      <c r="AC167" s="11"/>
      <c r="AD167" s="10"/>
      <c r="AE167" s="11"/>
      <c r="AF167" s="10"/>
      <c r="AG167" s="10"/>
      <c r="AH167" s="10"/>
    </row>
    <row r="168" spans="1:34" x14ac:dyDescent="0.25">
      <c r="A168" s="9"/>
      <c r="B168" s="9"/>
      <c r="C168" s="10"/>
      <c r="D168" s="9"/>
      <c r="E168" s="9"/>
      <c r="F168" s="9"/>
      <c r="G168" s="10"/>
      <c r="H168" s="9"/>
      <c r="I168" s="9"/>
      <c r="J168" s="9"/>
      <c r="K168" s="9"/>
      <c r="L168" s="9"/>
      <c r="M168" s="9"/>
      <c r="N168" s="9"/>
      <c r="O168" s="9"/>
      <c r="P168" s="9"/>
      <c r="Q168" s="12"/>
      <c r="R168" s="12"/>
      <c r="S168" s="12"/>
      <c r="T168" s="12"/>
      <c r="U168" s="12"/>
      <c r="V168" s="12"/>
      <c r="W168" s="10"/>
      <c r="X168" s="9"/>
      <c r="Y168" s="10"/>
      <c r="Z168" s="11"/>
      <c r="AA168" s="10"/>
      <c r="AB168" s="10"/>
      <c r="AC168" s="11"/>
      <c r="AD168" s="10"/>
      <c r="AE168" s="11"/>
      <c r="AF168" s="10"/>
      <c r="AG168" s="10"/>
      <c r="AH168" s="10"/>
    </row>
    <row r="169" spans="1:34" x14ac:dyDescent="0.25">
      <c r="A169" s="9"/>
      <c r="B169" s="9"/>
      <c r="C169" s="10"/>
      <c r="D169" s="9"/>
      <c r="E169" s="9"/>
      <c r="F169" s="9"/>
      <c r="G169" s="10"/>
      <c r="H169" s="9"/>
      <c r="I169" s="9"/>
      <c r="J169" s="9"/>
      <c r="K169" s="9"/>
      <c r="L169" s="9"/>
      <c r="M169" s="9"/>
      <c r="N169" s="9"/>
      <c r="O169" s="9"/>
      <c r="P169" s="9"/>
      <c r="Q169" s="12"/>
      <c r="R169" s="12"/>
      <c r="S169" s="12"/>
      <c r="T169" s="12"/>
      <c r="U169" s="12"/>
      <c r="V169" s="12"/>
      <c r="W169" s="10"/>
      <c r="X169" s="9"/>
      <c r="Y169" s="10"/>
      <c r="Z169" s="11"/>
      <c r="AA169" s="10"/>
      <c r="AB169" s="10"/>
      <c r="AC169" s="11"/>
      <c r="AD169" s="10"/>
      <c r="AE169" s="11"/>
      <c r="AF169" s="10"/>
      <c r="AG169" s="10"/>
      <c r="AH169" s="10"/>
    </row>
    <row r="170" spans="1:34" x14ac:dyDescent="0.25">
      <c r="A170" s="9"/>
      <c r="B170" s="9"/>
      <c r="C170" s="10"/>
      <c r="D170" s="9"/>
      <c r="E170" s="9"/>
      <c r="F170" s="9"/>
      <c r="G170" s="10"/>
      <c r="H170" s="9"/>
      <c r="I170" s="9"/>
      <c r="J170" s="9"/>
      <c r="K170" s="9"/>
      <c r="L170" s="9"/>
      <c r="M170" s="9"/>
      <c r="N170" s="9"/>
      <c r="O170" s="9"/>
      <c r="P170" s="9"/>
      <c r="Q170" s="12"/>
      <c r="R170" s="12"/>
      <c r="S170" s="12"/>
      <c r="T170" s="12"/>
      <c r="U170" s="12"/>
      <c r="V170" s="12"/>
      <c r="W170" s="10"/>
      <c r="X170" s="9"/>
      <c r="Y170" s="10"/>
      <c r="Z170" s="11"/>
      <c r="AA170" s="10"/>
      <c r="AB170" s="10"/>
      <c r="AC170" s="11"/>
      <c r="AD170" s="10"/>
      <c r="AE170" s="11"/>
      <c r="AF170" s="10"/>
      <c r="AG170" s="10"/>
      <c r="AH170" s="10"/>
    </row>
    <row r="171" spans="1:34" x14ac:dyDescent="0.25">
      <c r="A171" s="9"/>
      <c r="B171" s="9"/>
      <c r="C171" s="10"/>
      <c r="D171" s="9"/>
      <c r="E171" s="9"/>
      <c r="F171" s="9"/>
      <c r="G171" s="10"/>
      <c r="H171" s="9"/>
      <c r="I171" s="9"/>
      <c r="J171" s="9"/>
      <c r="K171" s="9"/>
      <c r="L171" s="9"/>
      <c r="M171" s="9"/>
      <c r="N171" s="9"/>
      <c r="O171" s="9"/>
      <c r="P171" s="9"/>
      <c r="Q171" s="12"/>
      <c r="R171" s="12"/>
      <c r="S171" s="12"/>
      <c r="T171" s="12"/>
      <c r="U171" s="12"/>
      <c r="V171" s="12"/>
      <c r="W171" s="10"/>
      <c r="X171" s="9"/>
      <c r="Y171" s="10"/>
      <c r="Z171" s="11"/>
      <c r="AA171" s="10"/>
      <c r="AB171" s="10"/>
      <c r="AC171" s="11"/>
      <c r="AD171" s="10"/>
      <c r="AE171" s="11"/>
      <c r="AF171" s="10"/>
      <c r="AG171" s="10"/>
      <c r="AH171" s="10"/>
    </row>
    <row r="172" spans="1:34" x14ac:dyDescent="0.25">
      <c r="A172" s="9"/>
      <c r="B172" s="9"/>
      <c r="C172" s="10"/>
      <c r="D172" s="9"/>
      <c r="E172" s="9"/>
      <c r="F172" s="9"/>
      <c r="G172" s="10"/>
      <c r="H172" s="9"/>
      <c r="I172" s="9"/>
      <c r="J172" s="9"/>
      <c r="K172" s="9"/>
      <c r="L172" s="9"/>
      <c r="M172" s="9"/>
      <c r="N172" s="9"/>
      <c r="O172" s="9"/>
      <c r="P172" s="9"/>
      <c r="Q172" s="12"/>
      <c r="R172" s="12"/>
      <c r="S172" s="12"/>
      <c r="T172" s="12"/>
      <c r="U172" s="12"/>
      <c r="V172" s="12"/>
      <c r="W172" s="10"/>
      <c r="X172" s="9"/>
      <c r="Y172" s="10"/>
      <c r="Z172" s="11"/>
      <c r="AA172" s="10"/>
      <c r="AB172" s="10"/>
      <c r="AC172" s="11"/>
      <c r="AD172" s="10"/>
      <c r="AE172" s="11"/>
      <c r="AF172" s="10"/>
      <c r="AG172" s="10"/>
      <c r="AH172" s="10"/>
    </row>
    <row r="173" spans="1:34" x14ac:dyDescent="0.25">
      <c r="A173" s="9"/>
      <c r="B173" s="9"/>
      <c r="C173" s="10"/>
      <c r="D173" s="9"/>
      <c r="E173" s="9"/>
      <c r="F173" s="9"/>
      <c r="G173" s="10"/>
      <c r="H173" s="9"/>
      <c r="I173" s="9"/>
      <c r="J173" s="9"/>
      <c r="K173" s="9"/>
      <c r="L173" s="9"/>
      <c r="M173" s="9"/>
      <c r="N173" s="9"/>
      <c r="O173" s="9"/>
      <c r="P173" s="9"/>
      <c r="Q173" s="12"/>
      <c r="R173" s="12"/>
      <c r="S173" s="12"/>
      <c r="T173" s="12"/>
      <c r="U173" s="12"/>
      <c r="V173" s="12"/>
      <c r="W173" s="10"/>
      <c r="X173" s="9"/>
      <c r="Y173" s="10"/>
      <c r="Z173" s="11"/>
      <c r="AA173" s="10"/>
      <c r="AB173" s="10"/>
      <c r="AC173" s="11"/>
      <c r="AD173" s="10"/>
      <c r="AE173" s="11"/>
      <c r="AF173" s="10"/>
      <c r="AG173" s="10"/>
      <c r="AH173" s="10"/>
    </row>
    <row r="174" spans="1:34" x14ac:dyDescent="0.25">
      <c r="A174" s="9"/>
      <c r="B174" s="9"/>
      <c r="C174" s="10"/>
      <c r="D174" s="9"/>
      <c r="E174" s="9"/>
      <c r="F174" s="9"/>
      <c r="G174" s="10"/>
      <c r="H174" s="9"/>
      <c r="I174" s="9"/>
      <c r="J174" s="9"/>
      <c r="K174" s="9"/>
      <c r="L174" s="9"/>
      <c r="M174" s="9"/>
      <c r="N174" s="9"/>
      <c r="O174" s="9"/>
      <c r="P174" s="9"/>
      <c r="Q174" s="12"/>
      <c r="R174" s="12"/>
      <c r="S174" s="12"/>
      <c r="T174" s="12"/>
      <c r="U174" s="12"/>
      <c r="V174" s="12"/>
      <c r="W174" s="10"/>
      <c r="X174" s="9"/>
      <c r="Y174" s="10"/>
      <c r="Z174" s="11"/>
      <c r="AA174" s="10"/>
      <c r="AB174" s="10"/>
      <c r="AC174" s="11"/>
      <c r="AD174" s="10"/>
      <c r="AE174" s="11"/>
      <c r="AF174" s="10"/>
      <c r="AG174" s="10"/>
      <c r="AH174" s="10"/>
    </row>
    <row r="175" spans="1:34" x14ac:dyDescent="0.25">
      <c r="A175" s="9"/>
      <c r="B175" s="9"/>
      <c r="C175" s="10"/>
      <c r="D175" s="9"/>
      <c r="E175" s="9"/>
      <c r="F175" s="9"/>
      <c r="G175" s="10"/>
      <c r="H175" s="9"/>
      <c r="I175" s="9"/>
      <c r="J175" s="9"/>
      <c r="K175" s="9"/>
      <c r="L175" s="9"/>
      <c r="M175" s="9"/>
      <c r="N175" s="9"/>
      <c r="O175" s="9"/>
      <c r="P175" s="9"/>
      <c r="Q175" s="12"/>
      <c r="R175" s="12"/>
      <c r="S175" s="12"/>
      <c r="T175" s="12"/>
      <c r="U175" s="12"/>
      <c r="V175" s="12"/>
      <c r="W175" s="10"/>
      <c r="X175" s="9"/>
      <c r="Y175" s="10"/>
      <c r="Z175" s="11"/>
      <c r="AA175" s="10"/>
      <c r="AB175" s="10"/>
      <c r="AC175" s="11"/>
      <c r="AD175" s="10"/>
      <c r="AE175" s="11"/>
      <c r="AF175" s="10"/>
      <c r="AG175" s="10"/>
      <c r="AH175" s="10"/>
    </row>
    <row r="176" spans="1:34" x14ac:dyDescent="0.25">
      <c r="A176" s="9"/>
      <c r="B176" s="9"/>
      <c r="C176" s="10"/>
      <c r="D176" s="9"/>
      <c r="E176" s="9"/>
      <c r="F176" s="9"/>
      <c r="G176" s="10"/>
      <c r="H176" s="9"/>
      <c r="I176" s="9"/>
      <c r="J176" s="9"/>
      <c r="K176" s="9"/>
      <c r="L176" s="9"/>
      <c r="M176" s="9"/>
      <c r="N176" s="9"/>
      <c r="O176" s="9"/>
      <c r="P176" s="9"/>
      <c r="Q176" s="12"/>
      <c r="R176" s="12"/>
      <c r="S176" s="12"/>
      <c r="T176" s="12"/>
      <c r="U176" s="12"/>
      <c r="V176" s="12"/>
      <c r="W176" s="10"/>
      <c r="X176" s="9"/>
      <c r="Y176" s="10"/>
      <c r="Z176" s="11"/>
      <c r="AA176" s="10"/>
      <c r="AB176" s="10"/>
      <c r="AC176" s="11"/>
      <c r="AD176" s="10"/>
      <c r="AE176" s="11"/>
      <c r="AF176" s="10"/>
      <c r="AG176" s="10"/>
      <c r="AH176" s="10"/>
    </row>
    <row r="177" spans="1:34" x14ac:dyDescent="0.25">
      <c r="A177" s="9"/>
      <c r="B177" s="9"/>
      <c r="C177" s="10"/>
      <c r="D177" s="9"/>
      <c r="E177" s="9"/>
      <c r="F177" s="9"/>
      <c r="G177" s="10"/>
      <c r="H177" s="9"/>
      <c r="I177" s="9"/>
      <c r="J177" s="9"/>
      <c r="K177" s="9"/>
      <c r="L177" s="9"/>
      <c r="M177" s="9"/>
      <c r="N177" s="9"/>
      <c r="O177" s="9"/>
      <c r="P177" s="9"/>
      <c r="Q177" s="12"/>
      <c r="R177" s="12"/>
      <c r="S177" s="12"/>
      <c r="T177" s="12"/>
      <c r="U177" s="12"/>
      <c r="V177" s="12"/>
      <c r="W177" s="10"/>
      <c r="X177" s="9"/>
      <c r="Y177" s="10"/>
      <c r="Z177" s="11"/>
      <c r="AA177" s="10"/>
      <c r="AB177" s="10"/>
      <c r="AC177" s="11"/>
      <c r="AD177" s="10"/>
      <c r="AE177" s="11"/>
      <c r="AF177" s="10"/>
      <c r="AG177" s="10"/>
      <c r="AH177" s="10"/>
    </row>
    <row r="178" spans="1:34" x14ac:dyDescent="0.25">
      <c r="A178" s="9"/>
      <c r="B178" s="9"/>
      <c r="C178" s="10"/>
      <c r="D178" s="9"/>
      <c r="E178" s="9"/>
      <c r="F178" s="9"/>
      <c r="G178" s="10"/>
      <c r="H178" s="9"/>
      <c r="I178" s="9"/>
      <c r="J178" s="9"/>
      <c r="K178" s="9"/>
      <c r="L178" s="9"/>
      <c r="M178" s="9"/>
      <c r="N178" s="9"/>
      <c r="O178" s="9"/>
      <c r="P178" s="9"/>
      <c r="Q178" s="12"/>
      <c r="R178" s="12"/>
      <c r="S178" s="12"/>
      <c r="T178" s="12"/>
      <c r="U178" s="12"/>
      <c r="V178" s="12"/>
      <c r="W178" s="10"/>
      <c r="X178" s="9"/>
      <c r="Y178" s="10"/>
      <c r="Z178" s="11"/>
      <c r="AA178" s="10"/>
      <c r="AB178" s="10"/>
      <c r="AC178" s="11"/>
      <c r="AD178" s="10"/>
      <c r="AE178" s="11"/>
      <c r="AF178" s="10"/>
      <c r="AG178" s="10"/>
      <c r="AH178" s="10"/>
    </row>
    <row r="179" spans="1:34" x14ac:dyDescent="0.25">
      <c r="A179" s="9"/>
      <c r="B179" s="9"/>
      <c r="C179" s="10"/>
      <c r="D179" s="9"/>
      <c r="E179" s="9"/>
      <c r="F179" s="9"/>
      <c r="G179" s="10"/>
      <c r="H179" s="9"/>
      <c r="I179" s="9"/>
      <c r="J179" s="9"/>
      <c r="K179" s="9"/>
      <c r="L179" s="9"/>
      <c r="M179" s="9"/>
      <c r="N179" s="9"/>
      <c r="O179" s="9"/>
      <c r="P179" s="9"/>
      <c r="Q179" s="12"/>
      <c r="R179" s="12"/>
      <c r="S179" s="12"/>
      <c r="T179" s="12"/>
      <c r="U179" s="12"/>
      <c r="V179" s="12"/>
      <c r="W179" s="10"/>
      <c r="X179" s="9"/>
      <c r="Y179" s="10"/>
      <c r="Z179" s="11"/>
      <c r="AA179" s="10"/>
      <c r="AB179" s="10"/>
      <c r="AC179" s="11"/>
      <c r="AD179" s="10"/>
      <c r="AE179" s="11"/>
      <c r="AF179" s="10"/>
      <c r="AG179" s="10"/>
      <c r="AH179" s="10"/>
    </row>
    <row r="180" spans="1:34" x14ac:dyDescent="0.25">
      <c r="A180" s="9"/>
      <c r="B180" s="9"/>
      <c r="C180" s="10"/>
      <c r="D180" s="9"/>
      <c r="E180" s="9"/>
      <c r="F180" s="9"/>
      <c r="G180" s="10"/>
      <c r="H180" s="9"/>
      <c r="I180" s="9"/>
      <c r="J180" s="9"/>
      <c r="K180" s="9"/>
      <c r="L180" s="9"/>
      <c r="M180" s="9"/>
      <c r="N180" s="9"/>
      <c r="O180" s="9"/>
      <c r="P180" s="9"/>
      <c r="Q180" s="12"/>
      <c r="R180" s="12"/>
      <c r="S180" s="12"/>
      <c r="T180" s="12"/>
      <c r="U180" s="12"/>
      <c r="V180" s="12"/>
      <c r="W180" s="10"/>
      <c r="X180" s="9"/>
      <c r="Y180" s="10"/>
      <c r="Z180" s="11"/>
      <c r="AA180" s="10"/>
      <c r="AB180" s="10"/>
      <c r="AC180" s="11"/>
      <c r="AD180" s="10"/>
      <c r="AE180" s="11"/>
      <c r="AF180" s="10"/>
      <c r="AG180" s="10"/>
      <c r="AH180" s="10"/>
    </row>
    <row r="181" spans="1:34" x14ac:dyDescent="0.25">
      <c r="A181" s="9"/>
      <c r="B181" s="9"/>
      <c r="C181" s="10"/>
      <c r="D181" s="9"/>
      <c r="E181" s="9"/>
      <c r="F181" s="9"/>
      <c r="G181" s="10"/>
      <c r="H181" s="9"/>
      <c r="I181" s="9"/>
      <c r="J181" s="9"/>
      <c r="K181" s="9"/>
      <c r="L181" s="9"/>
      <c r="M181" s="9"/>
      <c r="N181" s="9"/>
      <c r="O181" s="9"/>
      <c r="P181" s="9"/>
      <c r="Q181" s="12"/>
      <c r="R181" s="12"/>
      <c r="S181" s="12"/>
      <c r="T181" s="12"/>
      <c r="U181" s="12"/>
      <c r="V181" s="11"/>
      <c r="W181" s="10"/>
      <c r="X181" s="9"/>
      <c r="Y181" s="10"/>
      <c r="Z181" s="11"/>
      <c r="AA181" s="10"/>
      <c r="AB181" s="10"/>
      <c r="AC181" s="11"/>
      <c r="AD181" s="10"/>
      <c r="AE181" s="11"/>
      <c r="AF181" s="10"/>
      <c r="AG181" s="10"/>
      <c r="AH181" s="11"/>
    </row>
    <row r="182" spans="1:34" x14ac:dyDescent="0.25">
      <c r="A182" s="9"/>
      <c r="B182" s="9"/>
      <c r="C182" s="10"/>
      <c r="D182" s="9"/>
      <c r="E182" s="9"/>
      <c r="F182" s="9"/>
      <c r="G182" s="10"/>
      <c r="H182" s="9"/>
      <c r="I182" s="9"/>
      <c r="J182" s="9"/>
      <c r="K182" s="9"/>
      <c r="L182" s="9"/>
      <c r="M182" s="9"/>
      <c r="N182" s="9"/>
      <c r="O182" s="9"/>
      <c r="P182" s="9"/>
      <c r="Q182" s="12"/>
      <c r="R182" s="12"/>
      <c r="S182" s="12"/>
      <c r="T182" s="12"/>
      <c r="U182" s="12"/>
      <c r="V182" s="12"/>
      <c r="W182" s="10"/>
      <c r="X182" s="9"/>
      <c r="Y182" s="10"/>
      <c r="Z182" s="11"/>
      <c r="AA182" s="10"/>
      <c r="AB182" s="10"/>
      <c r="AC182" s="11"/>
      <c r="AD182" s="10"/>
      <c r="AE182" s="11"/>
      <c r="AF182" s="10"/>
      <c r="AG182" s="10"/>
      <c r="AH182" s="10"/>
    </row>
    <row r="183" spans="1:34" x14ac:dyDescent="0.25">
      <c r="A183" s="9"/>
      <c r="B183" s="9"/>
      <c r="C183" s="10"/>
      <c r="D183" s="9"/>
      <c r="E183" s="9"/>
      <c r="F183" s="9"/>
      <c r="G183" s="10"/>
      <c r="H183" s="9"/>
      <c r="I183" s="9"/>
      <c r="J183" s="9"/>
      <c r="K183" s="9"/>
      <c r="L183" s="9"/>
      <c r="M183" s="9"/>
      <c r="N183" s="9"/>
      <c r="O183" s="9"/>
      <c r="P183" s="9"/>
      <c r="Q183" s="12"/>
      <c r="R183" s="12"/>
      <c r="S183" s="12"/>
      <c r="T183" s="12"/>
      <c r="U183" s="12"/>
      <c r="V183" s="12"/>
      <c r="W183" s="10"/>
      <c r="X183" s="9"/>
      <c r="Y183" s="10"/>
      <c r="Z183" s="11"/>
      <c r="AA183" s="10"/>
      <c r="AB183" s="10"/>
      <c r="AC183" s="11"/>
      <c r="AD183" s="10"/>
      <c r="AE183" s="11"/>
      <c r="AF183" s="10"/>
      <c r="AG183" s="10"/>
      <c r="AH183" s="10"/>
    </row>
    <row r="184" spans="1:34" x14ac:dyDescent="0.25">
      <c r="A184" s="9"/>
      <c r="B184" s="9"/>
      <c r="C184" s="10"/>
      <c r="D184" s="9"/>
      <c r="E184" s="9"/>
      <c r="F184" s="9"/>
      <c r="G184" s="10"/>
      <c r="H184" s="9"/>
      <c r="I184" s="9"/>
      <c r="J184" s="9"/>
      <c r="K184" s="9"/>
      <c r="L184" s="9"/>
      <c r="M184" s="9"/>
      <c r="N184" s="9"/>
      <c r="O184" s="9"/>
      <c r="P184" s="9"/>
      <c r="Q184" s="12"/>
      <c r="R184" s="12"/>
      <c r="S184" s="12"/>
      <c r="T184" s="12"/>
      <c r="U184" s="12"/>
      <c r="V184" s="12"/>
      <c r="W184" s="10"/>
      <c r="X184" s="9"/>
      <c r="Y184" s="10"/>
      <c r="Z184" s="11"/>
      <c r="AA184" s="10"/>
      <c r="AB184" s="10"/>
      <c r="AC184" s="11"/>
      <c r="AD184" s="10"/>
      <c r="AE184" s="11"/>
      <c r="AF184" s="10"/>
      <c r="AG184" s="10"/>
      <c r="AH184" s="10"/>
    </row>
    <row r="185" spans="1:34" x14ac:dyDescent="0.25">
      <c r="A185" s="9"/>
      <c r="B185" s="9"/>
      <c r="C185" s="10"/>
      <c r="D185" s="9"/>
      <c r="E185" s="9"/>
      <c r="F185" s="9"/>
      <c r="G185" s="10"/>
      <c r="H185" s="9"/>
      <c r="I185" s="9"/>
      <c r="J185" s="9"/>
      <c r="K185" s="9"/>
      <c r="L185" s="9"/>
      <c r="M185" s="9"/>
      <c r="N185" s="9"/>
      <c r="O185" s="9"/>
      <c r="P185" s="9"/>
      <c r="Q185" s="12"/>
      <c r="R185" s="12"/>
      <c r="S185" s="12"/>
      <c r="T185" s="12"/>
      <c r="U185" s="12"/>
      <c r="V185" s="11"/>
      <c r="W185" s="10"/>
      <c r="X185" s="9"/>
      <c r="Y185" s="10"/>
      <c r="Z185" s="11"/>
      <c r="AA185" s="10"/>
      <c r="AB185" s="10"/>
      <c r="AC185" s="11"/>
      <c r="AD185" s="10"/>
      <c r="AE185" s="11"/>
      <c r="AF185" s="10"/>
      <c r="AG185" s="10"/>
      <c r="AH185" s="11"/>
    </row>
    <row r="186" spans="1:34" x14ac:dyDescent="0.25">
      <c r="A186" s="9"/>
      <c r="B186" s="9"/>
      <c r="C186" s="10"/>
      <c r="D186" s="9"/>
      <c r="E186" s="9"/>
      <c r="F186" s="9"/>
      <c r="G186" s="10"/>
      <c r="H186" s="9"/>
      <c r="I186" s="9"/>
      <c r="J186" s="9"/>
      <c r="K186" s="9"/>
      <c r="L186" s="9"/>
      <c r="M186" s="9"/>
      <c r="N186" s="9"/>
      <c r="O186" s="9"/>
      <c r="P186" s="9"/>
      <c r="Q186" s="12"/>
      <c r="R186" s="12"/>
      <c r="S186" s="12"/>
      <c r="T186" s="12"/>
      <c r="U186" s="12"/>
      <c r="V186" s="12"/>
      <c r="W186" s="10"/>
      <c r="X186" s="9"/>
      <c r="Y186" s="10"/>
      <c r="Z186" s="11"/>
      <c r="AA186" s="10"/>
      <c r="AB186" s="10"/>
      <c r="AC186" s="11"/>
      <c r="AD186" s="10"/>
      <c r="AE186" s="11"/>
      <c r="AF186" s="10"/>
      <c r="AG186" s="10"/>
      <c r="AH186" s="10"/>
    </row>
    <row r="187" spans="1:34" x14ac:dyDescent="0.25">
      <c r="A187" s="9"/>
      <c r="B187" s="9"/>
      <c r="C187" s="10"/>
      <c r="D187" s="9"/>
      <c r="E187" s="9"/>
      <c r="F187" s="9"/>
      <c r="G187" s="10"/>
      <c r="H187" s="9"/>
      <c r="I187" s="9"/>
      <c r="J187" s="9"/>
      <c r="K187" s="9"/>
      <c r="L187" s="9"/>
      <c r="M187" s="9"/>
      <c r="N187" s="9"/>
      <c r="O187" s="9"/>
      <c r="P187" s="9"/>
      <c r="Q187" s="12"/>
      <c r="R187" s="12"/>
      <c r="S187" s="12"/>
      <c r="T187" s="12"/>
      <c r="U187" s="12"/>
      <c r="V187" s="12"/>
      <c r="W187" s="10"/>
      <c r="X187" s="9"/>
      <c r="Y187" s="10"/>
      <c r="Z187" s="11"/>
      <c r="AA187" s="10"/>
      <c r="AB187" s="10"/>
      <c r="AC187" s="11"/>
      <c r="AD187" s="10"/>
      <c r="AE187" s="11"/>
      <c r="AF187" s="10"/>
      <c r="AG187" s="10"/>
      <c r="AH187" s="10"/>
    </row>
    <row r="188" spans="1:34" x14ac:dyDescent="0.25">
      <c r="A188" s="9"/>
      <c r="B188" s="9"/>
      <c r="C188" s="10"/>
      <c r="D188" s="9"/>
      <c r="E188" s="9"/>
      <c r="F188" s="9"/>
      <c r="G188" s="10"/>
      <c r="H188" s="9"/>
      <c r="I188" s="9"/>
      <c r="J188" s="9"/>
      <c r="K188" s="9"/>
      <c r="L188" s="9"/>
      <c r="M188" s="9"/>
      <c r="N188" s="9"/>
      <c r="O188" s="9"/>
      <c r="P188" s="9"/>
      <c r="Q188" s="12"/>
      <c r="R188" s="12"/>
      <c r="S188" s="12"/>
      <c r="T188" s="12"/>
      <c r="U188" s="12"/>
      <c r="V188" s="12"/>
      <c r="W188" s="10"/>
      <c r="X188" s="9"/>
      <c r="Y188" s="10"/>
      <c r="Z188" s="11"/>
      <c r="AA188" s="10"/>
      <c r="AB188" s="10"/>
      <c r="AC188" s="11"/>
      <c r="AD188" s="10"/>
      <c r="AE188" s="11"/>
      <c r="AF188" s="10"/>
      <c r="AG188" s="10"/>
      <c r="AH188" s="10"/>
    </row>
    <row r="189" spans="1:34" x14ac:dyDescent="0.25">
      <c r="A189" s="9"/>
      <c r="B189" s="9"/>
      <c r="C189" s="10"/>
      <c r="D189" s="9"/>
      <c r="E189" s="9"/>
      <c r="F189" s="9"/>
      <c r="G189" s="10"/>
      <c r="H189" s="9"/>
      <c r="I189" s="9"/>
      <c r="J189" s="9"/>
      <c r="K189" s="9"/>
      <c r="L189" s="9"/>
      <c r="M189" s="9"/>
      <c r="N189" s="9"/>
      <c r="O189" s="9"/>
      <c r="P189" s="9"/>
      <c r="Q189" s="12"/>
      <c r="R189" s="12"/>
      <c r="S189" s="12"/>
      <c r="T189" s="12"/>
      <c r="U189" s="12"/>
      <c r="V189" s="12"/>
      <c r="W189" s="10"/>
      <c r="X189" s="9"/>
      <c r="Y189" s="10"/>
      <c r="Z189" s="11"/>
      <c r="AA189" s="10"/>
      <c r="AB189" s="10"/>
      <c r="AC189" s="11"/>
      <c r="AD189" s="10"/>
      <c r="AE189" s="11"/>
      <c r="AF189" s="10"/>
      <c r="AG189" s="10"/>
      <c r="AH189" s="10"/>
    </row>
    <row r="190" spans="1:34" x14ac:dyDescent="0.25">
      <c r="A190" s="9"/>
      <c r="B190" s="9"/>
      <c r="C190" s="10"/>
      <c r="D190" s="9"/>
      <c r="E190" s="9"/>
      <c r="F190" s="9"/>
      <c r="G190" s="10"/>
      <c r="H190" s="9"/>
      <c r="I190" s="9"/>
      <c r="J190" s="9"/>
      <c r="K190" s="9"/>
      <c r="L190" s="9"/>
      <c r="M190" s="9"/>
      <c r="N190" s="9"/>
      <c r="O190" s="9"/>
      <c r="P190" s="9"/>
      <c r="Q190" s="12"/>
      <c r="R190" s="12"/>
      <c r="S190" s="12"/>
      <c r="T190" s="12"/>
      <c r="U190" s="12"/>
      <c r="V190" s="12"/>
      <c r="W190" s="10"/>
      <c r="X190" s="9"/>
      <c r="Y190" s="10"/>
      <c r="Z190" s="11"/>
      <c r="AA190" s="10"/>
      <c r="AB190" s="10"/>
      <c r="AC190" s="11"/>
      <c r="AD190" s="10"/>
      <c r="AE190" s="11"/>
      <c r="AF190" s="10"/>
      <c r="AG190" s="10"/>
      <c r="AH190" s="10"/>
    </row>
    <row r="191" spans="1:34" x14ac:dyDescent="0.25">
      <c r="A191" s="9"/>
      <c r="B191" s="9"/>
      <c r="C191" s="10"/>
      <c r="D191" s="9"/>
      <c r="E191" s="9"/>
      <c r="F191" s="9"/>
      <c r="G191" s="10"/>
      <c r="H191" s="9"/>
      <c r="I191" s="9"/>
      <c r="J191" s="9"/>
      <c r="K191" s="9"/>
      <c r="L191" s="9"/>
      <c r="M191" s="9"/>
      <c r="N191" s="9"/>
      <c r="O191" s="9"/>
      <c r="P191" s="9"/>
      <c r="Q191" s="12"/>
      <c r="R191" s="12"/>
      <c r="S191" s="12"/>
      <c r="T191" s="12"/>
      <c r="U191" s="12"/>
      <c r="V191" s="12"/>
      <c r="W191" s="10"/>
      <c r="X191" s="9"/>
      <c r="Y191" s="10"/>
      <c r="Z191" s="11"/>
      <c r="AA191" s="10"/>
      <c r="AB191" s="10"/>
      <c r="AC191" s="11"/>
      <c r="AD191" s="10"/>
      <c r="AE191" s="11"/>
      <c r="AF191" s="10"/>
      <c r="AG191" s="10"/>
      <c r="AH191" s="10"/>
    </row>
    <row r="192" spans="1:34" x14ac:dyDescent="0.25">
      <c r="A192" s="9"/>
      <c r="B192" s="9"/>
      <c r="C192" s="10"/>
      <c r="D192" s="9"/>
      <c r="E192" s="9"/>
      <c r="F192" s="9"/>
      <c r="G192" s="10"/>
      <c r="H192" s="9"/>
      <c r="I192" s="9"/>
      <c r="J192" s="9"/>
      <c r="K192" s="9"/>
      <c r="L192" s="9"/>
      <c r="M192" s="9"/>
      <c r="N192" s="9"/>
      <c r="O192" s="9"/>
      <c r="P192" s="9"/>
      <c r="Q192" s="12"/>
      <c r="R192" s="12"/>
      <c r="S192" s="12"/>
      <c r="T192" s="12"/>
      <c r="U192" s="12"/>
      <c r="V192" s="12"/>
      <c r="W192" s="10"/>
      <c r="X192" s="9"/>
      <c r="Y192" s="10"/>
      <c r="Z192" s="11"/>
      <c r="AA192" s="10"/>
      <c r="AB192" s="10"/>
      <c r="AC192" s="11"/>
      <c r="AD192" s="10"/>
      <c r="AE192" s="11"/>
      <c r="AF192" s="10"/>
      <c r="AG192" s="10"/>
      <c r="AH192" s="10"/>
    </row>
    <row r="193" spans="1:34" x14ac:dyDescent="0.25">
      <c r="A193" s="9"/>
      <c r="B193" s="9"/>
      <c r="C193" s="10"/>
      <c r="D193" s="9"/>
      <c r="E193" s="9"/>
      <c r="F193" s="9"/>
      <c r="G193" s="10"/>
      <c r="H193" s="9"/>
      <c r="I193" s="9"/>
      <c r="J193" s="9"/>
      <c r="K193" s="9"/>
      <c r="L193" s="9"/>
      <c r="M193" s="9"/>
      <c r="N193" s="9"/>
      <c r="O193" s="9"/>
      <c r="P193" s="9"/>
      <c r="Q193" s="12"/>
      <c r="R193" s="12"/>
      <c r="S193" s="12"/>
      <c r="T193" s="12"/>
      <c r="U193" s="12"/>
      <c r="V193" s="12"/>
      <c r="W193" s="10"/>
      <c r="X193" s="9"/>
      <c r="Y193" s="10"/>
      <c r="Z193" s="11"/>
      <c r="AA193" s="10"/>
      <c r="AB193" s="10"/>
      <c r="AC193" s="11"/>
      <c r="AD193" s="10"/>
      <c r="AE193" s="11"/>
      <c r="AF193" s="10"/>
      <c r="AG193" s="10"/>
      <c r="AH193" s="10"/>
    </row>
    <row r="194" spans="1:34" x14ac:dyDescent="0.25">
      <c r="A194" s="9"/>
      <c r="B194" s="9"/>
      <c r="C194" s="10"/>
      <c r="D194" s="9"/>
      <c r="E194" s="9"/>
      <c r="F194" s="9"/>
      <c r="G194" s="10"/>
      <c r="H194" s="9"/>
      <c r="I194" s="9"/>
      <c r="J194" s="9"/>
      <c r="K194" s="9"/>
      <c r="L194" s="9"/>
      <c r="M194" s="9"/>
      <c r="N194" s="9"/>
      <c r="O194" s="9"/>
      <c r="P194" s="9"/>
      <c r="Q194" s="12"/>
      <c r="R194" s="12"/>
      <c r="S194" s="12"/>
      <c r="T194" s="12"/>
      <c r="U194" s="12"/>
      <c r="V194" s="12"/>
      <c r="W194" s="10"/>
      <c r="X194" s="9"/>
      <c r="Y194" s="10"/>
      <c r="Z194" s="11"/>
      <c r="AA194" s="10"/>
      <c r="AB194" s="10"/>
      <c r="AC194" s="11"/>
      <c r="AD194" s="10"/>
      <c r="AE194" s="11"/>
      <c r="AF194" s="10"/>
      <c r="AG194" s="10"/>
      <c r="AH194" s="10"/>
    </row>
    <row r="195" spans="1:34" x14ac:dyDescent="0.25">
      <c r="A195" s="9"/>
      <c r="B195" s="9"/>
      <c r="C195" s="10"/>
      <c r="D195" s="9"/>
      <c r="E195" s="9"/>
      <c r="F195" s="9"/>
      <c r="G195" s="10"/>
      <c r="H195" s="9"/>
      <c r="I195" s="9"/>
      <c r="J195" s="9"/>
      <c r="K195" s="9"/>
      <c r="L195" s="9"/>
      <c r="M195" s="9"/>
      <c r="N195" s="9"/>
      <c r="O195" s="9"/>
      <c r="P195" s="9"/>
      <c r="Q195" s="12"/>
      <c r="R195" s="12"/>
      <c r="S195" s="12"/>
      <c r="T195" s="12"/>
      <c r="U195" s="12"/>
      <c r="V195" s="12"/>
      <c r="W195" s="10"/>
      <c r="X195" s="9"/>
      <c r="Y195" s="10"/>
      <c r="Z195" s="11"/>
      <c r="AA195" s="10"/>
      <c r="AB195" s="10"/>
      <c r="AC195" s="11"/>
      <c r="AD195" s="10"/>
      <c r="AE195" s="11"/>
      <c r="AF195" s="10"/>
      <c r="AG195" s="10"/>
      <c r="AH195" s="10"/>
    </row>
    <row r="196" spans="1:34" x14ac:dyDescent="0.25">
      <c r="A196" s="9"/>
      <c r="B196" s="9"/>
      <c r="C196" s="10"/>
      <c r="D196" s="9"/>
      <c r="E196" s="9"/>
      <c r="F196" s="9"/>
      <c r="G196" s="10"/>
      <c r="H196" s="9"/>
      <c r="I196" s="9"/>
      <c r="J196" s="9"/>
      <c r="K196" s="9"/>
      <c r="L196" s="9"/>
      <c r="M196" s="9"/>
      <c r="N196" s="9"/>
      <c r="O196" s="9"/>
      <c r="P196" s="9"/>
      <c r="Q196" s="12"/>
      <c r="R196" s="12"/>
      <c r="S196" s="12"/>
      <c r="T196" s="12"/>
      <c r="U196" s="12"/>
      <c r="V196" s="11"/>
      <c r="W196" s="10"/>
      <c r="X196" s="9"/>
      <c r="Y196" s="10"/>
      <c r="Z196" s="11"/>
      <c r="AA196" s="10"/>
      <c r="AB196" s="10"/>
      <c r="AC196" s="11"/>
      <c r="AD196" s="10"/>
      <c r="AE196" s="11"/>
      <c r="AF196" s="10"/>
      <c r="AG196" s="10"/>
      <c r="AH196" s="11"/>
    </row>
    <row r="197" spans="1:34" x14ac:dyDescent="0.25">
      <c r="A197" s="9"/>
      <c r="B197" s="9"/>
      <c r="C197" s="10"/>
      <c r="D197" s="9"/>
      <c r="E197" s="9"/>
      <c r="F197" s="9"/>
      <c r="G197" s="10"/>
      <c r="H197" s="9"/>
      <c r="I197" s="9"/>
      <c r="J197" s="9"/>
      <c r="K197" s="9"/>
      <c r="L197" s="9"/>
      <c r="M197" s="9"/>
      <c r="N197" s="9"/>
      <c r="O197" s="9"/>
      <c r="P197" s="9"/>
      <c r="Q197" s="12"/>
      <c r="R197" s="12"/>
      <c r="S197" s="12"/>
      <c r="T197" s="12"/>
      <c r="U197" s="12"/>
      <c r="V197" s="12"/>
      <c r="W197" s="10"/>
      <c r="X197" s="9"/>
      <c r="Y197" s="10"/>
      <c r="Z197" s="11"/>
      <c r="AA197" s="10"/>
      <c r="AB197" s="10"/>
      <c r="AC197" s="11"/>
      <c r="AD197" s="10"/>
      <c r="AE197" s="11"/>
      <c r="AF197" s="10"/>
      <c r="AG197" s="10"/>
      <c r="AH197" s="10"/>
    </row>
    <row r="198" spans="1:34" x14ac:dyDescent="0.25">
      <c r="A198" s="9"/>
      <c r="B198" s="9"/>
      <c r="C198" s="10"/>
      <c r="D198" s="9"/>
      <c r="E198" s="9"/>
      <c r="F198" s="9"/>
      <c r="G198" s="10"/>
      <c r="H198" s="9"/>
      <c r="I198" s="9"/>
      <c r="J198" s="9"/>
      <c r="K198" s="9"/>
      <c r="L198" s="9"/>
      <c r="M198" s="9"/>
      <c r="N198" s="9"/>
      <c r="O198" s="9"/>
      <c r="P198" s="9"/>
      <c r="Q198" s="12"/>
      <c r="R198" s="12"/>
      <c r="S198" s="12"/>
      <c r="T198" s="12"/>
      <c r="U198" s="12"/>
      <c r="V198" s="12"/>
      <c r="W198" s="10"/>
      <c r="X198" s="9"/>
      <c r="Y198" s="10"/>
      <c r="Z198" s="11"/>
      <c r="AA198" s="10"/>
      <c r="AB198" s="10"/>
      <c r="AC198" s="11"/>
      <c r="AD198" s="10"/>
      <c r="AE198" s="11"/>
      <c r="AF198" s="10"/>
      <c r="AG198" s="10"/>
      <c r="AH198" s="10"/>
    </row>
    <row r="199" spans="1:34" x14ac:dyDescent="0.25">
      <c r="A199" s="9"/>
      <c r="B199" s="9"/>
      <c r="C199" s="10"/>
      <c r="D199" s="9"/>
      <c r="E199" s="9"/>
      <c r="F199" s="9"/>
      <c r="G199" s="10"/>
      <c r="H199" s="9"/>
      <c r="I199" s="9"/>
      <c r="J199" s="9"/>
      <c r="K199" s="9"/>
      <c r="L199" s="9"/>
      <c r="M199" s="9"/>
      <c r="N199" s="9"/>
      <c r="O199" s="9"/>
      <c r="P199" s="9"/>
      <c r="Q199" s="12"/>
      <c r="R199" s="12"/>
      <c r="S199" s="12"/>
      <c r="T199" s="12"/>
      <c r="U199" s="12"/>
      <c r="V199" s="12"/>
      <c r="W199" s="10"/>
      <c r="X199" s="9"/>
      <c r="Y199" s="10"/>
      <c r="Z199" s="11"/>
      <c r="AA199" s="10"/>
      <c r="AB199" s="10"/>
      <c r="AC199" s="11"/>
      <c r="AD199" s="10"/>
      <c r="AE199" s="11"/>
      <c r="AF199" s="10"/>
      <c r="AG199" s="10"/>
      <c r="AH199" s="10"/>
    </row>
    <row r="200" spans="1:34" x14ac:dyDescent="0.25">
      <c r="A200" s="9"/>
      <c r="B200" s="9"/>
      <c r="C200" s="10"/>
      <c r="D200" s="9"/>
      <c r="E200" s="9"/>
      <c r="F200" s="9"/>
      <c r="G200" s="10"/>
      <c r="H200" s="9"/>
      <c r="I200" s="9"/>
      <c r="J200" s="9"/>
      <c r="K200" s="9"/>
      <c r="L200" s="9"/>
      <c r="M200" s="9"/>
      <c r="N200" s="9"/>
      <c r="O200" s="9"/>
      <c r="P200" s="9"/>
      <c r="Q200" s="12"/>
      <c r="R200" s="12"/>
      <c r="S200" s="12"/>
      <c r="T200" s="12"/>
      <c r="U200" s="12"/>
      <c r="V200" s="12"/>
      <c r="W200" s="10"/>
      <c r="X200" s="9"/>
      <c r="Y200" s="10"/>
      <c r="Z200" s="11"/>
      <c r="AA200" s="10"/>
      <c r="AB200" s="10"/>
      <c r="AC200" s="11"/>
      <c r="AD200" s="10"/>
      <c r="AE200" s="11"/>
      <c r="AF200" s="10"/>
      <c r="AG200" s="10"/>
      <c r="AH200" s="10"/>
    </row>
    <row r="201" spans="1:34" x14ac:dyDescent="0.25">
      <c r="A201" s="9"/>
      <c r="B201" s="9"/>
      <c r="C201" s="10"/>
      <c r="D201" s="9"/>
      <c r="E201" s="9"/>
      <c r="F201" s="9"/>
      <c r="G201" s="10"/>
      <c r="H201" s="9"/>
      <c r="I201" s="9"/>
      <c r="J201" s="9"/>
      <c r="K201" s="9"/>
      <c r="L201" s="9"/>
      <c r="M201" s="9"/>
      <c r="N201" s="9"/>
      <c r="O201" s="9"/>
      <c r="P201" s="9"/>
      <c r="Q201" s="12"/>
      <c r="R201" s="12"/>
      <c r="S201" s="12"/>
      <c r="T201" s="12"/>
      <c r="U201" s="12"/>
      <c r="V201" s="12"/>
      <c r="W201" s="10"/>
      <c r="X201" s="9"/>
      <c r="Y201" s="10"/>
      <c r="Z201" s="11"/>
      <c r="AA201" s="10"/>
      <c r="AB201" s="10"/>
      <c r="AC201" s="11"/>
      <c r="AD201" s="10"/>
      <c r="AE201" s="11"/>
      <c r="AF201" s="10"/>
      <c r="AG201" s="10"/>
      <c r="AH201" s="10"/>
    </row>
    <row r="202" spans="1:34" x14ac:dyDescent="0.25">
      <c r="A202" s="9"/>
      <c r="B202" s="9"/>
      <c r="C202" s="10"/>
      <c r="D202" s="9"/>
      <c r="E202" s="9"/>
      <c r="F202" s="9"/>
      <c r="G202" s="10"/>
      <c r="H202" s="9"/>
      <c r="I202" s="9"/>
      <c r="J202" s="9"/>
      <c r="K202" s="9"/>
      <c r="L202" s="9"/>
      <c r="M202" s="9"/>
      <c r="N202" s="9"/>
      <c r="O202" s="9"/>
      <c r="P202" s="9"/>
      <c r="Q202" s="12"/>
      <c r="R202" s="12"/>
      <c r="S202" s="12"/>
      <c r="T202" s="12"/>
      <c r="U202" s="12"/>
      <c r="V202" s="12"/>
      <c r="W202" s="10"/>
      <c r="X202" s="9"/>
      <c r="Y202" s="10"/>
      <c r="Z202" s="11"/>
      <c r="AA202" s="10"/>
      <c r="AB202" s="10"/>
      <c r="AC202" s="11"/>
      <c r="AD202" s="10"/>
      <c r="AE202" s="11"/>
      <c r="AF202" s="10"/>
      <c r="AG202" s="10"/>
      <c r="AH202" s="10"/>
    </row>
    <row r="203" spans="1:34" x14ac:dyDescent="0.25">
      <c r="A203" s="9"/>
      <c r="B203" s="9"/>
      <c r="C203" s="10"/>
      <c r="D203" s="9"/>
      <c r="E203" s="9"/>
      <c r="F203" s="9"/>
      <c r="G203" s="10"/>
      <c r="H203" s="9"/>
      <c r="I203" s="9"/>
      <c r="J203" s="9"/>
      <c r="K203" s="9"/>
      <c r="L203" s="9"/>
      <c r="M203" s="9"/>
      <c r="N203" s="9"/>
      <c r="O203" s="9"/>
      <c r="P203" s="9"/>
      <c r="Q203" s="12"/>
      <c r="R203" s="12"/>
      <c r="S203" s="12"/>
      <c r="T203" s="12"/>
      <c r="U203" s="12"/>
      <c r="V203" s="12"/>
      <c r="W203" s="10"/>
      <c r="X203" s="9"/>
      <c r="Y203" s="10"/>
      <c r="Z203" s="11"/>
      <c r="AA203" s="10"/>
      <c r="AB203" s="10"/>
      <c r="AC203" s="11"/>
      <c r="AD203" s="10"/>
      <c r="AE203" s="11"/>
      <c r="AF203" s="10"/>
      <c r="AG203" s="10"/>
      <c r="AH203" s="10"/>
    </row>
    <row r="204" spans="1:34" x14ac:dyDescent="0.25">
      <c r="A204" s="9"/>
      <c r="B204" s="9"/>
      <c r="C204" s="10"/>
      <c r="D204" s="9"/>
      <c r="E204" s="9"/>
      <c r="F204" s="9"/>
      <c r="G204" s="10"/>
      <c r="H204" s="9"/>
      <c r="I204" s="9"/>
      <c r="J204" s="9"/>
      <c r="K204" s="9"/>
      <c r="L204" s="9"/>
      <c r="M204" s="9"/>
      <c r="N204" s="9"/>
      <c r="O204" s="9"/>
      <c r="P204" s="9"/>
      <c r="Q204" s="12"/>
      <c r="R204" s="12"/>
      <c r="S204" s="12"/>
      <c r="T204" s="12"/>
      <c r="U204" s="12"/>
      <c r="V204" s="12"/>
      <c r="W204" s="10"/>
      <c r="X204" s="9"/>
      <c r="Y204" s="10"/>
      <c r="Z204" s="11"/>
      <c r="AA204" s="10"/>
      <c r="AB204" s="10"/>
      <c r="AC204" s="11"/>
      <c r="AD204" s="10"/>
      <c r="AE204" s="11"/>
      <c r="AF204" s="10"/>
      <c r="AG204" s="10"/>
      <c r="AH204" s="10"/>
    </row>
    <row r="205" spans="1:34" x14ac:dyDescent="0.25">
      <c r="A205" s="9"/>
      <c r="B205" s="9"/>
      <c r="C205" s="10"/>
      <c r="D205" s="9"/>
      <c r="E205" s="9"/>
      <c r="F205" s="9"/>
      <c r="G205" s="10"/>
      <c r="H205" s="9"/>
      <c r="I205" s="9"/>
      <c r="J205" s="9"/>
      <c r="K205" s="9"/>
      <c r="L205" s="9"/>
      <c r="M205" s="9"/>
      <c r="N205" s="9"/>
      <c r="O205" s="9"/>
      <c r="P205" s="9"/>
      <c r="Q205" s="12"/>
      <c r="R205" s="12"/>
      <c r="S205" s="12"/>
      <c r="T205" s="12"/>
      <c r="U205" s="12"/>
      <c r="V205" s="12"/>
      <c r="W205" s="10"/>
      <c r="X205" s="9"/>
      <c r="Y205" s="10"/>
      <c r="Z205" s="11"/>
      <c r="AA205" s="10"/>
      <c r="AB205" s="10"/>
      <c r="AC205" s="11"/>
      <c r="AD205" s="10"/>
      <c r="AE205" s="11"/>
      <c r="AF205" s="10"/>
      <c r="AG205" s="10"/>
      <c r="AH205" s="10"/>
    </row>
    <row r="206" spans="1:34" x14ac:dyDescent="0.25">
      <c r="A206" s="9"/>
      <c r="B206" s="9"/>
      <c r="C206" s="10"/>
      <c r="D206" s="9"/>
      <c r="E206" s="9"/>
      <c r="F206" s="9"/>
      <c r="G206" s="10"/>
      <c r="H206" s="9"/>
      <c r="I206" s="9"/>
      <c r="J206" s="9"/>
      <c r="K206" s="9"/>
      <c r="L206" s="9"/>
      <c r="M206" s="9"/>
      <c r="N206" s="9"/>
      <c r="O206" s="9"/>
      <c r="P206" s="9"/>
      <c r="Q206" s="12"/>
      <c r="R206" s="12"/>
      <c r="S206" s="12"/>
      <c r="T206" s="12"/>
      <c r="U206" s="12"/>
      <c r="V206" s="12"/>
      <c r="W206" s="10"/>
      <c r="X206" s="9"/>
      <c r="Y206" s="10"/>
      <c r="Z206" s="11"/>
      <c r="AA206" s="10"/>
      <c r="AB206" s="10"/>
      <c r="AC206" s="11"/>
      <c r="AD206" s="10"/>
      <c r="AE206" s="11"/>
      <c r="AF206" s="10"/>
      <c r="AG206" s="10"/>
      <c r="AH206" s="10"/>
    </row>
    <row r="207" spans="1:34" x14ac:dyDescent="0.25">
      <c r="A207" s="9"/>
      <c r="B207" s="9"/>
      <c r="C207" s="10"/>
      <c r="D207" s="9"/>
      <c r="E207" s="9"/>
      <c r="F207" s="9"/>
      <c r="G207" s="10"/>
      <c r="H207" s="9"/>
      <c r="I207" s="9"/>
      <c r="J207" s="9"/>
      <c r="K207" s="9"/>
      <c r="L207" s="9"/>
      <c r="M207" s="9"/>
      <c r="N207" s="9"/>
      <c r="O207" s="9"/>
      <c r="P207" s="9"/>
      <c r="Q207" s="12"/>
      <c r="R207" s="12"/>
      <c r="S207" s="12"/>
      <c r="T207" s="12"/>
      <c r="U207" s="12"/>
      <c r="V207" s="12"/>
      <c r="W207" s="10"/>
      <c r="X207" s="9"/>
      <c r="Y207" s="10"/>
      <c r="Z207" s="11"/>
      <c r="AA207" s="10"/>
      <c r="AB207" s="10"/>
      <c r="AC207" s="11"/>
      <c r="AD207" s="10"/>
      <c r="AE207" s="11"/>
      <c r="AF207" s="10"/>
      <c r="AG207" s="10"/>
      <c r="AH207" s="10"/>
    </row>
    <row r="208" spans="1:34" x14ac:dyDescent="0.25">
      <c r="A208" s="9"/>
      <c r="B208" s="9"/>
      <c r="C208" s="10"/>
      <c r="D208" s="9"/>
      <c r="E208" s="9"/>
      <c r="F208" s="9"/>
      <c r="G208" s="10"/>
      <c r="H208" s="9"/>
      <c r="I208" s="9"/>
      <c r="J208" s="9"/>
      <c r="K208" s="9"/>
      <c r="L208" s="9"/>
      <c r="M208" s="9"/>
      <c r="N208" s="9"/>
      <c r="O208" s="9"/>
      <c r="P208" s="9"/>
      <c r="Q208" s="12"/>
      <c r="R208" s="12"/>
      <c r="S208" s="12"/>
      <c r="T208" s="12"/>
      <c r="U208" s="12"/>
      <c r="V208" s="12"/>
      <c r="W208" s="10"/>
      <c r="X208" s="9"/>
      <c r="Y208" s="10"/>
      <c r="Z208" s="11"/>
      <c r="AA208" s="10"/>
      <c r="AB208" s="10"/>
      <c r="AC208" s="11"/>
      <c r="AD208" s="10"/>
      <c r="AE208" s="11"/>
      <c r="AF208" s="10"/>
      <c r="AG208" s="10"/>
      <c r="AH208" s="10"/>
    </row>
    <row r="209" spans="1:34" x14ac:dyDescent="0.25">
      <c r="A209" s="9"/>
      <c r="B209" s="9"/>
      <c r="C209" s="10"/>
      <c r="D209" s="9"/>
      <c r="E209" s="9"/>
      <c r="F209" s="9"/>
      <c r="G209" s="10"/>
      <c r="H209" s="9"/>
      <c r="I209" s="9"/>
      <c r="J209" s="9"/>
      <c r="K209" s="9"/>
      <c r="L209" s="9"/>
      <c r="M209" s="9"/>
      <c r="N209" s="9"/>
      <c r="O209" s="9"/>
      <c r="P209" s="9"/>
      <c r="Q209" s="12"/>
      <c r="R209" s="12"/>
      <c r="S209" s="12"/>
      <c r="T209" s="12"/>
      <c r="U209" s="12"/>
      <c r="V209" s="12"/>
      <c r="W209" s="10"/>
      <c r="X209" s="9"/>
      <c r="Y209" s="10"/>
      <c r="Z209" s="11"/>
      <c r="AA209" s="10"/>
      <c r="AB209" s="10"/>
      <c r="AC209" s="11"/>
      <c r="AD209" s="10"/>
      <c r="AE209" s="11"/>
      <c r="AF209" s="10"/>
      <c r="AG209" s="10"/>
      <c r="AH209" s="10"/>
    </row>
    <row r="210" spans="1:34" x14ac:dyDescent="0.25">
      <c r="A210" s="9"/>
      <c r="B210" s="9"/>
      <c r="C210" s="10"/>
      <c r="D210" s="9"/>
      <c r="E210" s="9"/>
      <c r="F210" s="9"/>
      <c r="G210" s="10"/>
      <c r="H210" s="9"/>
      <c r="I210" s="9"/>
      <c r="J210" s="9"/>
      <c r="K210" s="9"/>
      <c r="L210" s="9"/>
      <c r="M210" s="9"/>
      <c r="N210" s="9"/>
      <c r="O210" s="9"/>
      <c r="P210" s="9"/>
      <c r="Q210" s="12"/>
      <c r="R210" s="12"/>
      <c r="S210" s="12"/>
      <c r="T210" s="12"/>
      <c r="U210" s="12"/>
      <c r="V210" s="12"/>
      <c r="W210" s="10"/>
      <c r="X210" s="9"/>
      <c r="Y210" s="10"/>
      <c r="Z210" s="11"/>
      <c r="AA210" s="10"/>
      <c r="AB210" s="10"/>
      <c r="AC210" s="11"/>
      <c r="AD210" s="10"/>
      <c r="AE210" s="11"/>
      <c r="AF210" s="10"/>
      <c r="AG210" s="10"/>
      <c r="AH210" s="10"/>
    </row>
    <row r="211" spans="1:34" x14ac:dyDescent="0.25">
      <c r="A211" s="9"/>
      <c r="B211" s="9"/>
      <c r="C211" s="10"/>
      <c r="D211" s="9"/>
      <c r="E211" s="9"/>
      <c r="F211" s="9"/>
      <c r="G211" s="10"/>
      <c r="H211" s="9"/>
      <c r="I211" s="9"/>
      <c r="J211" s="9"/>
      <c r="K211" s="9"/>
      <c r="L211" s="9"/>
      <c r="M211" s="9"/>
      <c r="N211" s="9"/>
      <c r="O211" s="9"/>
      <c r="P211" s="9"/>
      <c r="Q211" s="12"/>
      <c r="R211" s="12"/>
      <c r="S211" s="12"/>
      <c r="T211" s="12"/>
      <c r="U211" s="12"/>
      <c r="V211" s="12"/>
      <c r="W211" s="10"/>
      <c r="X211" s="9"/>
      <c r="Y211" s="10"/>
      <c r="Z211" s="11"/>
      <c r="AA211" s="10"/>
      <c r="AB211" s="10"/>
      <c r="AC211" s="11"/>
      <c r="AD211" s="10"/>
      <c r="AE211" s="11"/>
      <c r="AF211" s="10"/>
      <c r="AG211" s="10"/>
      <c r="AH211" s="10"/>
    </row>
    <row r="212" spans="1:34" x14ac:dyDescent="0.25">
      <c r="A212" s="9"/>
      <c r="B212" s="9"/>
      <c r="C212" s="10"/>
      <c r="D212" s="9"/>
      <c r="E212" s="9"/>
      <c r="F212" s="9"/>
      <c r="G212" s="10"/>
      <c r="H212" s="9"/>
      <c r="I212" s="9"/>
      <c r="J212" s="9"/>
      <c r="K212" s="9"/>
      <c r="L212" s="9"/>
      <c r="M212" s="9"/>
      <c r="N212" s="9"/>
      <c r="O212" s="9"/>
      <c r="P212" s="9"/>
      <c r="Q212" s="12"/>
      <c r="R212" s="12"/>
      <c r="S212" s="12"/>
      <c r="T212" s="12"/>
      <c r="U212" s="12"/>
      <c r="V212" s="12"/>
      <c r="W212" s="10"/>
      <c r="X212" s="9"/>
      <c r="Y212" s="10"/>
      <c r="Z212" s="11"/>
      <c r="AA212" s="10"/>
      <c r="AB212" s="10"/>
      <c r="AC212" s="11"/>
      <c r="AD212" s="10"/>
      <c r="AE212" s="11"/>
      <c r="AF212" s="10"/>
      <c r="AG212" s="10"/>
      <c r="AH212" s="10"/>
    </row>
    <row r="213" spans="1:34" x14ac:dyDescent="0.25">
      <c r="A213" s="9"/>
      <c r="B213" s="9"/>
      <c r="C213" s="10"/>
      <c r="D213" s="9"/>
      <c r="E213" s="9"/>
      <c r="F213" s="9"/>
      <c r="G213" s="10"/>
      <c r="H213" s="9"/>
      <c r="I213" s="9"/>
      <c r="J213" s="9"/>
      <c r="K213" s="9"/>
      <c r="L213" s="9"/>
      <c r="M213" s="9"/>
      <c r="N213" s="9"/>
      <c r="O213" s="9"/>
      <c r="P213" s="9"/>
      <c r="Q213" s="12"/>
      <c r="R213" s="12"/>
      <c r="S213" s="12"/>
      <c r="T213" s="12"/>
      <c r="U213" s="12"/>
      <c r="V213" s="12"/>
      <c r="W213" s="10"/>
      <c r="X213" s="9"/>
      <c r="Y213" s="10"/>
      <c r="Z213" s="11"/>
      <c r="AA213" s="10"/>
      <c r="AB213" s="10"/>
      <c r="AC213" s="11"/>
      <c r="AD213" s="10"/>
      <c r="AE213" s="11"/>
      <c r="AF213" s="10"/>
      <c r="AG213" s="10"/>
      <c r="AH213" s="10"/>
    </row>
    <row r="214" spans="1:34" x14ac:dyDescent="0.25">
      <c r="A214" s="9"/>
      <c r="B214" s="9"/>
      <c r="C214" s="10"/>
      <c r="D214" s="9"/>
      <c r="E214" s="9"/>
      <c r="F214" s="9"/>
      <c r="G214" s="10"/>
      <c r="H214" s="9"/>
      <c r="I214" s="9"/>
      <c r="J214" s="9"/>
      <c r="K214" s="9"/>
      <c r="L214" s="9"/>
      <c r="M214" s="9"/>
      <c r="N214" s="9"/>
      <c r="O214" s="9"/>
      <c r="P214" s="9"/>
      <c r="Q214" s="12"/>
      <c r="R214" s="12"/>
      <c r="S214" s="12"/>
      <c r="T214" s="12"/>
      <c r="U214" s="12"/>
      <c r="V214" s="12"/>
      <c r="W214" s="10"/>
      <c r="X214" s="9"/>
      <c r="Y214" s="10"/>
      <c r="Z214" s="11"/>
      <c r="AA214" s="10"/>
      <c r="AB214" s="10"/>
      <c r="AC214" s="11"/>
      <c r="AD214" s="10"/>
      <c r="AE214" s="11"/>
      <c r="AF214" s="10"/>
      <c r="AG214" s="10"/>
      <c r="AH214" s="10"/>
    </row>
    <row r="215" spans="1:34" x14ac:dyDescent="0.25">
      <c r="A215" s="9"/>
      <c r="B215" s="9"/>
      <c r="C215" s="10"/>
      <c r="D215" s="9"/>
      <c r="E215" s="9"/>
      <c r="F215" s="9"/>
      <c r="G215" s="10"/>
      <c r="H215" s="9"/>
      <c r="I215" s="9"/>
      <c r="J215" s="9"/>
      <c r="K215" s="9"/>
      <c r="L215" s="9"/>
      <c r="M215" s="9"/>
      <c r="N215" s="9"/>
      <c r="O215" s="9"/>
      <c r="P215" s="9"/>
      <c r="Q215" s="12"/>
      <c r="R215" s="12"/>
      <c r="S215" s="12"/>
      <c r="T215" s="12"/>
      <c r="U215" s="12"/>
      <c r="V215" s="12"/>
      <c r="W215" s="10"/>
      <c r="X215" s="9"/>
      <c r="Y215" s="10"/>
      <c r="Z215" s="11"/>
      <c r="AA215" s="10"/>
      <c r="AB215" s="10"/>
      <c r="AC215" s="11"/>
      <c r="AD215" s="10"/>
      <c r="AE215" s="11"/>
      <c r="AF215" s="10"/>
      <c r="AG215" s="10"/>
      <c r="AH215" s="10"/>
    </row>
    <row r="216" spans="1:34" x14ac:dyDescent="0.25">
      <c r="A216" s="9"/>
      <c r="B216" s="9"/>
      <c r="C216" s="10"/>
      <c r="D216" s="9"/>
      <c r="E216" s="9"/>
      <c r="F216" s="9"/>
      <c r="G216" s="10"/>
      <c r="H216" s="9"/>
      <c r="I216" s="9"/>
      <c r="J216" s="9"/>
      <c r="K216" s="9"/>
      <c r="L216" s="9"/>
      <c r="M216" s="9"/>
      <c r="N216" s="9"/>
      <c r="O216" s="9"/>
      <c r="P216" s="9"/>
      <c r="Q216" s="12"/>
      <c r="R216" s="12"/>
      <c r="S216" s="12"/>
      <c r="T216" s="12"/>
      <c r="U216" s="12"/>
      <c r="V216" s="12"/>
      <c r="W216" s="10"/>
      <c r="X216" s="9"/>
      <c r="Y216" s="10"/>
      <c r="Z216" s="11"/>
      <c r="AA216" s="10"/>
      <c r="AB216" s="10"/>
      <c r="AC216" s="11"/>
      <c r="AD216" s="10"/>
      <c r="AE216" s="11"/>
      <c r="AF216" s="10"/>
      <c r="AG216" s="10"/>
      <c r="AH216" s="10"/>
    </row>
    <row r="217" spans="1:34" x14ac:dyDescent="0.25">
      <c r="A217" s="9"/>
      <c r="B217" s="9"/>
      <c r="C217" s="10"/>
      <c r="D217" s="9"/>
      <c r="E217" s="9"/>
      <c r="F217" s="9"/>
      <c r="G217" s="10"/>
      <c r="H217" s="9"/>
      <c r="I217" s="9"/>
      <c r="J217" s="9"/>
      <c r="K217" s="9"/>
      <c r="L217" s="9"/>
      <c r="M217" s="9"/>
      <c r="N217" s="9"/>
      <c r="O217" s="9"/>
      <c r="P217" s="9"/>
      <c r="Q217" s="12"/>
      <c r="R217" s="12"/>
      <c r="S217" s="12"/>
      <c r="T217" s="12"/>
      <c r="U217" s="12"/>
      <c r="V217" s="12"/>
      <c r="W217" s="10"/>
      <c r="X217" s="9"/>
      <c r="Y217" s="10"/>
      <c r="Z217" s="11"/>
      <c r="AA217" s="10"/>
      <c r="AB217" s="10"/>
      <c r="AC217" s="11"/>
      <c r="AD217" s="10"/>
      <c r="AE217" s="11"/>
      <c r="AF217" s="10"/>
      <c r="AG217" s="10"/>
      <c r="AH217" s="10"/>
    </row>
    <row r="218" spans="1:34" x14ac:dyDescent="0.25">
      <c r="A218" s="9"/>
      <c r="B218" s="9"/>
      <c r="C218" s="10"/>
      <c r="D218" s="9"/>
      <c r="E218" s="9"/>
      <c r="F218" s="9"/>
      <c r="G218" s="10"/>
      <c r="H218" s="9"/>
      <c r="I218" s="9"/>
      <c r="J218" s="9"/>
      <c r="K218" s="9"/>
      <c r="L218" s="9"/>
      <c r="M218" s="9"/>
      <c r="N218" s="9"/>
      <c r="O218" s="9"/>
      <c r="P218" s="9"/>
      <c r="Q218" s="12"/>
      <c r="R218" s="12"/>
      <c r="S218" s="12"/>
      <c r="T218" s="12"/>
      <c r="U218" s="12"/>
      <c r="V218" s="12"/>
      <c r="W218" s="10"/>
      <c r="X218" s="9"/>
      <c r="Y218" s="10"/>
      <c r="Z218" s="11"/>
      <c r="AA218" s="10"/>
      <c r="AB218" s="10"/>
      <c r="AC218" s="11"/>
      <c r="AD218" s="10"/>
      <c r="AE218" s="11"/>
      <c r="AF218" s="10"/>
      <c r="AG218" s="10"/>
      <c r="AH218" s="10"/>
    </row>
    <row r="219" spans="1:34" x14ac:dyDescent="0.25">
      <c r="A219" s="9"/>
      <c r="B219" s="9"/>
      <c r="C219" s="10"/>
      <c r="D219" s="9"/>
      <c r="E219" s="9"/>
      <c r="F219" s="9"/>
      <c r="G219" s="10"/>
      <c r="H219" s="9"/>
      <c r="I219" s="9"/>
      <c r="J219" s="9"/>
      <c r="K219" s="9"/>
      <c r="L219" s="9"/>
      <c r="M219" s="9"/>
      <c r="N219" s="9"/>
      <c r="O219" s="9"/>
      <c r="P219" s="9"/>
      <c r="Q219" s="12"/>
      <c r="R219" s="12"/>
      <c r="S219" s="12"/>
      <c r="T219" s="12"/>
      <c r="U219" s="12"/>
      <c r="V219" s="12"/>
      <c r="W219" s="10"/>
      <c r="X219" s="9"/>
      <c r="Y219" s="10"/>
      <c r="Z219" s="11"/>
      <c r="AA219" s="10"/>
      <c r="AB219" s="10"/>
      <c r="AC219" s="11"/>
      <c r="AD219" s="10"/>
      <c r="AE219" s="11"/>
      <c r="AF219" s="10"/>
      <c r="AG219" s="10"/>
      <c r="AH219" s="10"/>
    </row>
    <row r="220" spans="1:34" x14ac:dyDescent="0.25">
      <c r="A220" s="9"/>
      <c r="B220" s="9"/>
      <c r="C220" s="10"/>
      <c r="D220" s="9"/>
      <c r="E220" s="9"/>
      <c r="F220" s="9"/>
      <c r="G220" s="10"/>
      <c r="H220" s="9"/>
      <c r="I220" s="9"/>
      <c r="J220" s="9"/>
      <c r="K220" s="9"/>
      <c r="L220" s="9"/>
      <c r="M220" s="9"/>
      <c r="N220" s="9"/>
      <c r="O220" s="9"/>
      <c r="P220" s="9"/>
      <c r="Q220" s="12"/>
      <c r="R220" s="12"/>
      <c r="S220" s="12"/>
      <c r="T220" s="12"/>
      <c r="U220" s="12"/>
      <c r="V220" s="12"/>
      <c r="W220" s="10"/>
      <c r="X220" s="9"/>
      <c r="Y220" s="10"/>
      <c r="Z220" s="11"/>
      <c r="AA220" s="10"/>
      <c r="AB220" s="10"/>
      <c r="AC220" s="11"/>
      <c r="AD220" s="10"/>
      <c r="AE220" s="11"/>
      <c r="AF220" s="10"/>
      <c r="AG220" s="10"/>
      <c r="AH220" s="10"/>
    </row>
    <row r="221" spans="1:34" x14ac:dyDescent="0.25">
      <c r="A221" s="9"/>
      <c r="B221" s="9"/>
      <c r="C221" s="10"/>
      <c r="D221" s="9"/>
      <c r="E221" s="9"/>
      <c r="F221" s="9"/>
      <c r="G221" s="10"/>
      <c r="H221" s="9"/>
      <c r="I221" s="9"/>
      <c r="J221" s="9"/>
      <c r="K221" s="9"/>
      <c r="L221" s="9"/>
      <c r="M221" s="9"/>
      <c r="N221" s="9"/>
      <c r="O221" s="9"/>
      <c r="P221" s="9"/>
      <c r="Q221" s="12"/>
      <c r="R221" s="12"/>
      <c r="S221" s="12"/>
      <c r="T221" s="12"/>
      <c r="U221" s="12"/>
      <c r="V221" s="12"/>
      <c r="W221" s="10"/>
      <c r="X221" s="9"/>
      <c r="Y221" s="10"/>
      <c r="Z221" s="11"/>
      <c r="AA221" s="10"/>
      <c r="AB221" s="10"/>
      <c r="AC221" s="11"/>
      <c r="AD221" s="10"/>
      <c r="AE221" s="11"/>
      <c r="AF221" s="10"/>
      <c r="AG221" s="10"/>
      <c r="AH221" s="10"/>
    </row>
    <row r="222" spans="1:34" x14ac:dyDescent="0.25">
      <c r="A222" s="9"/>
      <c r="B222" s="9"/>
      <c r="C222" s="10"/>
      <c r="D222" s="9"/>
      <c r="E222" s="9"/>
      <c r="F222" s="9"/>
      <c r="G222" s="10"/>
      <c r="H222" s="9"/>
      <c r="I222" s="9"/>
      <c r="J222" s="9"/>
      <c r="K222" s="9"/>
      <c r="L222" s="9"/>
      <c r="M222" s="9"/>
      <c r="N222" s="9"/>
      <c r="O222" s="9"/>
      <c r="P222" s="9"/>
      <c r="Q222" s="12"/>
      <c r="R222" s="12"/>
      <c r="S222" s="12"/>
      <c r="T222" s="12"/>
      <c r="U222" s="12"/>
      <c r="V222" s="12"/>
      <c r="W222" s="10"/>
      <c r="X222" s="9"/>
      <c r="Y222" s="10"/>
      <c r="Z222" s="11"/>
      <c r="AA222" s="10"/>
      <c r="AB222" s="10"/>
      <c r="AC222" s="11"/>
      <c r="AD222" s="10"/>
      <c r="AE222" s="11"/>
      <c r="AF222" s="10"/>
      <c r="AG222" s="10"/>
      <c r="AH222" s="10"/>
    </row>
    <row r="223" spans="1:34" x14ac:dyDescent="0.25">
      <c r="A223" s="9"/>
      <c r="B223" s="9"/>
      <c r="C223" s="10"/>
      <c r="D223" s="9"/>
      <c r="E223" s="9"/>
      <c r="F223" s="9"/>
      <c r="G223" s="10"/>
      <c r="H223" s="9"/>
      <c r="I223" s="9"/>
      <c r="J223" s="9"/>
      <c r="K223" s="9"/>
      <c r="L223" s="9"/>
      <c r="M223" s="9"/>
      <c r="N223" s="9"/>
      <c r="O223" s="9"/>
      <c r="P223" s="9"/>
      <c r="Q223" s="12"/>
      <c r="R223" s="12"/>
      <c r="S223" s="12"/>
      <c r="T223" s="12"/>
      <c r="U223" s="12"/>
      <c r="V223" s="12"/>
      <c r="W223" s="10"/>
      <c r="X223" s="9"/>
      <c r="Y223" s="10"/>
      <c r="Z223" s="11"/>
      <c r="AA223" s="10"/>
      <c r="AB223" s="10"/>
      <c r="AC223" s="11"/>
      <c r="AD223" s="10"/>
      <c r="AE223" s="11"/>
      <c r="AF223" s="10"/>
      <c r="AG223" s="10"/>
      <c r="AH223" s="10"/>
    </row>
    <row r="224" spans="1:34" x14ac:dyDescent="0.25">
      <c r="A224" s="9"/>
      <c r="B224" s="9"/>
      <c r="C224" s="10"/>
      <c r="D224" s="9"/>
      <c r="E224" s="9"/>
      <c r="F224" s="9"/>
      <c r="G224" s="10"/>
      <c r="H224" s="9"/>
      <c r="I224" s="9"/>
      <c r="J224" s="9"/>
      <c r="K224" s="9"/>
      <c r="L224" s="9"/>
      <c r="M224" s="9"/>
      <c r="N224" s="9"/>
      <c r="O224" s="9"/>
      <c r="P224" s="9"/>
      <c r="Q224" s="12"/>
      <c r="R224" s="12"/>
      <c r="S224" s="12"/>
      <c r="T224" s="12"/>
      <c r="U224" s="12"/>
      <c r="V224" s="12"/>
      <c r="W224" s="10"/>
      <c r="X224" s="9"/>
      <c r="Y224" s="10"/>
      <c r="Z224" s="11"/>
      <c r="AA224" s="10"/>
      <c r="AB224" s="10"/>
      <c r="AC224" s="11"/>
      <c r="AD224" s="10"/>
      <c r="AE224" s="11"/>
      <c r="AF224" s="10"/>
      <c r="AG224" s="10"/>
      <c r="AH224" s="10"/>
    </row>
    <row r="225" spans="1:34" x14ac:dyDescent="0.25">
      <c r="A225" s="9"/>
      <c r="B225" s="9"/>
      <c r="C225" s="10"/>
      <c r="D225" s="9"/>
      <c r="E225" s="9"/>
      <c r="F225" s="9"/>
      <c r="G225" s="10"/>
      <c r="H225" s="9"/>
      <c r="I225" s="9"/>
      <c r="J225" s="9"/>
      <c r="K225" s="9"/>
      <c r="L225" s="9"/>
      <c r="M225" s="9"/>
      <c r="N225" s="9"/>
      <c r="O225" s="9"/>
      <c r="P225" s="9"/>
      <c r="Q225" s="12"/>
      <c r="R225" s="12"/>
      <c r="S225" s="12"/>
      <c r="T225" s="12"/>
      <c r="U225" s="12"/>
      <c r="V225" s="12"/>
      <c r="W225" s="10"/>
      <c r="X225" s="9"/>
      <c r="Y225" s="10"/>
      <c r="Z225" s="11"/>
      <c r="AA225" s="10"/>
      <c r="AB225" s="10"/>
      <c r="AC225" s="11"/>
      <c r="AD225" s="10"/>
      <c r="AE225" s="11"/>
      <c r="AF225" s="10"/>
      <c r="AG225" s="10"/>
      <c r="AH225" s="10"/>
    </row>
    <row r="226" spans="1:34" x14ac:dyDescent="0.25">
      <c r="A226" s="9"/>
      <c r="B226" s="9"/>
      <c r="C226" s="10"/>
      <c r="D226" s="9"/>
      <c r="E226" s="9"/>
      <c r="F226" s="9"/>
      <c r="G226" s="10"/>
      <c r="H226" s="9"/>
      <c r="I226" s="9"/>
      <c r="J226" s="9"/>
      <c r="K226" s="9"/>
      <c r="L226" s="9"/>
      <c r="M226" s="9"/>
      <c r="N226" s="9"/>
      <c r="O226" s="9"/>
      <c r="P226" s="9"/>
      <c r="Q226" s="12"/>
      <c r="R226" s="12"/>
      <c r="S226" s="12"/>
      <c r="T226" s="12"/>
      <c r="U226" s="12"/>
      <c r="V226" s="12"/>
      <c r="W226" s="10"/>
      <c r="X226" s="9"/>
      <c r="Y226" s="10"/>
      <c r="Z226" s="11"/>
      <c r="AA226" s="10"/>
      <c r="AB226" s="10"/>
      <c r="AC226" s="11"/>
      <c r="AD226" s="10"/>
      <c r="AE226" s="11"/>
      <c r="AF226" s="10"/>
      <c r="AG226" s="10"/>
      <c r="AH226" s="10"/>
    </row>
    <row r="227" spans="1:34" x14ac:dyDescent="0.25">
      <c r="A227" s="9"/>
      <c r="B227" s="9"/>
      <c r="C227" s="10"/>
      <c r="D227" s="9"/>
      <c r="E227" s="9"/>
      <c r="F227" s="9"/>
      <c r="G227" s="10"/>
      <c r="H227" s="9"/>
      <c r="I227" s="9"/>
      <c r="J227" s="9"/>
      <c r="K227" s="9"/>
      <c r="L227" s="9"/>
      <c r="M227" s="9"/>
      <c r="N227" s="9"/>
      <c r="O227" s="9"/>
      <c r="P227" s="9"/>
      <c r="Q227" s="12"/>
      <c r="R227" s="12"/>
      <c r="S227" s="12"/>
      <c r="T227" s="12"/>
      <c r="U227" s="12"/>
      <c r="V227" s="12"/>
      <c r="W227" s="10"/>
      <c r="X227" s="9"/>
      <c r="Y227" s="10"/>
      <c r="Z227" s="11"/>
      <c r="AA227" s="10"/>
      <c r="AB227" s="10"/>
      <c r="AC227" s="11"/>
      <c r="AD227" s="10"/>
      <c r="AE227" s="11"/>
      <c r="AF227" s="10"/>
      <c r="AG227" s="10"/>
      <c r="AH227" s="10"/>
    </row>
    <row r="228" spans="1:34" x14ac:dyDescent="0.25">
      <c r="A228" s="9"/>
      <c r="B228" s="9"/>
      <c r="C228" s="10"/>
      <c r="D228" s="9"/>
      <c r="E228" s="9"/>
      <c r="F228" s="9"/>
      <c r="G228" s="10"/>
      <c r="H228" s="9"/>
      <c r="I228" s="9"/>
      <c r="J228" s="9"/>
      <c r="K228" s="9"/>
      <c r="L228" s="9"/>
      <c r="M228" s="9"/>
      <c r="N228" s="9"/>
      <c r="O228" s="9"/>
      <c r="P228" s="9"/>
      <c r="Q228" s="12"/>
      <c r="R228" s="12"/>
      <c r="S228" s="12"/>
      <c r="T228" s="12"/>
      <c r="U228" s="12"/>
      <c r="V228" s="12"/>
      <c r="W228" s="10"/>
      <c r="X228" s="9"/>
      <c r="Y228" s="10"/>
      <c r="Z228" s="11"/>
      <c r="AA228" s="10"/>
      <c r="AB228" s="10"/>
      <c r="AC228" s="11"/>
      <c r="AD228" s="10"/>
      <c r="AE228" s="11"/>
      <c r="AF228" s="10"/>
      <c r="AG228" s="10"/>
      <c r="AH228" s="10"/>
    </row>
    <row r="229" spans="1:34" x14ac:dyDescent="0.25">
      <c r="A229" s="9"/>
      <c r="B229" s="9"/>
      <c r="C229" s="10"/>
      <c r="D229" s="9"/>
      <c r="E229" s="9"/>
      <c r="F229" s="9"/>
      <c r="G229" s="10"/>
      <c r="H229" s="9"/>
      <c r="I229" s="9"/>
      <c r="J229" s="9"/>
      <c r="K229" s="9"/>
      <c r="L229" s="9"/>
      <c r="M229" s="9"/>
      <c r="N229" s="9"/>
      <c r="O229" s="9"/>
      <c r="P229" s="9"/>
      <c r="Q229" s="12"/>
      <c r="R229" s="12"/>
      <c r="S229" s="12"/>
      <c r="T229" s="12"/>
      <c r="U229" s="12"/>
      <c r="V229" s="12"/>
      <c r="W229" s="10"/>
      <c r="X229" s="9"/>
      <c r="Y229" s="10"/>
      <c r="Z229" s="11"/>
      <c r="AA229" s="10"/>
      <c r="AB229" s="10"/>
      <c r="AC229" s="11"/>
      <c r="AD229" s="10"/>
      <c r="AE229" s="11"/>
      <c r="AF229" s="10"/>
      <c r="AG229" s="10"/>
      <c r="AH229" s="10"/>
    </row>
    <row r="230" spans="1:34" x14ac:dyDescent="0.25">
      <c r="A230" s="9"/>
      <c r="B230" s="9"/>
      <c r="C230" s="10"/>
      <c r="D230" s="9"/>
      <c r="E230" s="9"/>
      <c r="F230" s="9"/>
      <c r="G230" s="10"/>
      <c r="H230" s="9"/>
      <c r="I230" s="9"/>
      <c r="J230" s="9"/>
      <c r="K230" s="9"/>
      <c r="L230" s="9"/>
      <c r="M230" s="9"/>
      <c r="N230" s="9"/>
      <c r="O230" s="9"/>
      <c r="P230" s="9"/>
      <c r="Q230" s="12"/>
      <c r="R230" s="12"/>
      <c r="S230" s="12"/>
      <c r="T230" s="12"/>
      <c r="U230" s="12"/>
      <c r="V230" s="12"/>
      <c r="W230" s="10"/>
      <c r="X230" s="9"/>
      <c r="Y230" s="10"/>
      <c r="Z230" s="11"/>
      <c r="AA230" s="10"/>
      <c r="AB230" s="10"/>
      <c r="AC230" s="11"/>
      <c r="AD230" s="10"/>
      <c r="AE230" s="11"/>
      <c r="AF230" s="10"/>
      <c r="AG230" s="10"/>
      <c r="AH230" s="10"/>
    </row>
    <row r="231" spans="1:34" x14ac:dyDescent="0.25">
      <c r="A231" s="9"/>
      <c r="B231" s="9"/>
      <c r="C231" s="10"/>
      <c r="D231" s="9"/>
      <c r="E231" s="9"/>
      <c r="F231" s="9"/>
      <c r="G231" s="10"/>
      <c r="H231" s="9"/>
      <c r="I231" s="9"/>
      <c r="J231" s="9"/>
      <c r="K231" s="9"/>
      <c r="L231" s="9"/>
      <c r="M231" s="9"/>
      <c r="N231" s="9"/>
      <c r="O231" s="9"/>
      <c r="P231" s="9"/>
      <c r="Q231" s="12"/>
      <c r="R231" s="12"/>
      <c r="S231" s="12"/>
      <c r="T231" s="12"/>
      <c r="U231" s="12"/>
      <c r="V231" s="12"/>
      <c r="W231" s="10"/>
      <c r="X231" s="9"/>
      <c r="Y231" s="10"/>
      <c r="Z231" s="11"/>
      <c r="AA231" s="10"/>
      <c r="AB231" s="10"/>
      <c r="AC231" s="11"/>
      <c r="AD231" s="10"/>
      <c r="AE231" s="11"/>
      <c r="AF231" s="10"/>
      <c r="AG231" s="10"/>
      <c r="AH231" s="10"/>
    </row>
    <row r="232" spans="1:34" x14ac:dyDescent="0.25">
      <c r="A232" s="9"/>
      <c r="B232" s="9"/>
      <c r="C232" s="10"/>
      <c r="D232" s="9"/>
      <c r="E232" s="9"/>
      <c r="F232" s="9"/>
      <c r="G232" s="10"/>
      <c r="H232" s="9"/>
      <c r="I232" s="9"/>
      <c r="J232" s="9"/>
      <c r="K232" s="9"/>
      <c r="L232" s="9"/>
      <c r="M232" s="9"/>
      <c r="N232" s="9"/>
      <c r="O232" s="9"/>
      <c r="P232" s="9"/>
      <c r="Q232" s="12"/>
      <c r="R232" s="12"/>
      <c r="S232" s="12"/>
      <c r="T232" s="12"/>
      <c r="U232" s="12"/>
      <c r="V232" s="12"/>
      <c r="W232" s="10"/>
      <c r="X232" s="9"/>
      <c r="Y232" s="10"/>
      <c r="Z232" s="11"/>
      <c r="AA232" s="10"/>
      <c r="AB232" s="10"/>
      <c r="AC232" s="11"/>
      <c r="AD232" s="10"/>
      <c r="AE232" s="11"/>
      <c r="AF232" s="10"/>
      <c r="AG232" s="10"/>
      <c r="AH232" s="10"/>
    </row>
    <row r="233" spans="1:34" x14ac:dyDescent="0.25">
      <c r="A233" s="9"/>
      <c r="B233" s="9"/>
      <c r="C233" s="10"/>
      <c r="D233" s="9"/>
      <c r="E233" s="9"/>
      <c r="F233" s="9"/>
      <c r="G233" s="10"/>
      <c r="H233" s="9"/>
      <c r="I233" s="9"/>
      <c r="J233" s="9"/>
      <c r="K233" s="9"/>
      <c r="L233" s="9"/>
      <c r="M233" s="9"/>
      <c r="N233" s="9"/>
      <c r="O233" s="9"/>
      <c r="P233" s="9"/>
      <c r="Q233" s="12"/>
      <c r="R233" s="12"/>
      <c r="S233" s="12"/>
      <c r="T233" s="12"/>
      <c r="U233" s="12"/>
      <c r="V233" s="12"/>
      <c r="W233" s="10"/>
      <c r="X233" s="9"/>
      <c r="Y233" s="10"/>
      <c r="Z233" s="11"/>
      <c r="AA233" s="10"/>
      <c r="AB233" s="10"/>
      <c r="AC233" s="11"/>
      <c r="AD233" s="10"/>
      <c r="AE233" s="11"/>
      <c r="AF233" s="10"/>
      <c r="AG233" s="10"/>
      <c r="AH233" s="10"/>
    </row>
    <row r="234" spans="1:34" x14ac:dyDescent="0.25">
      <c r="A234" s="9"/>
      <c r="B234" s="9"/>
      <c r="C234" s="10"/>
      <c r="D234" s="9"/>
      <c r="E234" s="9"/>
      <c r="F234" s="9"/>
      <c r="G234" s="10"/>
      <c r="H234" s="9"/>
      <c r="I234" s="9"/>
      <c r="J234" s="9"/>
      <c r="K234" s="9"/>
      <c r="L234" s="9"/>
      <c r="M234" s="9"/>
      <c r="N234" s="9"/>
      <c r="O234" s="9"/>
      <c r="P234" s="9"/>
      <c r="Q234" s="12"/>
      <c r="R234" s="12"/>
      <c r="S234" s="12"/>
      <c r="T234" s="12"/>
      <c r="U234" s="12"/>
      <c r="V234" s="12"/>
      <c r="W234" s="10"/>
      <c r="X234" s="9"/>
      <c r="Y234" s="10"/>
      <c r="Z234" s="11"/>
      <c r="AA234" s="10"/>
      <c r="AB234" s="10"/>
      <c r="AC234" s="11"/>
      <c r="AD234" s="10"/>
      <c r="AE234" s="11"/>
      <c r="AF234" s="10"/>
      <c r="AG234" s="10"/>
      <c r="AH234" s="10"/>
    </row>
    <row r="235" spans="1:34" x14ac:dyDescent="0.25">
      <c r="A235" s="9"/>
      <c r="B235" s="9"/>
      <c r="C235" s="10"/>
      <c r="D235" s="9"/>
      <c r="E235" s="9"/>
      <c r="F235" s="9"/>
      <c r="G235" s="10"/>
      <c r="H235" s="9"/>
      <c r="I235" s="9"/>
      <c r="J235" s="9"/>
      <c r="K235" s="9"/>
      <c r="L235" s="9"/>
      <c r="M235" s="9"/>
      <c r="N235" s="9"/>
      <c r="O235" s="9"/>
      <c r="P235" s="9"/>
      <c r="Q235" s="12"/>
      <c r="R235" s="12"/>
      <c r="S235" s="12"/>
      <c r="T235" s="12"/>
      <c r="U235" s="12"/>
      <c r="V235" s="12"/>
      <c r="W235" s="10"/>
      <c r="X235" s="9"/>
      <c r="Y235" s="10"/>
      <c r="Z235" s="11"/>
      <c r="AA235" s="10"/>
      <c r="AB235" s="10"/>
      <c r="AC235" s="11"/>
      <c r="AD235" s="10"/>
      <c r="AE235" s="11"/>
      <c r="AF235" s="10"/>
      <c r="AG235" s="10"/>
      <c r="AH235" s="10"/>
    </row>
    <row r="236" spans="1:34" x14ac:dyDescent="0.25">
      <c r="A236" s="9"/>
      <c r="B236" s="9"/>
      <c r="C236" s="10"/>
      <c r="D236" s="9"/>
      <c r="E236" s="9"/>
      <c r="F236" s="9"/>
      <c r="G236" s="10"/>
      <c r="H236" s="9"/>
      <c r="I236" s="9"/>
      <c r="J236" s="9"/>
      <c r="K236" s="9"/>
      <c r="L236" s="9"/>
      <c r="M236" s="9"/>
      <c r="N236" s="9"/>
      <c r="O236" s="9"/>
      <c r="P236" s="9"/>
      <c r="Q236" s="12"/>
      <c r="R236" s="12"/>
      <c r="S236" s="12"/>
      <c r="T236" s="12"/>
      <c r="U236" s="12"/>
      <c r="V236" s="12"/>
      <c r="W236" s="10"/>
      <c r="X236" s="9"/>
      <c r="Y236" s="10"/>
      <c r="Z236" s="11"/>
      <c r="AA236" s="10"/>
      <c r="AB236" s="10"/>
      <c r="AC236" s="11"/>
      <c r="AD236" s="10"/>
      <c r="AE236" s="11"/>
      <c r="AF236" s="10"/>
      <c r="AG236" s="10"/>
      <c r="AH236" s="10"/>
    </row>
    <row r="237" spans="1:34" x14ac:dyDescent="0.25">
      <c r="A237" s="9"/>
      <c r="B237" s="9"/>
      <c r="C237" s="10"/>
      <c r="D237" s="9"/>
      <c r="E237" s="9"/>
      <c r="F237" s="9"/>
      <c r="G237" s="10"/>
      <c r="H237" s="9"/>
      <c r="I237" s="9"/>
      <c r="J237" s="9"/>
      <c r="K237" s="9"/>
      <c r="L237" s="9"/>
      <c r="M237" s="9"/>
      <c r="N237" s="9"/>
      <c r="O237" s="9"/>
      <c r="P237" s="9"/>
      <c r="Q237" s="12"/>
      <c r="R237" s="12"/>
      <c r="S237" s="12"/>
      <c r="T237" s="12"/>
      <c r="U237" s="12"/>
      <c r="V237" s="12"/>
      <c r="W237" s="10"/>
      <c r="X237" s="9"/>
      <c r="Y237" s="10"/>
      <c r="Z237" s="11"/>
      <c r="AA237" s="10"/>
      <c r="AB237" s="10"/>
      <c r="AC237" s="11"/>
      <c r="AD237" s="10"/>
      <c r="AE237" s="11"/>
      <c r="AF237" s="10"/>
      <c r="AG237" s="10"/>
      <c r="AH237" s="10"/>
    </row>
    <row r="238" spans="1:34" x14ac:dyDescent="0.25">
      <c r="A238" s="9"/>
      <c r="B238" s="9"/>
      <c r="C238" s="10"/>
      <c r="D238" s="9"/>
      <c r="E238" s="9"/>
      <c r="F238" s="9"/>
      <c r="G238" s="10"/>
      <c r="H238" s="9"/>
      <c r="I238" s="9"/>
      <c r="J238" s="9"/>
      <c r="K238" s="9"/>
      <c r="L238" s="9"/>
      <c r="M238" s="9"/>
      <c r="N238" s="9"/>
      <c r="O238" s="9"/>
      <c r="P238" s="9"/>
      <c r="Q238" s="12"/>
      <c r="R238" s="12"/>
      <c r="S238" s="12"/>
      <c r="T238" s="12"/>
      <c r="U238" s="12"/>
      <c r="V238" s="11"/>
      <c r="W238" s="10"/>
      <c r="X238" s="9"/>
      <c r="Y238" s="10"/>
      <c r="Z238" s="11"/>
      <c r="AA238" s="10"/>
      <c r="AB238" s="10"/>
      <c r="AC238" s="11"/>
      <c r="AD238" s="10"/>
      <c r="AE238" s="11"/>
      <c r="AF238" s="10"/>
      <c r="AG238" s="10"/>
      <c r="AH238" s="11"/>
    </row>
    <row r="239" spans="1:34" x14ac:dyDescent="0.25">
      <c r="A239" s="9"/>
      <c r="B239" s="9"/>
      <c r="C239" s="10"/>
      <c r="D239" s="9"/>
      <c r="E239" s="9"/>
      <c r="F239" s="9"/>
      <c r="G239" s="10"/>
      <c r="H239" s="9"/>
      <c r="I239" s="9"/>
      <c r="J239" s="9"/>
      <c r="K239" s="9"/>
      <c r="L239" s="9"/>
      <c r="M239" s="9"/>
      <c r="N239" s="9"/>
      <c r="O239" s="9"/>
      <c r="P239" s="9"/>
      <c r="Q239" s="12"/>
      <c r="R239" s="12"/>
      <c r="S239" s="12"/>
      <c r="T239" s="12"/>
      <c r="U239" s="12"/>
      <c r="V239" s="12"/>
      <c r="W239" s="10"/>
      <c r="X239" s="9"/>
      <c r="Y239" s="10"/>
      <c r="Z239" s="11"/>
      <c r="AA239" s="10"/>
      <c r="AB239" s="10"/>
      <c r="AC239" s="11"/>
      <c r="AD239" s="10"/>
      <c r="AE239" s="11"/>
      <c r="AF239" s="10"/>
      <c r="AG239" s="10"/>
      <c r="AH239" s="10"/>
    </row>
    <row r="240" spans="1:34" x14ac:dyDescent="0.25">
      <c r="A240" s="9"/>
      <c r="B240" s="9"/>
      <c r="C240" s="10"/>
      <c r="D240" s="9"/>
      <c r="E240" s="9"/>
      <c r="F240" s="9"/>
      <c r="G240" s="10"/>
      <c r="H240" s="9"/>
      <c r="I240" s="9"/>
      <c r="J240" s="9"/>
      <c r="K240" s="9"/>
      <c r="L240" s="9"/>
      <c r="M240" s="9"/>
      <c r="N240" s="9"/>
      <c r="O240" s="9"/>
      <c r="P240" s="9"/>
      <c r="Q240" s="12"/>
      <c r="R240" s="12"/>
      <c r="S240" s="12"/>
      <c r="T240" s="12"/>
      <c r="U240" s="12"/>
      <c r="V240" s="12"/>
      <c r="W240" s="10"/>
      <c r="X240" s="9"/>
      <c r="Y240" s="10"/>
      <c r="Z240" s="11"/>
      <c r="AA240" s="10"/>
      <c r="AB240" s="10"/>
      <c r="AC240" s="11"/>
      <c r="AD240" s="10"/>
      <c r="AE240" s="11"/>
      <c r="AF240" s="10"/>
      <c r="AG240" s="10"/>
      <c r="AH240" s="10"/>
    </row>
    <row r="241" spans="1:34" x14ac:dyDescent="0.25">
      <c r="A241" s="9"/>
      <c r="B241" s="9"/>
      <c r="C241" s="10"/>
      <c r="D241" s="9"/>
      <c r="E241" s="9"/>
      <c r="F241" s="9"/>
      <c r="G241" s="10"/>
      <c r="H241" s="9"/>
      <c r="I241" s="9"/>
      <c r="J241" s="9"/>
      <c r="K241" s="9"/>
      <c r="L241" s="9"/>
      <c r="M241" s="9"/>
      <c r="N241" s="9"/>
      <c r="O241" s="9"/>
      <c r="P241" s="9"/>
      <c r="Q241" s="12"/>
      <c r="R241" s="12"/>
      <c r="S241" s="12"/>
      <c r="T241" s="12"/>
      <c r="U241" s="12"/>
      <c r="V241" s="12"/>
      <c r="W241" s="10"/>
      <c r="X241" s="9"/>
      <c r="Y241" s="10"/>
      <c r="Z241" s="11"/>
      <c r="AA241" s="10"/>
      <c r="AB241" s="10"/>
      <c r="AC241" s="11"/>
      <c r="AD241" s="10"/>
      <c r="AE241" s="11"/>
      <c r="AF241" s="10"/>
      <c r="AG241" s="10"/>
      <c r="AH241" s="10"/>
    </row>
    <row r="242" spans="1:34" x14ac:dyDescent="0.25">
      <c r="A242" s="9"/>
      <c r="B242" s="9"/>
      <c r="C242" s="10"/>
      <c r="D242" s="9"/>
      <c r="E242" s="9"/>
      <c r="F242" s="9"/>
      <c r="G242" s="10"/>
      <c r="H242" s="9"/>
      <c r="I242" s="9"/>
      <c r="J242" s="9"/>
      <c r="K242" s="9"/>
      <c r="L242" s="9"/>
      <c r="M242" s="9"/>
      <c r="N242" s="9"/>
      <c r="O242" s="9"/>
      <c r="P242" s="9"/>
      <c r="Q242" s="12"/>
      <c r="R242" s="12"/>
      <c r="S242" s="12"/>
      <c r="T242" s="12"/>
      <c r="U242" s="12"/>
      <c r="V242" s="11"/>
      <c r="W242" s="10"/>
      <c r="X242" s="9"/>
      <c r="Y242" s="10"/>
      <c r="Z242" s="11"/>
      <c r="AA242" s="10"/>
      <c r="AB242" s="10"/>
      <c r="AC242" s="11"/>
      <c r="AD242" s="10"/>
      <c r="AE242" s="11"/>
      <c r="AF242" s="10"/>
      <c r="AG242" s="10"/>
      <c r="AH242" s="11"/>
    </row>
    <row r="243" spans="1:34" x14ac:dyDescent="0.25">
      <c r="A243" s="9"/>
      <c r="B243" s="9"/>
      <c r="C243" s="10"/>
      <c r="D243" s="9"/>
      <c r="E243" s="9"/>
      <c r="F243" s="9"/>
      <c r="G243" s="10"/>
      <c r="H243" s="9"/>
      <c r="I243" s="9"/>
      <c r="J243" s="9"/>
      <c r="K243" s="9"/>
      <c r="L243" s="9"/>
      <c r="M243" s="9"/>
      <c r="N243" s="9"/>
      <c r="O243" s="9"/>
      <c r="P243" s="9"/>
      <c r="Q243" s="12"/>
      <c r="R243" s="12"/>
      <c r="S243" s="12"/>
      <c r="T243" s="12"/>
      <c r="U243" s="12"/>
      <c r="V243" s="12"/>
      <c r="W243" s="10"/>
      <c r="X243" s="9"/>
      <c r="Y243" s="10"/>
      <c r="Z243" s="11"/>
      <c r="AA243" s="10"/>
      <c r="AB243" s="10"/>
      <c r="AC243" s="11"/>
      <c r="AD243" s="10"/>
      <c r="AE243" s="11"/>
      <c r="AF243" s="10"/>
      <c r="AG243" s="10"/>
      <c r="AH243" s="10"/>
    </row>
    <row r="244" spans="1:34" x14ac:dyDescent="0.25">
      <c r="A244" s="9"/>
      <c r="B244" s="9"/>
      <c r="C244" s="10"/>
      <c r="D244" s="9"/>
      <c r="E244" s="9"/>
      <c r="F244" s="9"/>
      <c r="G244" s="10"/>
      <c r="H244" s="9"/>
      <c r="I244" s="9"/>
      <c r="J244" s="9"/>
      <c r="K244" s="9"/>
      <c r="L244" s="9"/>
      <c r="M244" s="9"/>
      <c r="N244" s="9"/>
      <c r="O244" s="9"/>
      <c r="P244" s="9"/>
      <c r="Q244" s="12"/>
      <c r="R244" s="12"/>
      <c r="S244" s="12"/>
      <c r="T244" s="12"/>
      <c r="U244" s="12"/>
      <c r="V244" s="12"/>
      <c r="W244" s="10"/>
      <c r="X244" s="9"/>
      <c r="Y244" s="10"/>
      <c r="Z244" s="11"/>
      <c r="AA244" s="10"/>
      <c r="AB244" s="10"/>
      <c r="AC244" s="11"/>
      <c r="AD244" s="10"/>
      <c r="AE244" s="11"/>
      <c r="AF244" s="10"/>
      <c r="AG244" s="10"/>
      <c r="AH244" s="10"/>
    </row>
    <row r="245" spans="1:34" x14ac:dyDescent="0.25">
      <c r="A245" s="9"/>
      <c r="B245" s="9"/>
      <c r="C245" s="10"/>
      <c r="D245" s="9"/>
      <c r="E245" s="9"/>
      <c r="F245" s="9"/>
      <c r="G245" s="10"/>
      <c r="H245" s="9"/>
      <c r="I245" s="9"/>
      <c r="J245" s="9"/>
      <c r="K245" s="9"/>
      <c r="L245" s="9"/>
      <c r="M245" s="9"/>
      <c r="N245" s="9"/>
      <c r="O245" s="9"/>
      <c r="P245" s="9"/>
      <c r="Q245" s="12"/>
      <c r="R245" s="12"/>
      <c r="S245" s="12"/>
      <c r="T245" s="12"/>
      <c r="U245" s="12"/>
      <c r="V245" s="12"/>
      <c r="W245" s="10"/>
      <c r="X245" s="9"/>
      <c r="Y245" s="10"/>
      <c r="Z245" s="11"/>
      <c r="AA245" s="10"/>
      <c r="AB245" s="10"/>
      <c r="AC245" s="11"/>
      <c r="AD245" s="10"/>
      <c r="AE245" s="11"/>
      <c r="AF245" s="10"/>
      <c r="AG245" s="10"/>
      <c r="AH245" s="10"/>
    </row>
    <row r="246" spans="1:34" x14ac:dyDescent="0.25">
      <c r="A246" s="9"/>
      <c r="B246" s="9"/>
      <c r="C246" s="10"/>
      <c r="D246" s="9"/>
      <c r="E246" s="9"/>
      <c r="F246" s="9"/>
      <c r="G246" s="10"/>
      <c r="H246" s="9"/>
      <c r="I246" s="9"/>
      <c r="J246" s="9"/>
      <c r="K246" s="9"/>
      <c r="L246" s="9"/>
      <c r="M246" s="9"/>
      <c r="N246" s="9"/>
      <c r="O246" s="9"/>
      <c r="P246" s="9"/>
      <c r="Q246" s="12"/>
      <c r="R246" s="12"/>
      <c r="S246" s="12"/>
      <c r="T246" s="12"/>
      <c r="U246" s="12"/>
      <c r="V246" s="12"/>
      <c r="W246" s="10"/>
      <c r="X246" s="9"/>
      <c r="Y246" s="10"/>
      <c r="Z246" s="11"/>
      <c r="AA246" s="10"/>
      <c r="AB246" s="10"/>
      <c r="AC246" s="11"/>
      <c r="AD246" s="10"/>
      <c r="AE246" s="11"/>
      <c r="AF246" s="10"/>
      <c r="AG246" s="10"/>
      <c r="AH246" s="10"/>
    </row>
    <row r="247" spans="1:34" x14ac:dyDescent="0.25">
      <c r="A247" s="9"/>
      <c r="B247" s="9"/>
      <c r="C247" s="10"/>
      <c r="D247" s="9"/>
      <c r="E247" s="9"/>
      <c r="F247" s="9"/>
      <c r="G247" s="10"/>
      <c r="H247" s="9"/>
      <c r="I247" s="9"/>
      <c r="J247" s="9"/>
      <c r="K247" s="9"/>
      <c r="L247" s="9"/>
      <c r="M247" s="9"/>
      <c r="N247" s="9"/>
      <c r="O247" s="9"/>
      <c r="P247" s="9"/>
      <c r="Q247" s="12"/>
      <c r="R247" s="12"/>
      <c r="S247" s="12"/>
      <c r="T247" s="12"/>
      <c r="U247" s="12"/>
      <c r="V247" s="12"/>
      <c r="W247" s="10"/>
      <c r="X247" s="9"/>
      <c r="Y247" s="10"/>
      <c r="Z247" s="11"/>
      <c r="AA247" s="10"/>
      <c r="AB247" s="10"/>
      <c r="AC247" s="11"/>
      <c r="AD247" s="10"/>
      <c r="AE247" s="11"/>
      <c r="AF247" s="10"/>
      <c r="AG247" s="10"/>
      <c r="AH247" s="10"/>
    </row>
    <row r="248" spans="1:34" x14ac:dyDescent="0.25">
      <c r="A248" s="9"/>
      <c r="B248" s="9"/>
      <c r="C248" s="10"/>
      <c r="D248" s="9"/>
      <c r="E248" s="9"/>
      <c r="F248" s="9"/>
      <c r="G248" s="10"/>
      <c r="H248" s="9"/>
      <c r="I248" s="9"/>
      <c r="J248" s="9"/>
      <c r="K248" s="9"/>
      <c r="L248" s="9"/>
      <c r="M248" s="9"/>
      <c r="N248" s="9"/>
      <c r="O248" s="9"/>
      <c r="P248" s="9"/>
      <c r="Q248" s="12"/>
      <c r="R248" s="12"/>
      <c r="S248" s="12"/>
      <c r="T248" s="12"/>
      <c r="U248" s="12"/>
      <c r="V248" s="12"/>
      <c r="W248" s="10"/>
      <c r="X248" s="9"/>
      <c r="Y248" s="10"/>
      <c r="Z248" s="11"/>
      <c r="AA248" s="10"/>
      <c r="AB248" s="10"/>
      <c r="AC248" s="11"/>
      <c r="AD248" s="10"/>
      <c r="AE248" s="11"/>
      <c r="AF248" s="10"/>
      <c r="AG248" s="10"/>
      <c r="AH248" s="10"/>
    </row>
    <row r="249" spans="1:34" x14ac:dyDescent="0.25">
      <c r="A249" s="9"/>
      <c r="B249" s="9"/>
      <c r="C249" s="10"/>
      <c r="D249" s="9"/>
      <c r="E249" s="9"/>
      <c r="F249" s="9"/>
      <c r="G249" s="10"/>
      <c r="H249" s="9"/>
      <c r="I249" s="9"/>
      <c r="J249" s="9"/>
      <c r="K249" s="9"/>
      <c r="L249" s="9"/>
      <c r="M249" s="9"/>
      <c r="N249" s="9"/>
      <c r="O249" s="9"/>
      <c r="P249" s="9"/>
      <c r="Q249" s="12"/>
      <c r="R249" s="12"/>
      <c r="S249" s="12"/>
      <c r="T249" s="12"/>
      <c r="U249" s="12"/>
      <c r="V249" s="12"/>
      <c r="W249" s="10"/>
      <c r="X249" s="9"/>
      <c r="Y249" s="10"/>
      <c r="Z249" s="11"/>
      <c r="AA249" s="10"/>
      <c r="AB249" s="10"/>
      <c r="AC249" s="11"/>
      <c r="AD249" s="10"/>
      <c r="AE249" s="11"/>
      <c r="AF249" s="10"/>
      <c r="AG249" s="10"/>
      <c r="AH249" s="10"/>
    </row>
    <row r="250" spans="1:34" x14ac:dyDescent="0.25">
      <c r="A250" s="9"/>
      <c r="B250" s="9"/>
      <c r="C250" s="10"/>
      <c r="D250" s="9"/>
      <c r="E250" s="9"/>
      <c r="F250" s="9"/>
      <c r="G250" s="10"/>
      <c r="H250" s="9"/>
      <c r="I250" s="9"/>
      <c r="J250" s="9"/>
      <c r="K250" s="9"/>
      <c r="L250" s="9"/>
      <c r="M250" s="9"/>
      <c r="N250" s="9"/>
      <c r="O250" s="9"/>
      <c r="P250" s="9"/>
      <c r="Q250" s="12"/>
      <c r="R250" s="12"/>
      <c r="S250" s="12"/>
      <c r="T250" s="12"/>
      <c r="U250" s="12"/>
      <c r="V250" s="12"/>
      <c r="W250" s="10"/>
      <c r="X250" s="9"/>
      <c r="Y250" s="10"/>
      <c r="Z250" s="11"/>
      <c r="AA250" s="10"/>
      <c r="AB250" s="10"/>
      <c r="AC250" s="11"/>
      <c r="AD250" s="10"/>
      <c r="AE250" s="11"/>
      <c r="AF250" s="10"/>
      <c r="AG250" s="10"/>
      <c r="AH250" s="10"/>
    </row>
    <row r="251" spans="1:34" x14ac:dyDescent="0.25">
      <c r="A251" s="9"/>
      <c r="B251" s="9"/>
      <c r="C251" s="10"/>
      <c r="D251" s="9"/>
      <c r="E251" s="9"/>
      <c r="F251" s="9"/>
      <c r="G251" s="10"/>
      <c r="H251" s="9"/>
      <c r="I251" s="9"/>
      <c r="J251" s="9"/>
      <c r="K251" s="9"/>
      <c r="L251" s="9"/>
      <c r="M251" s="9"/>
      <c r="N251" s="9"/>
      <c r="O251" s="9"/>
      <c r="P251" s="9"/>
      <c r="Q251" s="12"/>
      <c r="R251" s="12"/>
      <c r="S251" s="12"/>
      <c r="T251" s="12"/>
      <c r="U251" s="12"/>
      <c r="V251" s="12"/>
      <c r="W251" s="10"/>
      <c r="X251" s="9"/>
      <c r="Y251" s="10"/>
      <c r="Z251" s="11"/>
      <c r="AA251" s="10"/>
      <c r="AB251" s="10"/>
      <c r="AC251" s="11"/>
      <c r="AD251" s="10"/>
      <c r="AE251" s="11"/>
      <c r="AF251" s="10"/>
      <c r="AG251" s="10"/>
      <c r="AH251" s="10"/>
    </row>
    <row r="252" spans="1:34" x14ac:dyDescent="0.25">
      <c r="A252" s="9"/>
      <c r="B252" s="9"/>
      <c r="C252" s="10"/>
      <c r="D252" s="9"/>
      <c r="E252" s="9"/>
      <c r="F252" s="9"/>
      <c r="G252" s="10"/>
      <c r="H252" s="9"/>
      <c r="I252" s="9"/>
      <c r="J252" s="9"/>
      <c r="K252" s="9"/>
      <c r="L252" s="9"/>
      <c r="M252" s="9"/>
      <c r="N252" s="9"/>
      <c r="O252" s="9"/>
      <c r="P252" s="9"/>
      <c r="Q252" s="12"/>
      <c r="R252" s="12"/>
      <c r="S252" s="12"/>
      <c r="T252" s="12"/>
      <c r="U252" s="12"/>
      <c r="V252" s="12"/>
      <c r="W252" s="10"/>
      <c r="X252" s="9"/>
      <c r="Y252" s="10"/>
      <c r="Z252" s="11"/>
      <c r="AA252" s="10"/>
      <c r="AB252" s="10"/>
      <c r="AC252" s="11"/>
      <c r="AD252" s="10"/>
      <c r="AE252" s="11"/>
      <c r="AF252" s="10"/>
      <c r="AG252" s="10"/>
      <c r="AH252" s="10"/>
    </row>
    <row r="253" spans="1:34" x14ac:dyDescent="0.25">
      <c r="A253" s="9"/>
      <c r="B253" s="9"/>
      <c r="C253" s="10"/>
      <c r="D253" s="9"/>
      <c r="E253" s="9"/>
      <c r="F253" s="9"/>
      <c r="G253" s="10"/>
      <c r="H253" s="9"/>
      <c r="I253" s="9"/>
      <c r="J253" s="9"/>
      <c r="K253" s="9"/>
      <c r="L253" s="9"/>
      <c r="M253" s="9"/>
      <c r="N253" s="9"/>
      <c r="O253" s="9"/>
      <c r="P253" s="9"/>
      <c r="Q253" s="12"/>
      <c r="R253" s="12"/>
      <c r="S253" s="12"/>
      <c r="T253" s="12"/>
      <c r="U253" s="12"/>
      <c r="V253" s="11"/>
      <c r="W253" s="10"/>
      <c r="X253" s="9"/>
      <c r="Y253" s="10"/>
      <c r="Z253" s="11"/>
      <c r="AA253" s="10"/>
      <c r="AB253" s="10"/>
      <c r="AC253" s="11"/>
      <c r="AD253" s="10"/>
      <c r="AE253" s="11"/>
      <c r="AF253" s="10"/>
      <c r="AG253" s="10"/>
      <c r="AH253" s="11"/>
    </row>
    <row r="254" spans="1:34" x14ac:dyDescent="0.25">
      <c r="A254" s="9"/>
      <c r="B254" s="9"/>
      <c r="C254" s="10"/>
      <c r="D254" s="9"/>
      <c r="E254" s="9"/>
      <c r="F254" s="9"/>
      <c r="G254" s="10"/>
      <c r="H254" s="9"/>
      <c r="I254" s="9"/>
      <c r="J254" s="9"/>
      <c r="K254" s="9"/>
      <c r="L254" s="9"/>
      <c r="M254" s="9"/>
      <c r="N254" s="9"/>
      <c r="O254" s="9"/>
      <c r="P254" s="9"/>
      <c r="Q254" s="12"/>
      <c r="R254" s="12"/>
      <c r="S254" s="12"/>
      <c r="T254" s="12"/>
      <c r="U254" s="12"/>
      <c r="V254" s="12"/>
      <c r="W254" s="10"/>
      <c r="X254" s="9"/>
      <c r="Y254" s="10"/>
      <c r="Z254" s="11"/>
      <c r="AA254" s="10"/>
      <c r="AB254" s="10"/>
      <c r="AC254" s="11"/>
      <c r="AD254" s="10"/>
      <c r="AE254" s="11"/>
      <c r="AF254" s="10"/>
      <c r="AG254" s="10"/>
      <c r="AH254" s="10"/>
    </row>
    <row r="255" spans="1:34" x14ac:dyDescent="0.25">
      <c r="A255" s="9"/>
      <c r="B255" s="9"/>
      <c r="C255" s="10"/>
      <c r="D255" s="9"/>
      <c r="E255" s="9"/>
      <c r="F255" s="9"/>
      <c r="G255" s="10"/>
      <c r="H255" s="9"/>
      <c r="I255" s="9"/>
      <c r="J255" s="9"/>
      <c r="K255" s="9"/>
      <c r="L255" s="9"/>
      <c r="M255" s="9"/>
      <c r="N255" s="9"/>
      <c r="O255" s="9"/>
      <c r="P255" s="9"/>
      <c r="Q255" s="12"/>
      <c r="R255" s="12"/>
      <c r="S255" s="12"/>
      <c r="T255" s="12"/>
      <c r="U255" s="12"/>
      <c r="V255" s="12"/>
      <c r="W255" s="10"/>
      <c r="X255" s="9"/>
      <c r="Y255" s="10"/>
      <c r="Z255" s="11"/>
      <c r="AA255" s="10"/>
      <c r="AB255" s="10"/>
      <c r="AC255" s="11"/>
      <c r="AD255" s="10"/>
      <c r="AE255" s="11"/>
      <c r="AF255" s="10"/>
      <c r="AG255" s="10"/>
      <c r="AH255" s="10"/>
    </row>
    <row r="256" spans="1:34" x14ac:dyDescent="0.25">
      <c r="A256" s="9"/>
      <c r="B256" s="9"/>
      <c r="C256" s="10"/>
      <c r="D256" s="9"/>
      <c r="E256" s="9"/>
      <c r="F256" s="9"/>
      <c r="G256" s="10"/>
      <c r="H256" s="9"/>
      <c r="I256" s="9"/>
      <c r="J256" s="9"/>
      <c r="K256" s="9"/>
      <c r="L256" s="9"/>
      <c r="M256" s="9"/>
      <c r="N256" s="9"/>
      <c r="O256" s="9"/>
      <c r="P256" s="9"/>
      <c r="Q256" s="12"/>
      <c r="R256" s="12"/>
      <c r="S256" s="12"/>
      <c r="T256" s="12"/>
      <c r="U256" s="12"/>
      <c r="V256" s="12"/>
      <c r="W256" s="10"/>
      <c r="X256" s="9"/>
      <c r="Y256" s="10"/>
      <c r="Z256" s="11"/>
      <c r="AA256" s="10"/>
      <c r="AB256" s="10"/>
      <c r="AC256" s="11"/>
      <c r="AD256" s="10"/>
      <c r="AE256" s="11"/>
      <c r="AF256" s="10"/>
      <c r="AG256" s="10"/>
      <c r="AH256" s="10"/>
    </row>
    <row r="257" spans="1:34" x14ac:dyDescent="0.25">
      <c r="A257" s="9"/>
      <c r="B257" s="9"/>
      <c r="C257" s="10"/>
      <c r="D257" s="9"/>
      <c r="E257" s="9"/>
      <c r="F257" s="9"/>
      <c r="G257" s="10"/>
      <c r="H257" s="9"/>
      <c r="I257" s="9"/>
      <c r="J257" s="9"/>
      <c r="K257" s="9"/>
      <c r="L257" s="9"/>
      <c r="M257" s="9"/>
      <c r="N257" s="9"/>
      <c r="O257" s="9"/>
      <c r="P257" s="9"/>
      <c r="Q257" s="11"/>
      <c r="R257" s="12"/>
      <c r="S257" s="12"/>
      <c r="T257" s="12"/>
      <c r="U257" s="12"/>
      <c r="V257" s="12"/>
      <c r="W257" s="10"/>
      <c r="X257" s="9"/>
      <c r="Y257" s="10"/>
      <c r="Z257" s="11"/>
      <c r="AA257" s="10"/>
      <c r="AB257" s="10"/>
      <c r="AC257" s="11"/>
      <c r="AD257" s="10"/>
      <c r="AE257" s="11"/>
      <c r="AF257" s="10"/>
      <c r="AG257" s="10"/>
      <c r="AH257" s="10"/>
    </row>
    <row r="258" spans="1:34" x14ac:dyDescent="0.25">
      <c r="A258" s="9"/>
      <c r="B258" s="9"/>
      <c r="C258" s="10"/>
      <c r="D258" s="9"/>
      <c r="E258" s="9"/>
      <c r="F258" s="9"/>
      <c r="G258" s="10"/>
      <c r="H258" s="9"/>
      <c r="I258" s="9"/>
      <c r="J258" s="9"/>
      <c r="K258" s="9"/>
      <c r="L258" s="9"/>
      <c r="M258" s="9"/>
      <c r="N258" s="9"/>
      <c r="O258" s="9"/>
      <c r="P258" s="9"/>
      <c r="Q258" s="12"/>
      <c r="R258" s="12"/>
      <c r="S258" s="12"/>
      <c r="T258" s="12"/>
      <c r="U258" s="12"/>
      <c r="V258" s="12"/>
      <c r="W258" s="10"/>
      <c r="X258" s="9"/>
      <c r="Y258" s="10"/>
      <c r="Z258" s="11"/>
      <c r="AA258" s="10"/>
      <c r="AB258" s="10"/>
      <c r="AC258" s="11"/>
      <c r="AD258" s="10"/>
      <c r="AE258" s="11"/>
      <c r="AF258" s="10"/>
      <c r="AG258" s="10"/>
      <c r="AH258" s="10"/>
    </row>
    <row r="259" spans="1:34" x14ac:dyDescent="0.25">
      <c r="A259" s="9"/>
      <c r="B259" s="9"/>
      <c r="C259" s="10"/>
      <c r="D259" s="9"/>
      <c r="E259" s="9"/>
      <c r="F259" s="9"/>
      <c r="G259" s="10"/>
      <c r="H259" s="9"/>
      <c r="I259" s="9"/>
      <c r="J259" s="9"/>
      <c r="K259" s="9"/>
      <c r="L259" s="9"/>
      <c r="M259" s="9"/>
      <c r="N259" s="9"/>
      <c r="O259" s="9"/>
      <c r="P259" s="9"/>
      <c r="Q259" s="12"/>
      <c r="R259" s="12"/>
      <c r="S259" s="12"/>
      <c r="T259" s="12"/>
      <c r="U259" s="12"/>
      <c r="V259" s="12"/>
      <c r="W259" s="10"/>
      <c r="X259" s="9"/>
      <c r="Y259" s="10"/>
      <c r="Z259" s="11"/>
      <c r="AA259" s="10"/>
      <c r="AB259" s="10"/>
      <c r="AC259" s="11"/>
      <c r="AD259" s="10"/>
      <c r="AE259" s="11"/>
      <c r="AF259" s="10"/>
      <c r="AG259" s="10"/>
      <c r="AH259" s="10"/>
    </row>
    <row r="260" spans="1:34" x14ac:dyDescent="0.25">
      <c r="A260" s="9"/>
      <c r="B260" s="9"/>
      <c r="C260" s="10"/>
      <c r="D260" s="9"/>
      <c r="E260" s="9"/>
      <c r="F260" s="9"/>
      <c r="G260" s="10"/>
      <c r="H260" s="9"/>
      <c r="I260" s="9"/>
      <c r="J260" s="9"/>
      <c r="K260" s="9"/>
      <c r="L260" s="9"/>
      <c r="M260" s="9"/>
      <c r="N260" s="9"/>
      <c r="O260" s="9"/>
      <c r="P260" s="9"/>
      <c r="Q260" s="12"/>
      <c r="R260" s="12"/>
      <c r="S260" s="12"/>
      <c r="T260" s="12"/>
      <c r="U260" s="12"/>
      <c r="V260" s="12"/>
      <c r="W260" s="10"/>
      <c r="X260" s="9"/>
      <c r="Y260" s="10"/>
      <c r="Z260" s="11"/>
      <c r="AA260" s="10"/>
      <c r="AB260" s="10"/>
      <c r="AC260" s="11"/>
      <c r="AD260" s="10"/>
      <c r="AE260" s="11"/>
      <c r="AF260" s="10"/>
      <c r="AG260" s="10"/>
      <c r="AH260" s="10"/>
    </row>
    <row r="261" spans="1:34" x14ac:dyDescent="0.25">
      <c r="A261" s="9"/>
      <c r="B261" s="9"/>
      <c r="C261" s="10"/>
      <c r="D261" s="9"/>
      <c r="E261" s="9"/>
      <c r="F261" s="9"/>
      <c r="G261" s="10"/>
      <c r="H261" s="9"/>
      <c r="I261" s="9"/>
      <c r="J261" s="9"/>
      <c r="K261" s="9"/>
      <c r="L261" s="9"/>
      <c r="M261" s="9"/>
      <c r="N261" s="9"/>
      <c r="O261" s="9"/>
      <c r="P261" s="9"/>
      <c r="Q261" s="12"/>
      <c r="R261" s="12"/>
      <c r="S261" s="12"/>
      <c r="T261" s="12"/>
      <c r="U261" s="12"/>
      <c r="V261" s="12"/>
      <c r="W261" s="10"/>
      <c r="X261" s="9"/>
      <c r="Y261" s="10"/>
      <c r="Z261" s="11"/>
      <c r="AA261" s="10"/>
      <c r="AB261" s="10"/>
      <c r="AC261" s="11"/>
      <c r="AD261" s="10"/>
      <c r="AE261" s="11"/>
      <c r="AF261" s="10"/>
      <c r="AG261" s="10"/>
      <c r="AH261" s="10"/>
    </row>
    <row r="262" spans="1:34" x14ac:dyDescent="0.25">
      <c r="A262" s="9"/>
      <c r="B262" s="9"/>
      <c r="C262" s="10"/>
      <c r="D262" s="9"/>
      <c r="E262" s="9"/>
      <c r="F262" s="9"/>
      <c r="G262" s="10"/>
      <c r="H262" s="9"/>
      <c r="I262" s="9"/>
      <c r="J262" s="9"/>
      <c r="K262" s="9"/>
      <c r="L262" s="9"/>
      <c r="M262" s="9"/>
      <c r="N262" s="9"/>
      <c r="O262" s="9"/>
      <c r="P262" s="9"/>
      <c r="Q262" s="12"/>
      <c r="R262" s="12"/>
      <c r="S262" s="12"/>
      <c r="T262" s="12"/>
      <c r="U262" s="12"/>
      <c r="V262" s="12"/>
      <c r="W262" s="10"/>
      <c r="X262" s="9"/>
      <c r="Y262" s="10"/>
      <c r="Z262" s="11"/>
      <c r="AA262" s="10"/>
      <c r="AB262" s="10"/>
      <c r="AC262" s="11"/>
      <c r="AD262" s="10"/>
      <c r="AE262" s="11"/>
      <c r="AF262" s="10"/>
      <c r="AG262" s="10"/>
      <c r="AH262" s="10"/>
    </row>
    <row r="263" spans="1:34" x14ac:dyDescent="0.25">
      <c r="A263" s="9"/>
      <c r="B263" s="9"/>
      <c r="C263" s="10"/>
      <c r="D263" s="9"/>
      <c r="E263" s="9"/>
      <c r="F263" s="9"/>
      <c r="G263" s="10"/>
      <c r="H263" s="9"/>
      <c r="I263" s="9"/>
      <c r="J263" s="9"/>
      <c r="K263" s="9"/>
      <c r="L263" s="9"/>
      <c r="M263" s="9"/>
      <c r="N263" s="9"/>
      <c r="O263" s="9"/>
      <c r="P263" s="9"/>
      <c r="Q263" s="12"/>
      <c r="R263" s="12"/>
      <c r="S263" s="12"/>
      <c r="T263" s="12"/>
      <c r="U263" s="12"/>
      <c r="V263" s="12"/>
      <c r="W263" s="10"/>
      <c r="X263" s="9"/>
      <c r="Y263" s="10"/>
      <c r="Z263" s="11"/>
      <c r="AA263" s="10"/>
      <c r="AB263" s="10"/>
      <c r="AC263" s="11"/>
      <c r="AD263" s="10"/>
      <c r="AE263" s="11"/>
      <c r="AF263" s="10"/>
      <c r="AG263" s="10"/>
      <c r="AH263" s="10"/>
    </row>
    <row r="264" spans="1:34" x14ac:dyDescent="0.25">
      <c r="A264" s="9"/>
      <c r="B264" s="9"/>
      <c r="C264" s="10"/>
      <c r="D264" s="9"/>
      <c r="E264" s="9"/>
      <c r="F264" s="9"/>
      <c r="G264" s="10"/>
      <c r="H264" s="9"/>
      <c r="I264" s="9"/>
      <c r="J264" s="9"/>
      <c r="K264" s="9"/>
      <c r="L264" s="9"/>
      <c r="M264" s="9"/>
      <c r="N264" s="9"/>
      <c r="O264" s="9"/>
      <c r="P264" s="9"/>
      <c r="Q264" s="12"/>
      <c r="R264" s="12"/>
      <c r="S264" s="12"/>
      <c r="T264" s="12"/>
      <c r="U264" s="12"/>
      <c r="V264" s="12"/>
      <c r="W264" s="10"/>
      <c r="X264" s="9"/>
      <c r="Y264" s="10"/>
      <c r="Z264" s="11"/>
      <c r="AA264" s="10"/>
      <c r="AB264" s="10"/>
      <c r="AC264" s="11"/>
      <c r="AD264" s="10"/>
      <c r="AE264" s="11"/>
      <c r="AF264" s="10"/>
      <c r="AG264" s="10"/>
      <c r="AH264" s="10"/>
    </row>
    <row r="265" spans="1:34" x14ac:dyDescent="0.25">
      <c r="A265" s="9"/>
      <c r="B265" s="9"/>
      <c r="C265" s="10"/>
      <c r="D265" s="9"/>
      <c r="E265" s="9"/>
      <c r="F265" s="9"/>
      <c r="G265" s="10"/>
      <c r="H265" s="9"/>
      <c r="I265" s="9"/>
      <c r="J265" s="9"/>
      <c r="K265" s="9"/>
      <c r="L265" s="9"/>
      <c r="M265" s="9"/>
      <c r="N265" s="9"/>
      <c r="O265" s="9"/>
      <c r="P265" s="9"/>
      <c r="Q265" s="12"/>
      <c r="R265" s="12"/>
      <c r="S265" s="12"/>
      <c r="T265" s="12"/>
      <c r="U265" s="12"/>
      <c r="V265" s="12"/>
      <c r="W265" s="10"/>
      <c r="X265" s="9"/>
      <c r="Y265" s="10"/>
      <c r="Z265" s="11"/>
      <c r="AA265" s="10"/>
      <c r="AB265" s="10"/>
      <c r="AC265" s="11"/>
      <c r="AD265" s="10"/>
      <c r="AE265" s="11"/>
      <c r="AF265" s="10"/>
      <c r="AG265" s="10"/>
      <c r="AH265" s="10"/>
    </row>
    <row r="266" spans="1:34" x14ac:dyDescent="0.25">
      <c r="A266" s="9"/>
      <c r="B266" s="9"/>
      <c r="C266" s="10"/>
      <c r="D266" s="9"/>
      <c r="E266" s="9"/>
      <c r="F266" s="9"/>
      <c r="G266" s="10"/>
      <c r="H266" s="9"/>
      <c r="I266" s="9"/>
      <c r="J266" s="9"/>
      <c r="K266" s="9"/>
      <c r="L266" s="9"/>
      <c r="M266" s="9"/>
      <c r="N266" s="9"/>
      <c r="O266" s="9"/>
      <c r="P266" s="9"/>
      <c r="Q266" s="12"/>
      <c r="R266" s="12"/>
      <c r="S266" s="12"/>
      <c r="T266" s="12"/>
      <c r="U266" s="12"/>
      <c r="V266" s="12"/>
      <c r="W266" s="10"/>
      <c r="X266" s="9"/>
      <c r="Y266" s="10"/>
      <c r="Z266" s="11"/>
      <c r="AA266" s="10"/>
      <c r="AB266" s="10"/>
      <c r="AC266" s="11"/>
      <c r="AD266" s="10"/>
      <c r="AE266" s="11"/>
      <c r="AF266" s="10"/>
      <c r="AG266" s="10"/>
      <c r="AH266" s="10"/>
    </row>
    <row r="267" spans="1:34" x14ac:dyDescent="0.25">
      <c r="A267" s="9"/>
      <c r="B267" s="9"/>
      <c r="C267" s="10"/>
      <c r="D267" s="9"/>
      <c r="E267" s="9"/>
      <c r="F267" s="9"/>
      <c r="G267" s="10"/>
      <c r="H267" s="9"/>
      <c r="I267" s="9"/>
      <c r="J267" s="9"/>
      <c r="K267" s="9"/>
      <c r="L267" s="9"/>
      <c r="M267" s="9"/>
      <c r="N267" s="9"/>
      <c r="O267" s="9"/>
      <c r="P267" s="9"/>
      <c r="Q267" s="12"/>
      <c r="R267" s="12"/>
      <c r="S267" s="12"/>
      <c r="T267" s="12"/>
      <c r="U267" s="12"/>
      <c r="V267" s="12"/>
      <c r="W267" s="10"/>
      <c r="X267" s="9"/>
      <c r="Y267" s="10"/>
      <c r="Z267" s="11"/>
      <c r="AA267" s="10"/>
      <c r="AB267" s="10"/>
      <c r="AC267" s="11"/>
      <c r="AD267" s="10"/>
      <c r="AE267" s="11"/>
      <c r="AF267" s="10"/>
      <c r="AG267" s="10"/>
      <c r="AH267" s="10"/>
    </row>
    <row r="268" spans="1:34" x14ac:dyDescent="0.25">
      <c r="A268" s="9"/>
      <c r="B268" s="9"/>
      <c r="C268" s="10"/>
      <c r="D268" s="9"/>
      <c r="E268" s="9"/>
      <c r="F268" s="9"/>
      <c r="G268" s="10"/>
      <c r="H268" s="9"/>
      <c r="I268" s="9"/>
      <c r="J268" s="9"/>
      <c r="K268" s="9"/>
      <c r="L268" s="9"/>
      <c r="M268" s="9"/>
      <c r="N268" s="9"/>
      <c r="O268" s="9"/>
      <c r="P268" s="9"/>
      <c r="Q268" s="12"/>
      <c r="R268" s="12"/>
      <c r="S268" s="12"/>
      <c r="T268" s="12"/>
      <c r="U268" s="12"/>
      <c r="V268" s="12"/>
      <c r="W268" s="10"/>
      <c r="X268" s="9"/>
      <c r="Y268" s="10"/>
      <c r="Z268" s="11"/>
      <c r="AA268" s="10"/>
      <c r="AB268" s="10"/>
      <c r="AC268" s="11"/>
      <c r="AD268" s="10"/>
      <c r="AE268" s="11"/>
      <c r="AF268" s="10"/>
      <c r="AG268" s="10"/>
      <c r="AH268" s="10"/>
    </row>
    <row r="269" spans="1:34" x14ac:dyDescent="0.25">
      <c r="A269" s="9"/>
      <c r="B269" s="9"/>
      <c r="C269" s="10"/>
      <c r="D269" s="9"/>
      <c r="E269" s="9"/>
      <c r="F269" s="9"/>
      <c r="G269" s="10"/>
      <c r="H269" s="9"/>
      <c r="I269" s="9"/>
      <c r="J269" s="9"/>
      <c r="K269" s="9"/>
      <c r="L269" s="9"/>
      <c r="M269" s="9"/>
      <c r="N269" s="9"/>
      <c r="O269" s="9"/>
      <c r="P269" s="9"/>
      <c r="Q269" s="12"/>
      <c r="R269" s="12"/>
      <c r="S269" s="12"/>
      <c r="T269" s="12"/>
      <c r="U269" s="12"/>
      <c r="V269" s="12"/>
      <c r="W269" s="10"/>
      <c r="X269" s="9"/>
      <c r="Y269" s="10"/>
      <c r="Z269" s="11"/>
      <c r="AA269" s="10"/>
      <c r="AB269" s="10"/>
      <c r="AC269" s="11"/>
      <c r="AD269" s="10"/>
      <c r="AE269" s="11"/>
      <c r="AF269" s="10"/>
      <c r="AG269" s="10"/>
      <c r="AH269" s="10"/>
    </row>
    <row r="270" spans="1:34" x14ac:dyDescent="0.25">
      <c r="A270" s="9"/>
      <c r="B270" s="9"/>
      <c r="C270" s="10"/>
      <c r="D270" s="9"/>
      <c r="E270" s="9"/>
      <c r="F270" s="9"/>
      <c r="G270" s="10"/>
      <c r="H270" s="9"/>
      <c r="I270" s="9"/>
      <c r="J270" s="9"/>
      <c r="K270" s="9"/>
      <c r="L270" s="9"/>
      <c r="M270" s="9"/>
      <c r="N270" s="9"/>
      <c r="O270" s="9"/>
      <c r="P270" s="9"/>
      <c r="Q270" s="12"/>
      <c r="R270" s="12"/>
      <c r="S270" s="12"/>
      <c r="T270" s="12"/>
      <c r="U270" s="12"/>
      <c r="V270" s="12"/>
      <c r="W270" s="10"/>
      <c r="X270" s="9"/>
      <c r="Y270" s="10"/>
      <c r="Z270" s="11"/>
      <c r="AA270" s="10"/>
      <c r="AB270" s="10"/>
      <c r="AC270" s="11"/>
      <c r="AD270" s="10"/>
      <c r="AE270" s="11"/>
      <c r="AF270" s="10"/>
      <c r="AG270" s="10"/>
      <c r="AH270" s="10"/>
    </row>
    <row r="271" spans="1:34" x14ac:dyDescent="0.25">
      <c r="A271" s="9"/>
      <c r="B271" s="9"/>
      <c r="C271" s="10"/>
      <c r="D271" s="9"/>
      <c r="E271" s="9"/>
      <c r="F271" s="9"/>
      <c r="G271" s="10"/>
      <c r="H271" s="9"/>
      <c r="I271" s="9"/>
      <c r="J271" s="9"/>
      <c r="K271" s="9"/>
      <c r="L271" s="9"/>
      <c r="M271" s="9"/>
      <c r="N271" s="9"/>
      <c r="O271" s="9"/>
      <c r="P271" s="9"/>
      <c r="Q271" s="12"/>
      <c r="R271" s="12"/>
      <c r="S271" s="12"/>
      <c r="T271" s="12"/>
      <c r="U271" s="12"/>
      <c r="V271" s="12"/>
      <c r="W271" s="10"/>
      <c r="X271" s="9"/>
      <c r="Y271" s="10"/>
      <c r="Z271" s="11"/>
      <c r="AA271" s="10"/>
      <c r="AB271" s="10"/>
      <c r="AC271" s="11"/>
      <c r="AD271" s="10"/>
      <c r="AE271" s="11"/>
      <c r="AF271" s="10"/>
      <c r="AG271" s="10"/>
      <c r="AH271" s="10"/>
    </row>
    <row r="272" spans="1:34" x14ac:dyDescent="0.25">
      <c r="A272" s="9"/>
      <c r="B272" s="9"/>
      <c r="C272" s="10"/>
      <c r="D272" s="9"/>
      <c r="E272" s="9"/>
      <c r="F272" s="9"/>
      <c r="G272" s="10"/>
      <c r="H272" s="9"/>
      <c r="I272" s="9"/>
      <c r="J272" s="9"/>
      <c r="K272" s="9"/>
      <c r="L272" s="9"/>
      <c r="M272" s="9"/>
      <c r="N272" s="9"/>
      <c r="O272" s="9"/>
      <c r="P272" s="9"/>
      <c r="Q272" s="12"/>
      <c r="R272" s="12"/>
      <c r="S272" s="12"/>
      <c r="T272" s="12"/>
      <c r="U272" s="12"/>
      <c r="V272" s="12"/>
      <c r="W272" s="10"/>
      <c r="X272" s="9"/>
      <c r="Y272" s="10"/>
      <c r="Z272" s="11"/>
      <c r="AA272" s="10"/>
      <c r="AB272" s="10"/>
      <c r="AC272" s="11"/>
      <c r="AD272" s="10"/>
      <c r="AE272" s="11"/>
      <c r="AF272" s="10"/>
      <c r="AG272" s="10"/>
      <c r="AH272" s="10"/>
    </row>
    <row r="273" spans="1:34" x14ac:dyDescent="0.25">
      <c r="A273" s="9"/>
      <c r="B273" s="9"/>
      <c r="C273" s="10"/>
      <c r="D273" s="9"/>
      <c r="E273" s="9"/>
      <c r="F273" s="9"/>
      <c r="G273" s="10"/>
      <c r="H273" s="9"/>
      <c r="I273" s="9"/>
      <c r="J273" s="9"/>
      <c r="K273" s="9"/>
      <c r="L273" s="9"/>
      <c r="M273" s="9"/>
      <c r="N273" s="9"/>
      <c r="O273" s="9"/>
      <c r="P273" s="9"/>
      <c r="Q273" s="12"/>
      <c r="R273" s="12"/>
      <c r="S273" s="12"/>
      <c r="T273" s="12"/>
      <c r="U273" s="12"/>
      <c r="V273" s="12"/>
      <c r="W273" s="10"/>
      <c r="X273" s="9"/>
      <c r="Y273" s="10"/>
      <c r="Z273" s="11"/>
      <c r="AA273" s="10"/>
      <c r="AB273" s="10"/>
      <c r="AC273" s="11"/>
      <c r="AD273" s="10"/>
      <c r="AE273" s="11"/>
      <c r="AF273" s="10"/>
      <c r="AG273" s="10"/>
      <c r="AH273" s="10"/>
    </row>
    <row r="274" spans="1:34" x14ac:dyDescent="0.25">
      <c r="A274" s="9"/>
      <c r="B274" s="9"/>
      <c r="C274" s="10"/>
      <c r="D274" s="9"/>
      <c r="E274" s="9"/>
      <c r="F274" s="9"/>
      <c r="G274" s="10"/>
      <c r="H274" s="9"/>
      <c r="I274" s="9"/>
      <c r="J274" s="9"/>
      <c r="K274" s="9"/>
      <c r="L274" s="9"/>
      <c r="M274" s="9"/>
      <c r="N274" s="9"/>
      <c r="O274" s="9"/>
      <c r="P274" s="9"/>
      <c r="Q274" s="12"/>
      <c r="R274" s="12"/>
      <c r="S274" s="12"/>
      <c r="T274" s="12"/>
      <c r="U274" s="12"/>
      <c r="V274" s="12"/>
      <c r="W274" s="10"/>
      <c r="X274" s="9"/>
      <c r="Y274" s="10"/>
      <c r="Z274" s="11"/>
      <c r="AA274" s="10"/>
      <c r="AB274" s="10"/>
      <c r="AC274" s="11"/>
      <c r="AD274" s="10"/>
      <c r="AE274" s="11"/>
      <c r="AF274" s="10"/>
      <c r="AG274" s="10"/>
      <c r="AH274" s="10"/>
    </row>
    <row r="275" spans="1:34" x14ac:dyDescent="0.25">
      <c r="A275" s="9"/>
      <c r="B275" s="9"/>
      <c r="C275" s="10"/>
      <c r="D275" s="9"/>
      <c r="E275" s="9"/>
      <c r="F275" s="9"/>
      <c r="G275" s="10"/>
      <c r="H275" s="9"/>
      <c r="I275" s="9"/>
      <c r="J275" s="9"/>
      <c r="K275" s="9"/>
      <c r="L275" s="9"/>
      <c r="M275" s="9"/>
      <c r="N275" s="9"/>
      <c r="O275" s="9"/>
      <c r="P275" s="9"/>
      <c r="Q275" s="12"/>
      <c r="R275" s="12"/>
      <c r="S275" s="12"/>
      <c r="T275" s="12"/>
      <c r="U275" s="12"/>
      <c r="V275" s="12"/>
      <c r="W275" s="10"/>
      <c r="X275" s="9"/>
      <c r="Y275" s="10"/>
      <c r="Z275" s="11"/>
      <c r="AA275" s="10"/>
      <c r="AB275" s="10"/>
      <c r="AC275" s="11"/>
      <c r="AD275" s="10"/>
      <c r="AE275" s="11"/>
      <c r="AF275" s="10"/>
      <c r="AG275" s="10"/>
      <c r="AH275" s="10"/>
    </row>
    <row r="276" spans="1:34" x14ac:dyDescent="0.25">
      <c r="A276" s="9"/>
      <c r="B276" s="9"/>
      <c r="C276" s="10"/>
      <c r="D276" s="9"/>
      <c r="E276" s="9"/>
      <c r="F276" s="9"/>
      <c r="G276" s="10"/>
      <c r="H276" s="9"/>
      <c r="I276" s="9"/>
      <c r="J276" s="9"/>
      <c r="K276" s="9"/>
      <c r="L276" s="9"/>
      <c r="M276" s="9"/>
      <c r="N276" s="9"/>
      <c r="O276" s="9"/>
      <c r="P276" s="9"/>
      <c r="Q276" s="12"/>
      <c r="R276" s="12"/>
      <c r="S276" s="12"/>
      <c r="T276" s="12"/>
      <c r="U276" s="12"/>
      <c r="V276" s="12"/>
      <c r="W276" s="10"/>
      <c r="X276" s="9"/>
      <c r="Y276" s="10"/>
      <c r="Z276" s="11"/>
      <c r="AA276" s="10"/>
      <c r="AB276" s="10"/>
      <c r="AC276" s="11"/>
      <c r="AD276" s="10"/>
      <c r="AE276" s="11"/>
      <c r="AF276" s="10"/>
      <c r="AG276" s="10"/>
      <c r="AH276" s="10"/>
    </row>
    <row r="277" spans="1:34" x14ac:dyDescent="0.25">
      <c r="A277" s="9"/>
      <c r="B277" s="9"/>
      <c r="C277" s="10"/>
      <c r="D277" s="9"/>
      <c r="E277" s="9"/>
      <c r="F277" s="9"/>
      <c r="G277" s="10"/>
      <c r="H277" s="9"/>
      <c r="I277" s="9"/>
      <c r="J277" s="9"/>
      <c r="K277" s="9"/>
      <c r="L277" s="9"/>
      <c r="M277" s="9"/>
      <c r="N277" s="9"/>
      <c r="O277" s="9"/>
      <c r="P277" s="9"/>
      <c r="Q277" s="12"/>
      <c r="R277" s="12"/>
      <c r="S277" s="12"/>
      <c r="T277" s="12"/>
      <c r="U277" s="12"/>
      <c r="V277" s="12"/>
      <c r="W277" s="10"/>
      <c r="X277" s="9"/>
      <c r="Y277" s="10"/>
      <c r="Z277" s="11"/>
      <c r="AA277" s="10"/>
      <c r="AB277" s="10"/>
      <c r="AC277" s="11"/>
      <c r="AD277" s="10"/>
      <c r="AE277" s="11"/>
      <c r="AF277" s="10"/>
      <c r="AG277" s="10"/>
      <c r="AH277" s="10"/>
    </row>
    <row r="278" spans="1:34" x14ac:dyDescent="0.25">
      <c r="A278" s="9"/>
      <c r="B278" s="9"/>
      <c r="C278" s="10"/>
      <c r="D278" s="9"/>
      <c r="E278" s="9"/>
      <c r="F278" s="9"/>
      <c r="G278" s="10"/>
      <c r="H278" s="9"/>
      <c r="I278" s="9"/>
      <c r="J278" s="9"/>
      <c r="K278" s="9"/>
      <c r="L278" s="9"/>
      <c r="M278" s="9"/>
      <c r="N278" s="9"/>
      <c r="O278" s="9"/>
      <c r="P278" s="9"/>
      <c r="Q278" s="12"/>
      <c r="R278" s="12"/>
      <c r="S278" s="12"/>
      <c r="T278" s="12"/>
      <c r="U278" s="12"/>
      <c r="V278" s="12"/>
      <c r="W278" s="10"/>
      <c r="X278" s="9"/>
      <c r="Y278" s="10"/>
      <c r="Z278" s="11"/>
      <c r="AA278" s="10"/>
      <c r="AB278" s="10"/>
      <c r="AC278" s="11"/>
      <c r="AD278" s="10"/>
      <c r="AE278" s="11"/>
      <c r="AF278" s="10"/>
      <c r="AG278" s="10"/>
      <c r="AH278" s="10"/>
    </row>
    <row r="279" spans="1:34" x14ac:dyDescent="0.25">
      <c r="A279" s="9"/>
      <c r="B279" s="9"/>
      <c r="C279" s="10"/>
      <c r="D279" s="9"/>
      <c r="E279" s="9"/>
      <c r="F279" s="9"/>
      <c r="G279" s="10"/>
      <c r="H279" s="9"/>
      <c r="I279" s="9"/>
      <c r="J279" s="9"/>
      <c r="K279" s="9"/>
      <c r="L279" s="9"/>
      <c r="M279" s="9"/>
      <c r="N279" s="9"/>
      <c r="O279" s="9"/>
      <c r="P279" s="9"/>
      <c r="Q279" s="12"/>
      <c r="R279" s="12"/>
      <c r="S279" s="12"/>
      <c r="T279" s="12"/>
      <c r="U279" s="12"/>
      <c r="V279" s="12"/>
      <c r="W279" s="10"/>
      <c r="X279" s="9"/>
      <c r="Y279" s="10"/>
      <c r="Z279" s="11"/>
      <c r="AA279" s="10"/>
      <c r="AB279" s="10"/>
      <c r="AC279" s="11"/>
      <c r="AD279" s="10"/>
      <c r="AE279" s="11"/>
      <c r="AF279" s="10"/>
      <c r="AG279" s="10"/>
      <c r="AH279" s="10"/>
    </row>
    <row r="280" spans="1:34" x14ac:dyDescent="0.25">
      <c r="A280" s="9"/>
      <c r="B280" s="9"/>
      <c r="C280" s="10"/>
      <c r="D280" s="9"/>
      <c r="E280" s="9"/>
      <c r="F280" s="9"/>
      <c r="G280" s="10"/>
      <c r="H280" s="9"/>
      <c r="I280" s="9"/>
      <c r="J280" s="9"/>
      <c r="K280" s="9"/>
      <c r="L280" s="9"/>
      <c r="M280" s="9"/>
      <c r="N280" s="9"/>
      <c r="O280" s="9"/>
      <c r="P280" s="9"/>
      <c r="Q280" s="12"/>
      <c r="R280" s="12"/>
      <c r="S280" s="12"/>
      <c r="T280" s="12"/>
      <c r="U280" s="12"/>
      <c r="V280" s="12"/>
      <c r="W280" s="10"/>
      <c r="X280" s="9"/>
      <c r="Y280" s="10"/>
      <c r="Z280" s="11"/>
      <c r="AA280" s="10"/>
      <c r="AB280" s="10"/>
      <c r="AC280" s="11"/>
      <c r="AD280" s="10"/>
      <c r="AE280" s="11"/>
      <c r="AF280" s="10"/>
      <c r="AG280" s="10"/>
      <c r="AH280" s="10"/>
    </row>
    <row r="281" spans="1:34" x14ac:dyDescent="0.25">
      <c r="A281" s="9"/>
      <c r="B281" s="9"/>
      <c r="C281" s="10"/>
      <c r="D281" s="9"/>
      <c r="E281" s="9"/>
      <c r="F281" s="9"/>
      <c r="G281" s="10"/>
      <c r="H281" s="9"/>
      <c r="I281" s="9"/>
      <c r="J281" s="9"/>
      <c r="K281" s="9"/>
      <c r="L281" s="9"/>
      <c r="M281" s="9"/>
      <c r="N281" s="9"/>
      <c r="O281" s="9"/>
      <c r="P281" s="9"/>
      <c r="Q281" s="12"/>
      <c r="R281" s="12"/>
      <c r="S281" s="12"/>
      <c r="T281" s="12"/>
      <c r="U281" s="12"/>
      <c r="V281" s="12"/>
      <c r="W281" s="10"/>
      <c r="X281" s="9"/>
      <c r="Y281" s="10"/>
      <c r="Z281" s="11"/>
      <c r="AA281" s="10"/>
      <c r="AB281" s="10"/>
      <c r="AC281" s="11"/>
      <c r="AD281" s="10"/>
      <c r="AE281" s="11"/>
      <c r="AF281" s="10"/>
      <c r="AG281" s="10"/>
      <c r="AH281" s="10"/>
    </row>
    <row r="282" spans="1:34" x14ac:dyDescent="0.25">
      <c r="A282" s="9"/>
      <c r="B282" s="9"/>
      <c r="C282" s="10"/>
      <c r="D282" s="9"/>
      <c r="E282" s="9"/>
      <c r="F282" s="9"/>
      <c r="G282" s="10"/>
      <c r="H282" s="9"/>
      <c r="I282" s="9"/>
      <c r="J282" s="9"/>
      <c r="K282" s="9"/>
      <c r="L282" s="9"/>
      <c r="M282" s="9"/>
      <c r="N282" s="9"/>
      <c r="O282" s="9"/>
      <c r="P282" s="9"/>
      <c r="Q282" s="12"/>
      <c r="R282" s="12"/>
      <c r="S282" s="12"/>
      <c r="T282" s="12"/>
      <c r="U282" s="12"/>
      <c r="V282" s="12"/>
      <c r="W282" s="10"/>
      <c r="X282" s="9"/>
      <c r="Y282" s="10"/>
      <c r="Z282" s="11"/>
      <c r="AA282" s="10"/>
      <c r="AB282" s="10"/>
      <c r="AC282" s="11"/>
      <c r="AD282" s="10"/>
      <c r="AE282" s="11"/>
      <c r="AF282" s="10"/>
      <c r="AG282" s="10"/>
      <c r="AH282" s="10"/>
    </row>
    <row r="283" spans="1:34" x14ac:dyDescent="0.25">
      <c r="A283" s="9"/>
      <c r="B283" s="9"/>
      <c r="C283" s="10"/>
      <c r="D283" s="9"/>
      <c r="E283" s="9"/>
      <c r="F283" s="9"/>
      <c r="G283" s="10"/>
      <c r="H283" s="9"/>
      <c r="I283" s="9"/>
      <c r="J283" s="9"/>
      <c r="K283" s="9"/>
      <c r="L283" s="9"/>
      <c r="M283" s="9"/>
      <c r="N283" s="9"/>
      <c r="O283" s="9"/>
      <c r="P283" s="9"/>
      <c r="Q283" s="12"/>
      <c r="R283" s="12"/>
      <c r="S283" s="12"/>
      <c r="T283" s="12"/>
      <c r="U283" s="12"/>
      <c r="V283" s="12"/>
      <c r="W283" s="10"/>
      <c r="X283" s="9"/>
      <c r="Y283" s="10"/>
      <c r="Z283" s="11"/>
      <c r="AA283" s="10"/>
      <c r="AB283" s="10"/>
      <c r="AC283" s="11"/>
      <c r="AD283" s="10"/>
      <c r="AE283" s="11"/>
      <c r="AF283" s="10"/>
      <c r="AG283" s="10"/>
      <c r="AH283" s="10"/>
    </row>
    <row r="284" spans="1:34" x14ac:dyDescent="0.25">
      <c r="A284" s="9"/>
      <c r="B284" s="9"/>
      <c r="C284" s="10"/>
      <c r="D284" s="9"/>
      <c r="E284" s="9"/>
      <c r="F284" s="9"/>
      <c r="G284" s="10"/>
      <c r="H284" s="9"/>
      <c r="I284" s="9"/>
      <c r="J284" s="9"/>
      <c r="K284" s="9"/>
      <c r="L284" s="9"/>
      <c r="M284" s="9"/>
      <c r="N284" s="9"/>
      <c r="O284" s="9"/>
      <c r="P284" s="9"/>
      <c r="Q284" s="12"/>
      <c r="R284" s="12"/>
      <c r="S284" s="12"/>
      <c r="T284" s="12"/>
      <c r="U284" s="12"/>
      <c r="V284" s="12"/>
      <c r="W284" s="10"/>
      <c r="X284" s="9"/>
      <c r="Y284" s="10"/>
      <c r="Z284" s="11"/>
      <c r="AA284" s="10"/>
      <c r="AB284" s="10"/>
      <c r="AC284" s="11"/>
      <c r="AD284" s="10"/>
      <c r="AE284" s="11"/>
      <c r="AF284" s="10"/>
      <c r="AG284" s="10"/>
      <c r="AH284" s="10"/>
    </row>
    <row r="285" spans="1:34" x14ac:dyDescent="0.25">
      <c r="A285" s="9"/>
      <c r="B285" s="9"/>
      <c r="C285" s="10"/>
      <c r="D285" s="9"/>
      <c r="E285" s="9"/>
      <c r="F285" s="9"/>
      <c r="G285" s="10"/>
      <c r="H285" s="9"/>
      <c r="I285" s="9"/>
      <c r="J285" s="9"/>
      <c r="K285" s="9"/>
      <c r="L285" s="9"/>
      <c r="M285" s="9"/>
      <c r="N285" s="9"/>
      <c r="O285" s="9"/>
      <c r="P285" s="9"/>
      <c r="Q285" s="12"/>
      <c r="R285" s="12"/>
      <c r="S285" s="12"/>
      <c r="T285" s="12"/>
      <c r="U285" s="12"/>
      <c r="V285" s="12"/>
      <c r="W285" s="10"/>
      <c r="X285" s="9"/>
      <c r="Y285" s="10"/>
      <c r="Z285" s="11"/>
      <c r="AA285" s="10"/>
      <c r="AB285" s="10"/>
      <c r="AC285" s="11"/>
      <c r="AD285" s="10"/>
      <c r="AE285" s="11"/>
      <c r="AF285" s="10"/>
      <c r="AG285" s="10"/>
      <c r="AH285" s="10"/>
    </row>
    <row r="286" spans="1:34" x14ac:dyDescent="0.25">
      <c r="A286" s="9"/>
      <c r="B286" s="9"/>
      <c r="C286" s="10"/>
      <c r="D286" s="9"/>
      <c r="E286" s="9"/>
      <c r="F286" s="9"/>
      <c r="G286" s="10"/>
      <c r="H286" s="9"/>
      <c r="I286" s="9"/>
      <c r="J286" s="9"/>
      <c r="K286" s="9"/>
      <c r="L286" s="9"/>
      <c r="M286" s="9"/>
      <c r="N286" s="9"/>
      <c r="O286" s="9"/>
      <c r="P286" s="9"/>
      <c r="Q286" s="12"/>
      <c r="R286" s="12"/>
      <c r="S286" s="12"/>
      <c r="T286" s="12"/>
      <c r="U286" s="12"/>
      <c r="V286" s="12"/>
      <c r="W286" s="10"/>
      <c r="X286" s="9"/>
      <c r="Y286" s="10"/>
      <c r="Z286" s="11"/>
      <c r="AA286" s="10"/>
      <c r="AB286" s="10"/>
      <c r="AC286" s="11"/>
      <c r="AD286" s="10"/>
      <c r="AE286" s="11"/>
      <c r="AF286" s="10"/>
      <c r="AG286" s="10"/>
      <c r="AH286" s="10"/>
    </row>
    <row r="287" spans="1:34" x14ac:dyDescent="0.25">
      <c r="A287" s="9"/>
      <c r="B287" s="9"/>
      <c r="C287" s="10"/>
      <c r="D287" s="9"/>
      <c r="E287" s="9"/>
      <c r="F287" s="9"/>
      <c r="G287" s="10"/>
      <c r="H287" s="9"/>
      <c r="I287" s="9"/>
      <c r="J287" s="9"/>
      <c r="K287" s="9"/>
      <c r="L287" s="9"/>
      <c r="M287" s="9"/>
      <c r="N287" s="9"/>
      <c r="O287" s="9"/>
      <c r="P287" s="9"/>
      <c r="Q287" s="12"/>
      <c r="R287" s="12"/>
      <c r="S287" s="12"/>
      <c r="T287" s="12"/>
      <c r="U287" s="12"/>
      <c r="V287" s="12"/>
      <c r="W287" s="10"/>
      <c r="X287" s="9"/>
      <c r="Y287" s="10"/>
      <c r="Z287" s="11"/>
      <c r="AA287" s="10"/>
      <c r="AB287" s="10"/>
      <c r="AC287" s="11"/>
      <c r="AD287" s="10"/>
      <c r="AE287" s="11"/>
      <c r="AF287" s="10"/>
      <c r="AG287" s="10"/>
      <c r="AH287" s="10"/>
    </row>
    <row r="288" spans="1:34" x14ac:dyDescent="0.25">
      <c r="A288" s="9"/>
      <c r="B288" s="9"/>
      <c r="C288" s="10"/>
      <c r="D288" s="9"/>
      <c r="E288" s="9"/>
      <c r="F288" s="9"/>
      <c r="G288" s="10"/>
      <c r="H288" s="9"/>
      <c r="I288" s="9"/>
      <c r="J288" s="9"/>
      <c r="K288" s="9"/>
      <c r="L288" s="9"/>
      <c r="M288" s="9"/>
      <c r="N288" s="9"/>
      <c r="O288" s="9"/>
      <c r="P288" s="9"/>
      <c r="Q288" s="12"/>
      <c r="R288" s="12"/>
      <c r="S288" s="12"/>
      <c r="T288" s="12"/>
      <c r="U288" s="12"/>
      <c r="V288" s="12"/>
      <c r="W288" s="10"/>
      <c r="X288" s="9"/>
      <c r="Y288" s="10"/>
      <c r="Z288" s="11"/>
      <c r="AA288" s="10"/>
      <c r="AB288" s="10"/>
      <c r="AC288" s="11"/>
      <c r="AD288" s="10"/>
      <c r="AE288" s="11"/>
      <c r="AF288" s="10"/>
      <c r="AG288" s="10"/>
      <c r="AH288" s="10"/>
    </row>
    <row r="289" spans="1:34" x14ac:dyDescent="0.25">
      <c r="A289" s="9"/>
      <c r="B289" s="9"/>
      <c r="C289" s="10"/>
      <c r="D289" s="9"/>
      <c r="E289" s="9"/>
      <c r="F289" s="9"/>
      <c r="G289" s="10"/>
      <c r="H289" s="9"/>
      <c r="I289" s="9"/>
      <c r="J289" s="9"/>
      <c r="K289" s="9"/>
      <c r="L289" s="9"/>
      <c r="M289" s="9"/>
      <c r="N289" s="9"/>
      <c r="O289" s="9"/>
      <c r="P289" s="9"/>
      <c r="Q289" s="12"/>
      <c r="R289" s="12"/>
      <c r="S289" s="12"/>
      <c r="T289" s="12"/>
      <c r="U289" s="12"/>
      <c r="V289" s="12"/>
      <c r="W289" s="10"/>
      <c r="X289" s="9"/>
      <c r="Y289" s="10"/>
      <c r="Z289" s="11"/>
      <c r="AA289" s="10"/>
      <c r="AB289" s="10"/>
      <c r="AC289" s="11"/>
      <c r="AD289" s="10"/>
      <c r="AE289" s="11"/>
      <c r="AF289" s="10"/>
      <c r="AG289" s="10"/>
      <c r="AH289" s="10"/>
    </row>
    <row r="290" spans="1:34" x14ac:dyDescent="0.25">
      <c r="A290" s="9"/>
      <c r="B290" s="9"/>
      <c r="C290" s="10"/>
      <c r="D290" s="9"/>
      <c r="E290" s="9"/>
      <c r="F290" s="9"/>
      <c r="G290" s="10"/>
      <c r="H290" s="9"/>
      <c r="I290" s="9"/>
      <c r="J290" s="9"/>
      <c r="K290" s="9"/>
      <c r="L290" s="9"/>
      <c r="M290" s="9"/>
      <c r="N290" s="9"/>
      <c r="O290" s="9"/>
      <c r="P290" s="9"/>
      <c r="Q290" s="12"/>
      <c r="R290" s="12"/>
      <c r="S290" s="12"/>
      <c r="T290" s="12"/>
      <c r="U290" s="12"/>
      <c r="V290" s="12"/>
      <c r="W290" s="10"/>
      <c r="X290" s="9"/>
      <c r="Y290" s="10"/>
      <c r="Z290" s="11"/>
      <c r="AA290" s="10"/>
      <c r="AB290" s="10"/>
      <c r="AC290" s="11"/>
      <c r="AD290" s="10"/>
      <c r="AE290" s="11"/>
      <c r="AF290" s="10"/>
      <c r="AG290" s="10"/>
      <c r="AH290" s="10"/>
    </row>
    <row r="291" spans="1:34" x14ac:dyDescent="0.25">
      <c r="A291" s="9"/>
      <c r="B291" s="9"/>
      <c r="C291" s="10"/>
      <c r="D291" s="9"/>
      <c r="E291" s="9"/>
      <c r="F291" s="9"/>
      <c r="G291" s="10"/>
      <c r="H291" s="9"/>
      <c r="I291" s="9"/>
      <c r="J291" s="9"/>
      <c r="K291" s="9"/>
      <c r="L291" s="9"/>
      <c r="M291" s="9"/>
      <c r="N291" s="9"/>
      <c r="O291" s="9"/>
      <c r="P291" s="9"/>
      <c r="Q291" s="12"/>
      <c r="R291" s="12"/>
      <c r="S291" s="12"/>
      <c r="T291" s="12"/>
      <c r="U291" s="12"/>
      <c r="V291" s="12"/>
      <c r="W291" s="10"/>
      <c r="X291" s="9"/>
      <c r="Y291" s="10"/>
      <c r="Z291" s="11"/>
      <c r="AA291" s="10"/>
      <c r="AB291" s="10"/>
      <c r="AC291" s="11"/>
      <c r="AD291" s="10"/>
      <c r="AE291" s="11"/>
      <c r="AF291" s="10"/>
      <c r="AG291" s="10"/>
      <c r="AH291" s="10"/>
    </row>
    <row r="292" spans="1:34" x14ac:dyDescent="0.25">
      <c r="A292" s="9"/>
      <c r="B292" s="9"/>
      <c r="C292" s="10"/>
      <c r="D292" s="9"/>
      <c r="E292" s="9"/>
      <c r="F292" s="9"/>
      <c r="G292" s="10"/>
      <c r="H292" s="9"/>
      <c r="I292" s="9"/>
      <c r="J292" s="9"/>
      <c r="K292" s="9"/>
      <c r="L292" s="9"/>
      <c r="M292" s="9"/>
      <c r="N292" s="9"/>
      <c r="O292" s="9"/>
      <c r="P292" s="9"/>
      <c r="Q292" s="12"/>
      <c r="R292" s="12"/>
      <c r="S292" s="12"/>
      <c r="T292" s="12"/>
      <c r="U292" s="12"/>
      <c r="V292" s="12"/>
      <c r="W292" s="10"/>
      <c r="X292" s="9"/>
      <c r="Y292" s="10"/>
      <c r="Z292" s="11"/>
      <c r="AA292" s="10"/>
      <c r="AB292" s="10"/>
      <c r="AC292" s="11"/>
      <c r="AD292" s="10"/>
      <c r="AE292" s="11"/>
      <c r="AF292" s="10"/>
      <c r="AG292" s="10"/>
      <c r="AH292" s="10"/>
    </row>
    <row r="293" spans="1:34" x14ac:dyDescent="0.25">
      <c r="A293" s="9"/>
      <c r="B293" s="9"/>
      <c r="C293" s="10"/>
      <c r="D293" s="9"/>
      <c r="E293" s="9"/>
      <c r="F293" s="9"/>
      <c r="G293" s="10"/>
      <c r="H293" s="9"/>
      <c r="I293" s="9"/>
      <c r="J293" s="9"/>
      <c r="K293" s="9"/>
      <c r="L293" s="9"/>
      <c r="M293" s="9"/>
      <c r="N293" s="9"/>
      <c r="O293" s="9"/>
      <c r="P293" s="9"/>
      <c r="Q293" s="12"/>
      <c r="R293" s="12"/>
      <c r="S293" s="12"/>
      <c r="T293" s="12"/>
      <c r="U293" s="12"/>
      <c r="V293" s="12"/>
      <c r="W293" s="10"/>
      <c r="X293" s="9"/>
      <c r="Y293" s="10"/>
      <c r="Z293" s="11"/>
      <c r="AA293" s="10"/>
      <c r="AB293" s="10"/>
      <c r="AC293" s="11"/>
      <c r="AD293" s="10"/>
      <c r="AE293" s="11"/>
      <c r="AF293" s="10"/>
      <c r="AG293" s="10"/>
      <c r="AH293" s="10"/>
    </row>
    <row r="294" spans="1:34" x14ac:dyDescent="0.25">
      <c r="A294" s="9"/>
      <c r="B294" s="9"/>
      <c r="C294" s="10"/>
      <c r="D294" s="9"/>
      <c r="E294" s="9"/>
      <c r="F294" s="9"/>
      <c r="G294" s="10"/>
      <c r="H294" s="9"/>
      <c r="I294" s="9"/>
      <c r="J294" s="9"/>
      <c r="K294" s="9"/>
      <c r="L294" s="9"/>
      <c r="M294" s="9"/>
      <c r="N294" s="9"/>
      <c r="O294" s="9"/>
      <c r="P294" s="9"/>
      <c r="Q294" s="12"/>
      <c r="R294" s="12"/>
      <c r="S294" s="12"/>
      <c r="T294" s="12"/>
      <c r="U294" s="12"/>
      <c r="V294" s="12"/>
      <c r="W294" s="10"/>
      <c r="X294" s="9"/>
      <c r="Y294" s="10"/>
      <c r="Z294" s="11"/>
      <c r="AA294" s="10"/>
      <c r="AB294" s="10"/>
      <c r="AC294" s="11"/>
      <c r="AD294" s="10"/>
      <c r="AE294" s="11"/>
      <c r="AF294" s="10"/>
      <c r="AG294" s="10"/>
      <c r="AH294" s="10"/>
    </row>
    <row r="295" spans="1:34" x14ac:dyDescent="0.25">
      <c r="A295" s="9"/>
      <c r="B295" s="9"/>
      <c r="C295" s="10"/>
      <c r="D295" s="9"/>
      <c r="E295" s="9"/>
      <c r="F295" s="9"/>
      <c r="G295" s="10"/>
      <c r="H295" s="9"/>
      <c r="I295" s="9"/>
      <c r="J295" s="9"/>
      <c r="K295" s="9"/>
      <c r="L295" s="9"/>
      <c r="M295" s="9"/>
      <c r="N295" s="9"/>
      <c r="O295" s="9"/>
      <c r="P295" s="9"/>
      <c r="Q295" s="12"/>
      <c r="R295" s="12"/>
      <c r="S295" s="12"/>
      <c r="T295" s="12"/>
      <c r="U295" s="12"/>
      <c r="V295" s="12"/>
      <c r="W295" s="10"/>
      <c r="X295" s="9"/>
      <c r="Y295" s="10"/>
      <c r="Z295" s="11"/>
      <c r="AA295" s="10"/>
      <c r="AB295" s="10"/>
      <c r="AC295" s="11"/>
      <c r="AD295" s="10"/>
      <c r="AE295" s="11"/>
      <c r="AF295" s="10"/>
      <c r="AG295" s="10"/>
      <c r="AH295" s="10"/>
    </row>
    <row r="296" spans="1:34" x14ac:dyDescent="0.25">
      <c r="A296" s="9"/>
      <c r="B296" s="9"/>
      <c r="C296" s="10"/>
      <c r="D296" s="9"/>
      <c r="E296" s="9"/>
      <c r="F296" s="9"/>
      <c r="G296" s="10"/>
      <c r="H296" s="9"/>
      <c r="I296" s="9"/>
      <c r="J296" s="9"/>
      <c r="K296" s="9"/>
      <c r="L296" s="9"/>
      <c r="M296" s="9"/>
      <c r="N296" s="9"/>
      <c r="O296" s="9"/>
      <c r="P296" s="9"/>
      <c r="Q296" s="12"/>
      <c r="R296" s="12"/>
      <c r="S296" s="12"/>
      <c r="T296" s="12"/>
      <c r="U296" s="12"/>
      <c r="V296" s="12"/>
      <c r="W296" s="10"/>
      <c r="X296" s="9"/>
      <c r="Y296" s="10"/>
      <c r="Z296" s="11"/>
      <c r="AA296" s="10"/>
      <c r="AB296" s="10"/>
      <c r="AC296" s="11"/>
      <c r="AD296" s="10"/>
      <c r="AE296" s="11"/>
      <c r="AF296" s="10"/>
      <c r="AG296" s="10"/>
      <c r="AH296" s="10"/>
    </row>
    <row r="297" spans="1:34" x14ac:dyDescent="0.25">
      <c r="A297" s="9"/>
      <c r="B297" s="9"/>
      <c r="C297" s="10"/>
      <c r="D297" s="9"/>
      <c r="E297" s="9"/>
      <c r="F297" s="9"/>
      <c r="G297" s="10"/>
      <c r="H297" s="9"/>
      <c r="I297" s="9"/>
      <c r="J297" s="9"/>
      <c r="K297" s="9"/>
      <c r="L297" s="9"/>
      <c r="M297" s="9"/>
      <c r="N297" s="9"/>
      <c r="O297" s="9"/>
      <c r="P297" s="9"/>
      <c r="Q297" s="12"/>
      <c r="R297" s="12"/>
      <c r="S297" s="12"/>
      <c r="T297" s="12"/>
      <c r="U297" s="12"/>
      <c r="V297" s="12"/>
      <c r="W297" s="10"/>
      <c r="X297" s="9"/>
      <c r="Y297" s="10"/>
      <c r="Z297" s="11"/>
      <c r="AA297" s="10"/>
      <c r="AB297" s="10"/>
      <c r="AC297" s="11"/>
      <c r="AD297" s="10"/>
      <c r="AE297" s="11"/>
      <c r="AF297" s="10"/>
      <c r="AG297" s="10"/>
      <c r="AH297" s="10"/>
    </row>
    <row r="298" spans="1:34" x14ac:dyDescent="0.25">
      <c r="A298" s="9"/>
      <c r="B298" s="9"/>
      <c r="C298" s="10"/>
      <c r="D298" s="9"/>
      <c r="E298" s="9"/>
      <c r="F298" s="9"/>
      <c r="G298" s="10"/>
      <c r="H298" s="9"/>
      <c r="I298" s="9"/>
      <c r="J298" s="9"/>
      <c r="K298" s="9"/>
      <c r="L298" s="9"/>
      <c r="M298" s="9"/>
      <c r="N298" s="9"/>
      <c r="O298" s="9"/>
      <c r="P298" s="9"/>
      <c r="Q298" s="12"/>
      <c r="R298" s="12"/>
      <c r="S298" s="12"/>
      <c r="T298" s="12"/>
      <c r="U298" s="12"/>
      <c r="V298" s="12"/>
      <c r="W298" s="10"/>
      <c r="X298" s="9"/>
      <c r="Y298" s="10"/>
      <c r="Z298" s="11"/>
      <c r="AA298" s="10"/>
      <c r="AB298" s="10"/>
      <c r="AC298" s="11"/>
      <c r="AD298" s="10"/>
      <c r="AE298" s="11"/>
      <c r="AF298" s="10"/>
      <c r="AG298" s="10"/>
      <c r="AH298" s="10"/>
    </row>
    <row r="299" spans="1:34" x14ac:dyDescent="0.25">
      <c r="A299" s="9"/>
      <c r="B299" s="9"/>
      <c r="C299" s="10"/>
      <c r="D299" s="9"/>
      <c r="E299" s="9"/>
      <c r="F299" s="9"/>
      <c r="G299" s="10"/>
      <c r="H299" s="9"/>
      <c r="I299" s="9"/>
      <c r="J299" s="9"/>
      <c r="K299" s="9"/>
      <c r="L299" s="9"/>
      <c r="M299" s="9"/>
      <c r="N299" s="9"/>
      <c r="O299" s="9"/>
      <c r="P299" s="9"/>
      <c r="Q299" s="12"/>
      <c r="R299" s="12"/>
      <c r="S299" s="12"/>
      <c r="T299" s="12"/>
      <c r="U299" s="12"/>
      <c r="V299" s="12"/>
      <c r="W299" s="10"/>
      <c r="X299" s="9"/>
      <c r="Y299" s="10"/>
      <c r="Z299" s="11"/>
      <c r="AA299" s="10"/>
      <c r="AB299" s="10"/>
      <c r="AC299" s="11"/>
      <c r="AD299" s="10"/>
      <c r="AE299" s="11"/>
      <c r="AF299" s="10"/>
      <c r="AG299" s="10"/>
      <c r="AH299" s="10"/>
    </row>
    <row r="300" spans="1:34" x14ac:dyDescent="0.25">
      <c r="A300" s="9"/>
      <c r="B300" s="9"/>
      <c r="C300" s="10"/>
      <c r="D300" s="9"/>
      <c r="E300" s="9"/>
      <c r="F300" s="9"/>
      <c r="G300" s="10"/>
      <c r="H300" s="9"/>
      <c r="I300" s="9"/>
      <c r="J300" s="9"/>
      <c r="K300" s="9"/>
      <c r="L300" s="9"/>
      <c r="M300" s="9"/>
      <c r="N300" s="9"/>
      <c r="O300" s="9"/>
      <c r="P300" s="9"/>
      <c r="Q300" s="12"/>
      <c r="R300" s="12"/>
      <c r="S300" s="12"/>
      <c r="T300" s="12"/>
      <c r="U300" s="12"/>
      <c r="V300" s="11"/>
      <c r="W300" s="10"/>
      <c r="X300" s="9"/>
      <c r="Y300" s="10"/>
      <c r="Z300" s="11"/>
      <c r="AA300" s="10"/>
      <c r="AB300" s="10"/>
      <c r="AC300" s="11"/>
      <c r="AD300" s="10"/>
      <c r="AE300" s="11"/>
      <c r="AF300" s="10"/>
      <c r="AG300" s="10"/>
      <c r="AH300" s="11"/>
    </row>
    <row r="301" spans="1:34" x14ac:dyDescent="0.25">
      <c r="A301" s="9"/>
      <c r="B301" s="9"/>
      <c r="C301" s="10"/>
      <c r="D301" s="9"/>
      <c r="E301" s="9"/>
      <c r="F301" s="9"/>
      <c r="G301" s="10"/>
      <c r="H301" s="9"/>
      <c r="I301" s="9"/>
      <c r="J301" s="9"/>
      <c r="K301" s="9"/>
      <c r="L301" s="9"/>
      <c r="M301" s="9"/>
      <c r="N301" s="9"/>
      <c r="O301" s="9"/>
      <c r="P301" s="9"/>
      <c r="Q301" s="12"/>
      <c r="R301" s="12"/>
      <c r="S301" s="12"/>
      <c r="T301" s="12"/>
      <c r="U301" s="12"/>
      <c r="V301" s="12"/>
      <c r="W301" s="10"/>
      <c r="X301" s="9"/>
      <c r="Y301" s="10"/>
      <c r="Z301" s="11"/>
      <c r="AA301" s="10"/>
      <c r="AB301" s="10"/>
      <c r="AC301" s="11"/>
      <c r="AD301" s="10"/>
      <c r="AE301" s="11"/>
      <c r="AF301" s="10"/>
      <c r="AG301" s="10"/>
      <c r="AH301" s="10"/>
    </row>
    <row r="302" spans="1:34" x14ac:dyDescent="0.25">
      <c r="A302" s="9"/>
      <c r="B302" s="9"/>
      <c r="C302" s="10"/>
      <c r="D302" s="9"/>
      <c r="E302" s="9"/>
      <c r="F302" s="9"/>
      <c r="G302" s="10"/>
      <c r="H302" s="9"/>
      <c r="I302" s="9"/>
      <c r="J302" s="9"/>
      <c r="K302" s="9"/>
      <c r="L302" s="9"/>
      <c r="M302" s="9"/>
      <c r="N302" s="9"/>
      <c r="O302" s="9"/>
      <c r="P302" s="9"/>
      <c r="Q302" s="12"/>
      <c r="R302" s="12"/>
      <c r="S302" s="12"/>
      <c r="T302" s="12"/>
      <c r="U302" s="12"/>
      <c r="V302" s="12"/>
      <c r="W302" s="10"/>
      <c r="X302" s="9"/>
      <c r="Y302" s="10"/>
      <c r="Z302" s="11"/>
      <c r="AA302" s="10"/>
      <c r="AB302" s="10"/>
      <c r="AC302" s="11"/>
      <c r="AD302" s="10"/>
      <c r="AE302" s="11"/>
      <c r="AF302" s="10"/>
      <c r="AG302" s="10"/>
      <c r="AH302" s="10"/>
    </row>
    <row r="303" spans="1:34" x14ac:dyDescent="0.25">
      <c r="A303" s="9"/>
      <c r="B303" s="9"/>
      <c r="C303" s="10"/>
      <c r="D303" s="9"/>
      <c r="E303" s="9"/>
      <c r="F303" s="9"/>
      <c r="G303" s="10"/>
      <c r="H303" s="9"/>
      <c r="I303" s="9"/>
      <c r="J303" s="9"/>
      <c r="K303" s="9"/>
      <c r="L303" s="9"/>
      <c r="M303" s="9"/>
      <c r="N303" s="9"/>
      <c r="O303" s="9"/>
      <c r="P303" s="9"/>
      <c r="Q303" s="12"/>
      <c r="R303" s="12"/>
      <c r="S303" s="12"/>
      <c r="T303" s="12"/>
      <c r="U303" s="12"/>
      <c r="V303" s="11"/>
      <c r="W303" s="10"/>
      <c r="X303" s="9"/>
      <c r="Y303" s="10"/>
      <c r="Z303" s="10"/>
      <c r="AA303" s="10"/>
      <c r="AB303" s="10"/>
      <c r="AC303" s="10"/>
      <c r="AD303" s="10"/>
      <c r="AE303" s="10"/>
      <c r="AF303" s="10"/>
      <c r="AG303" s="10"/>
      <c r="AH303" s="10"/>
    </row>
    <row r="304" spans="1:34" x14ac:dyDescent="0.25">
      <c r="A304" s="9"/>
      <c r="B304" s="9"/>
      <c r="C304" s="10"/>
      <c r="D304" s="9"/>
      <c r="E304" s="9"/>
      <c r="F304" s="9"/>
      <c r="G304" s="10"/>
      <c r="H304" s="9"/>
      <c r="I304" s="9"/>
      <c r="J304" s="9"/>
      <c r="K304" s="9"/>
      <c r="L304" s="9"/>
      <c r="M304" s="9"/>
      <c r="N304" s="9"/>
      <c r="O304" s="9"/>
      <c r="P304" s="9"/>
      <c r="Q304" s="12"/>
      <c r="R304" s="12"/>
      <c r="S304" s="12"/>
      <c r="T304" s="12"/>
      <c r="U304" s="12"/>
      <c r="V304" s="11"/>
      <c r="W304" s="10"/>
      <c r="X304" s="9"/>
      <c r="Y304" s="10"/>
      <c r="Z304" s="10"/>
      <c r="AA304" s="11"/>
      <c r="AB304" s="10"/>
      <c r="AC304" s="10"/>
      <c r="AD304" s="10"/>
      <c r="AE304" s="10"/>
      <c r="AF304" s="10"/>
      <c r="AG304" s="10"/>
      <c r="AH304" s="10"/>
    </row>
    <row r="305" spans="1:34" x14ac:dyDescent="0.25">
      <c r="A305" s="9"/>
      <c r="B305" s="9"/>
      <c r="C305" s="10"/>
      <c r="D305" s="9"/>
      <c r="E305" s="9"/>
      <c r="F305" s="9"/>
      <c r="G305" s="10"/>
      <c r="H305" s="9"/>
      <c r="I305" s="9"/>
      <c r="J305" s="9"/>
      <c r="K305" s="9"/>
      <c r="L305" s="9"/>
      <c r="M305" s="9"/>
      <c r="N305" s="9"/>
      <c r="O305" s="9"/>
      <c r="P305" s="9"/>
      <c r="Q305" s="12"/>
      <c r="R305" s="12"/>
      <c r="S305" s="12"/>
      <c r="T305" s="12"/>
      <c r="U305" s="12"/>
      <c r="V305" s="11"/>
      <c r="W305" s="10"/>
      <c r="X305" s="9"/>
      <c r="Y305" s="10"/>
      <c r="Z305" s="10"/>
      <c r="AA305" s="10"/>
      <c r="AB305" s="10"/>
      <c r="AC305" s="10"/>
      <c r="AD305" s="10"/>
      <c r="AE305" s="10"/>
      <c r="AF305" s="10"/>
      <c r="AG305" s="10"/>
      <c r="AH305" s="10"/>
    </row>
    <row r="306" spans="1:34" x14ac:dyDescent="0.25">
      <c r="A306" s="9"/>
      <c r="B306" s="9"/>
      <c r="C306" s="10"/>
      <c r="D306" s="9"/>
      <c r="E306" s="9"/>
      <c r="F306" s="9"/>
      <c r="G306" s="10"/>
      <c r="H306" s="9"/>
      <c r="I306" s="9"/>
      <c r="J306" s="9"/>
      <c r="K306" s="9"/>
      <c r="L306" s="9"/>
      <c r="M306" s="9"/>
      <c r="N306" s="9"/>
      <c r="O306" s="9"/>
      <c r="P306" s="9"/>
      <c r="Q306" s="12"/>
      <c r="R306" s="12"/>
      <c r="S306" s="12"/>
      <c r="T306" s="12"/>
      <c r="U306" s="12"/>
      <c r="V306" s="11"/>
      <c r="W306" s="10"/>
      <c r="X306" s="9"/>
      <c r="Y306" s="10"/>
      <c r="Z306" s="10"/>
      <c r="AA306" s="10"/>
      <c r="AB306" s="10"/>
      <c r="AC306" s="10"/>
      <c r="AD306" s="10"/>
      <c r="AE306" s="10"/>
      <c r="AF306" s="10"/>
      <c r="AG306" s="10"/>
      <c r="AH306" s="10"/>
    </row>
    <row r="307" spans="1:34" x14ac:dyDescent="0.25">
      <c r="A307" s="9"/>
      <c r="B307" s="9"/>
      <c r="C307" s="10"/>
      <c r="D307" s="9"/>
      <c r="E307" s="9"/>
      <c r="F307" s="9"/>
      <c r="G307" s="10"/>
      <c r="H307" s="9"/>
      <c r="I307" s="9"/>
      <c r="J307" s="9"/>
      <c r="K307" s="9"/>
      <c r="L307" s="9"/>
      <c r="M307" s="9"/>
      <c r="N307" s="9"/>
      <c r="O307" s="9"/>
      <c r="P307" s="9"/>
      <c r="Q307" s="12"/>
      <c r="R307" s="12"/>
      <c r="S307" s="12"/>
      <c r="T307" s="12"/>
      <c r="U307" s="12"/>
      <c r="V307" s="11"/>
      <c r="W307" s="10"/>
      <c r="X307" s="9"/>
      <c r="Y307" s="10"/>
      <c r="Z307" s="10"/>
      <c r="AA307" s="10"/>
      <c r="AB307" s="10"/>
      <c r="AC307" s="10"/>
      <c r="AD307" s="10"/>
      <c r="AE307" s="10"/>
      <c r="AF307" s="10"/>
      <c r="AG307" s="10"/>
      <c r="AH307" s="10"/>
    </row>
    <row r="308" spans="1:34" x14ac:dyDescent="0.25">
      <c r="A308" s="9"/>
      <c r="B308" s="9"/>
      <c r="C308" s="10"/>
      <c r="D308" s="9"/>
      <c r="E308" s="9"/>
      <c r="F308" s="9"/>
      <c r="G308" s="10"/>
      <c r="H308" s="9"/>
      <c r="I308" s="9"/>
      <c r="J308" s="9"/>
      <c r="K308" s="9"/>
      <c r="L308" s="9"/>
      <c r="M308" s="9"/>
      <c r="N308" s="9"/>
      <c r="O308" s="9"/>
      <c r="P308" s="9"/>
      <c r="Q308" s="12"/>
      <c r="R308" s="12"/>
      <c r="S308" s="12"/>
      <c r="T308" s="12"/>
      <c r="U308" s="12"/>
      <c r="V308" s="11"/>
      <c r="W308" s="10"/>
      <c r="X308" s="9"/>
      <c r="Y308" s="10"/>
      <c r="Z308" s="10"/>
      <c r="AA308" s="10"/>
      <c r="AB308" s="10"/>
      <c r="AC308" s="10"/>
      <c r="AD308" s="10"/>
      <c r="AE308" s="10"/>
      <c r="AF308" s="10"/>
      <c r="AG308" s="10"/>
      <c r="AH308" s="10"/>
    </row>
    <row r="309" spans="1:34" x14ac:dyDescent="0.25">
      <c r="A309" s="9"/>
      <c r="B309" s="9"/>
      <c r="C309" s="10"/>
      <c r="D309" s="9"/>
      <c r="E309" s="9"/>
      <c r="F309" s="9"/>
      <c r="G309" s="10"/>
      <c r="H309" s="9"/>
      <c r="I309" s="9"/>
      <c r="J309" s="9"/>
      <c r="K309" s="9"/>
      <c r="L309" s="9"/>
      <c r="M309" s="9"/>
      <c r="N309" s="9"/>
      <c r="O309" s="9"/>
      <c r="P309" s="9"/>
      <c r="Q309" s="12"/>
      <c r="R309" s="12"/>
      <c r="S309" s="12"/>
      <c r="T309" s="12"/>
      <c r="U309" s="12"/>
      <c r="V309" s="11"/>
      <c r="W309" s="10"/>
      <c r="X309" s="9"/>
      <c r="Y309" s="10"/>
      <c r="Z309" s="10"/>
      <c r="AA309" s="10"/>
      <c r="AB309" s="10"/>
      <c r="AC309" s="10"/>
      <c r="AD309" s="10"/>
      <c r="AE309" s="10"/>
      <c r="AF309" s="10"/>
      <c r="AG309" s="10"/>
      <c r="AH309" s="10"/>
    </row>
    <row r="310" spans="1:34" x14ac:dyDescent="0.25">
      <c r="A310" s="9"/>
      <c r="B310" s="9"/>
      <c r="C310" s="10"/>
      <c r="D310" s="9"/>
      <c r="E310" s="9"/>
      <c r="F310" s="9"/>
      <c r="G310" s="10"/>
      <c r="H310" s="9"/>
      <c r="I310" s="9"/>
      <c r="J310" s="9"/>
      <c r="K310" s="9"/>
      <c r="L310" s="9"/>
      <c r="M310" s="9"/>
      <c r="N310" s="9"/>
      <c r="O310" s="9"/>
      <c r="P310" s="9"/>
      <c r="Q310" s="12"/>
      <c r="R310" s="12"/>
      <c r="S310" s="12"/>
      <c r="T310" s="12"/>
      <c r="U310" s="12"/>
      <c r="V310" s="11"/>
      <c r="W310" s="10"/>
      <c r="X310" s="9"/>
      <c r="Y310" s="10"/>
      <c r="Z310" s="10"/>
      <c r="AA310" s="10"/>
      <c r="AB310" s="10"/>
      <c r="AC310" s="10"/>
      <c r="AD310" s="10"/>
      <c r="AE310" s="10"/>
      <c r="AF310" s="10"/>
      <c r="AG310" s="10"/>
      <c r="AH310" s="10"/>
    </row>
    <row r="311" spans="1:34" x14ac:dyDescent="0.25">
      <c r="A311" s="9"/>
      <c r="B311" s="9"/>
      <c r="C311" s="10"/>
      <c r="D311" s="9"/>
      <c r="E311" s="9"/>
      <c r="F311" s="9"/>
      <c r="G311" s="10"/>
      <c r="H311" s="9"/>
      <c r="I311" s="9"/>
      <c r="J311" s="9"/>
      <c r="K311" s="9"/>
      <c r="L311" s="9"/>
      <c r="M311" s="9"/>
      <c r="N311" s="9"/>
      <c r="O311" s="9"/>
      <c r="P311" s="9"/>
      <c r="Q311" s="11"/>
      <c r="R311" s="12"/>
      <c r="S311" s="11"/>
      <c r="T311" s="12"/>
      <c r="U311" s="12"/>
      <c r="V311" s="11"/>
      <c r="W311" s="10"/>
      <c r="X311" s="9"/>
      <c r="Y311" s="10"/>
      <c r="Z311" s="10"/>
      <c r="AA311" s="10"/>
      <c r="AB311" s="10"/>
      <c r="AC311" s="10"/>
      <c r="AD311" s="10"/>
      <c r="AE311" s="10"/>
      <c r="AF311" s="10"/>
      <c r="AG311" s="10"/>
      <c r="AH311" s="10"/>
    </row>
    <row r="312" spans="1:34" x14ac:dyDescent="0.25">
      <c r="A312" s="9"/>
      <c r="B312" s="9"/>
      <c r="C312" s="10"/>
      <c r="D312" s="9"/>
      <c r="E312" s="9"/>
      <c r="F312" s="9"/>
      <c r="G312" s="10"/>
      <c r="H312" s="9"/>
      <c r="I312" s="9"/>
      <c r="J312" s="9"/>
      <c r="K312" s="9"/>
      <c r="L312" s="9"/>
      <c r="M312" s="9"/>
      <c r="N312" s="9"/>
      <c r="O312" s="9"/>
      <c r="P312" s="9"/>
      <c r="Q312" s="12"/>
      <c r="R312" s="12"/>
      <c r="S312" s="12"/>
      <c r="T312" s="12"/>
      <c r="U312" s="12"/>
      <c r="V312" s="11"/>
      <c r="W312" s="10"/>
      <c r="X312" s="9"/>
      <c r="Y312" s="11"/>
      <c r="Z312" s="11"/>
      <c r="AA312" s="11"/>
      <c r="AB312" s="11"/>
      <c r="AC312" s="11"/>
      <c r="AD312" s="10"/>
      <c r="AE312" s="10"/>
      <c r="AF312" s="10"/>
      <c r="AG312" s="10"/>
      <c r="AH312" s="10"/>
    </row>
    <row r="313" spans="1:34" x14ac:dyDescent="0.25">
      <c r="A313" s="9"/>
      <c r="B313" s="9"/>
      <c r="C313" s="10"/>
      <c r="D313" s="9"/>
      <c r="E313" s="9"/>
      <c r="F313" s="9"/>
      <c r="G313" s="10"/>
      <c r="H313" s="9"/>
      <c r="I313" s="9"/>
      <c r="J313" s="9"/>
      <c r="K313" s="9"/>
      <c r="L313" s="9"/>
      <c r="M313" s="9"/>
      <c r="N313" s="9"/>
      <c r="O313" s="9"/>
      <c r="P313" s="9"/>
      <c r="Q313" s="12"/>
      <c r="R313" s="12"/>
      <c r="S313" s="12"/>
      <c r="T313" s="12"/>
      <c r="U313" s="12"/>
      <c r="V313" s="11"/>
      <c r="W313" s="10"/>
      <c r="X313" s="9"/>
      <c r="Y313" s="10"/>
      <c r="Z313" s="10"/>
      <c r="AA313" s="10"/>
      <c r="AB313" s="11"/>
      <c r="AC313" s="10"/>
      <c r="AD313" s="10"/>
      <c r="AE313" s="10"/>
      <c r="AF313" s="10"/>
      <c r="AG313" s="10"/>
      <c r="AH313" s="10"/>
    </row>
    <row r="314" spans="1:34" x14ac:dyDescent="0.25">
      <c r="A314" s="9"/>
      <c r="B314" s="9"/>
      <c r="C314" s="10"/>
      <c r="D314" s="9"/>
      <c r="E314" s="9"/>
      <c r="F314" s="9"/>
      <c r="G314" s="10"/>
      <c r="H314" s="9"/>
      <c r="I314" s="9"/>
      <c r="J314" s="9"/>
      <c r="K314" s="9"/>
      <c r="L314" s="9"/>
      <c r="M314" s="9"/>
      <c r="N314" s="9"/>
      <c r="O314" s="9"/>
      <c r="P314" s="9"/>
      <c r="Q314" s="12"/>
      <c r="R314" s="12"/>
      <c r="S314" s="12"/>
      <c r="T314" s="12"/>
      <c r="U314" s="12"/>
      <c r="V314" s="11"/>
      <c r="W314" s="10"/>
      <c r="X314" s="9"/>
      <c r="Y314" s="10"/>
      <c r="Z314" s="10"/>
      <c r="AA314" s="10"/>
      <c r="AB314" s="10"/>
      <c r="AC314" s="10"/>
      <c r="AD314" s="10"/>
      <c r="AE314" s="10"/>
      <c r="AF314" s="10"/>
      <c r="AG314" s="10"/>
      <c r="AH314" s="10"/>
    </row>
    <row r="315" spans="1:34" x14ac:dyDescent="0.25">
      <c r="A315" s="9"/>
      <c r="B315" s="9"/>
      <c r="C315" s="10"/>
      <c r="D315" s="9"/>
      <c r="E315" s="9"/>
      <c r="F315" s="9"/>
      <c r="G315" s="10"/>
      <c r="H315" s="9"/>
      <c r="I315" s="9"/>
      <c r="J315" s="9"/>
      <c r="K315" s="9"/>
      <c r="L315" s="9"/>
      <c r="M315" s="9"/>
      <c r="N315" s="9"/>
      <c r="O315" s="9"/>
      <c r="P315" s="9"/>
      <c r="Q315" s="12"/>
      <c r="R315" s="12"/>
      <c r="S315" s="12"/>
      <c r="T315" s="12"/>
      <c r="U315" s="12"/>
      <c r="V315" s="11"/>
      <c r="W315" s="10"/>
      <c r="X315" s="9"/>
      <c r="Y315" s="10"/>
      <c r="Z315" s="10"/>
      <c r="AA315" s="10"/>
      <c r="AB315" s="10"/>
      <c r="AC315" s="10"/>
      <c r="AD315" s="10"/>
      <c r="AE315" s="10"/>
      <c r="AF315" s="10"/>
      <c r="AG315" s="10"/>
      <c r="AH315" s="10"/>
    </row>
    <row r="316" spans="1:34" x14ac:dyDescent="0.25">
      <c r="A316" s="9"/>
      <c r="B316" s="9"/>
      <c r="C316" s="10"/>
      <c r="D316" s="9"/>
      <c r="E316" s="9"/>
      <c r="F316" s="9"/>
      <c r="G316" s="10"/>
      <c r="H316" s="9"/>
      <c r="I316" s="9"/>
      <c r="J316" s="9"/>
      <c r="K316" s="9"/>
      <c r="L316" s="9"/>
      <c r="M316" s="9"/>
      <c r="N316" s="9"/>
      <c r="O316" s="9"/>
      <c r="P316" s="9"/>
      <c r="Q316" s="12"/>
      <c r="R316" s="12"/>
      <c r="S316" s="12"/>
      <c r="T316" s="12"/>
      <c r="U316" s="12"/>
      <c r="V316" s="11"/>
      <c r="W316" s="10"/>
      <c r="X316" s="9"/>
      <c r="Y316" s="10"/>
      <c r="Z316" s="10"/>
      <c r="AA316" s="10"/>
      <c r="AB316" s="10"/>
      <c r="AC316" s="10"/>
      <c r="AD316" s="10"/>
      <c r="AE316" s="10"/>
      <c r="AF316" s="10"/>
      <c r="AG316" s="10"/>
      <c r="AH316" s="10"/>
    </row>
    <row r="317" spans="1:34" x14ac:dyDescent="0.25">
      <c r="A317" s="9"/>
      <c r="B317" s="9"/>
      <c r="C317" s="10"/>
      <c r="D317" s="9"/>
      <c r="E317" s="9"/>
      <c r="F317" s="9"/>
      <c r="G317" s="10"/>
      <c r="H317" s="9"/>
      <c r="I317" s="9"/>
      <c r="J317" s="9"/>
      <c r="K317" s="9"/>
      <c r="L317" s="9"/>
      <c r="M317" s="9"/>
      <c r="N317" s="9"/>
      <c r="O317" s="9"/>
      <c r="P317" s="9"/>
      <c r="Q317" s="12"/>
      <c r="R317" s="12"/>
      <c r="S317" s="12"/>
      <c r="T317" s="12"/>
      <c r="U317" s="12"/>
      <c r="V317" s="11"/>
      <c r="W317" s="10"/>
      <c r="X317" s="9"/>
      <c r="Y317" s="10"/>
      <c r="Z317" s="10"/>
      <c r="AA317" s="10"/>
      <c r="AB317" s="10"/>
      <c r="AC317" s="10"/>
      <c r="AD317" s="10"/>
      <c r="AE317" s="10"/>
      <c r="AF317" s="10"/>
      <c r="AG317" s="10"/>
      <c r="AH317" s="10"/>
    </row>
    <row r="318" spans="1:34" x14ac:dyDescent="0.25">
      <c r="A318" s="9"/>
      <c r="B318" s="9"/>
      <c r="C318" s="10"/>
      <c r="D318" s="9"/>
      <c r="E318" s="9"/>
      <c r="F318" s="9"/>
      <c r="G318" s="10"/>
      <c r="H318" s="9"/>
      <c r="I318" s="9"/>
      <c r="J318" s="9"/>
      <c r="K318" s="9"/>
      <c r="L318" s="9"/>
      <c r="M318" s="9"/>
      <c r="N318" s="9"/>
      <c r="O318" s="9"/>
      <c r="P318" s="9"/>
      <c r="Q318" s="12"/>
      <c r="R318" s="12"/>
      <c r="S318" s="12"/>
      <c r="T318" s="12"/>
      <c r="U318" s="12"/>
      <c r="V318" s="11"/>
      <c r="W318" s="10"/>
      <c r="X318" s="9"/>
      <c r="Y318" s="10"/>
      <c r="Z318" s="10"/>
      <c r="AA318" s="10"/>
      <c r="AB318" s="10"/>
      <c r="AC318" s="10"/>
      <c r="AD318" s="10"/>
      <c r="AE318" s="10"/>
      <c r="AF318" s="10"/>
      <c r="AG318" s="10"/>
      <c r="AH318" s="10"/>
    </row>
    <row r="319" spans="1:34" x14ac:dyDescent="0.25">
      <c r="A319" s="9"/>
      <c r="B319" s="9"/>
      <c r="C319" s="10"/>
      <c r="D319" s="9"/>
      <c r="E319" s="9"/>
      <c r="F319" s="9"/>
      <c r="G319" s="10"/>
      <c r="H319" s="9"/>
      <c r="I319" s="9"/>
      <c r="J319" s="9"/>
      <c r="K319" s="9"/>
      <c r="L319" s="9"/>
      <c r="M319" s="9"/>
      <c r="N319" s="9"/>
      <c r="O319" s="9"/>
      <c r="P319" s="9"/>
      <c r="Q319" s="12"/>
      <c r="R319" s="12"/>
      <c r="S319" s="12"/>
      <c r="T319" s="12"/>
      <c r="U319" s="12"/>
      <c r="V319" s="11"/>
      <c r="W319" s="10"/>
      <c r="X319" s="9"/>
      <c r="Y319" s="10"/>
      <c r="Z319" s="10"/>
      <c r="AA319" s="10"/>
      <c r="AB319" s="10"/>
      <c r="AC319" s="10"/>
      <c r="AD319" s="10"/>
      <c r="AE319" s="10"/>
      <c r="AF319" s="10"/>
      <c r="AG319" s="10"/>
      <c r="AH319" s="10"/>
    </row>
    <row r="320" spans="1:34" x14ac:dyDescent="0.25">
      <c r="A320" s="9"/>
      <c r="B320" s="9"/>
      <c r="C320" s="10"/>
      <c r="D320" s="9"/>
      <c r="E320" s="9"/>
      <c r="F320" s="9"/>
      <c r="G320" s="10"/>
      <c r="H320" s="9"/>
      <c r="I320" s="9"/>
      <c r="J320" s="9"/>
      <c r="K320" s="9"/>
      <c r="L320" s="9"/>
      <c r="M320" s="9"/>
      <c r="N320" s="9"/>
      <c r="O320" s="9"/>
      <c r="P320" s="9"/>
      <c r="Q320" s="12"/>
      <c r="R320" s="12"/>
      <c r="S320" s="12"/>
      <c r="T320" s="12"/>
      <c r="U320" s="12"/>
      <c r="V320" s="11"/>
      <c r="W320" s="10"/>
      <c r="X320" s="9"/>
      <c r="Y320" s="10"/>
      <c r="Z320" s="10"/>
      <c r="AA320" s="10"/>
      <c r="AB320" s="11"/>
      <c r="AC320" s="10"/>
      <c r="AD320" s="10"/>
      <c r="AE320" s="10"/>
      <c r="AF320" s="10"/>
      <c r="AG320" s="10"/>
      <c r="AH320" s="10"/>
    </row>
    <row r="321" spans="1:34" x14ac:dyDescent="0.25">
      <c r="A321" s="9"/>
      <c r="B321" s="9"/>
      <c r="C321" s="10"/>
      <c r="D321" s="9"/>
      <c r="E321" s="9"/>
      <c r="F321" s="9"/>
      <c r="G321" s="10"/>
      <c r="H321" s="9"/>
      <c r="I321" s="9"/>
      <c r="J321" s="9"/>
      <c r="K321" s="9"/>
      <c r="L321" s="9"/>
      <c r="M321" s="9"/>
      <c r="N321" s="9"/>
      <c r="O321" s="9"/>
      <c r="P321" s="9"/>
      <c r="Q321" s="12"/>
      <c r="R321" s="12"/>
      <c r="S321" s="12"/>
      <c r="T321" s="12"/>
      <c r="U321" s="12"/>
      <c r="V321" s="11"/>
      <c r="W321" s="10"/>
      <c r="X321" s="9"/>
      <c r="Y321" s="10"/>
      <c r="Z321" s="10"/>
      <c r="AA321" s="10"/>
      <c r="AB321" s="10"/>
      <c r="AC321" s="10"/>
      <c r="AD321" s="10"/>
      <c r="AE321" s="10"/>
      <c r="AF321" s="10"/>
      <c r="AG321" s="10"/>
      <c r="AH321" s="10"/>
    </row>
    <row r="322" spans="1:34" x14ac:dyDescent="0.25">
      <c r="A322" s="9"/>
      <c r="B322" s="9"/>
      <c r="C322" s="10"/>
      <c r="D322" s="9"/>
      <c r="E322" s="9"/>
      <c r="F322" s="9"/>
      <c r="G322" s="10"/>
      <c r="H322" s="9"/>
      <c r="I322" s="9"/>
      <c r="J322" s="9"/>
      <c r="K322" s="9"/>
      <c r="L322" s="9"/>
      <c r="M322" s="9"/>
      <c r="N322" s="9"/>
      <c r="O322" s="9"/>
      <c r="P322" s="9"/>
      <c r="Q322" s="12"/>
      <c r="R322" s="12"/>
      <c r="S322" s="12"/>
      <c r="T322" s="12"/>
      <c r="U322" s="12"/>
      <c r="V322" s="11"/>
      <c r="W322" s="10"/>
      <c r="X322" s="9"/>
      <c r="Y322" s="10"/>
      <c r="Z322" s="10"/>
      <c r="AA322" s="10"/>
      <c r="AB322" s="10"/>
      <c r="AC322" s="10"/>
      <c r="AD322" s="10"/>
      <c r="AE322" s="10"/>
      <c r="AF322" s="10"/>
      <c r="AG322" s="10"/>
      <c r="AH322" s="10"/>
    </row>
    <row r="323" spans="1:34" x14ac:dyDescent="0.25">
      <c r="A323" s="9"/>
      <c r="B323" s="9"/>
      <c r="C323" s="10"/>
      <c r="D323" s="9"/>
      <c r="E323" s="9"/>
      <c r="F323" s="9"/>
      <c r="G323" s="10"/>
      <c r="H323" s="9"/>
      <c r="I323" s="9"/>
      <c r="J323" s="9"/>
      <c r="K323" s="9"/>
      <c r="L323" s="9"/>
      <c r="M323" s="9"/>
      <c r="N323" s="9"/>
      <c r="O323" s="9"/>
      <c r="P323" s="9"/>
      <c r="Q323" s="12"/>
      <c r="R323" s="12"/>
      <c r="S323" s="12"/>
      <c r="T323" s="12"/>
      <c r="U323" s="12"/>
      <c r="V323" s="11"/>
      <c r="W323" s="10"/>
      <c r="X323" s="9"/>
      <c r="Y323" s="10"/>
      <c r="Z323" s="10"/>
      <c r="AA323" s="10"/>
      <c r="AB323" s="10"/>
      <c r="AC323" s="10"/>
      <c r="AD323" s="10"/>
      <c r="AE323" s="10"/>
      <c r="AF323" s="10"/>
      <c r="AG323" s="10"/>
      <c r="AH323" s="10"/>
    </row>
    <row r="324" spans="1:34" x14ac:dyDescent="0.25">
      <c r="A324" s="9"/>
      <c r="B324" s="9"/>
      <c r="C324" s="10"/>
      <c r="D324" s="9"/>
      <c r="E324" s="9"/>
      <c r="F324" s="9"/>
      <c r="G324" s="10"/>
      <c r="H324" s="9"/>
      <c r="I324" s="9"/>
      <c r="J324" s="9"/>
      <c r="K324" s="9"/>
      <c r="L324" s="9"/>
      <c r="M324" s="9"/>
      <c r="N324" s="9"/>
      <c r="O324" s="9"/>
      <c r="P324" s="9"/>
      <c r="Q324" s="12"/>
      <c r="R324" s="12"/>
      <c r="S324" s="12"/>
      <c r="T324" s="12"/>
      <c r="U324" s="12"/>
      <c r="V324" s="11"/>
      <c r="W324" s="10"/>
      <c r="X324" s="9"/>
      <c r="Y324" s="10"/>
      <c r="Z324" s="10"/>
      <c r="AA324" s="10"/>
      <c r="AB324" s="10"/>
      <c r="AC324" s="10"/>
      <c r="AD324" s="10"/>
      <c r="AE324" s="10"/>
      <c r="AF324" s="10"/>
      <c r="AG324" s="10"/>
      <c r="AH324" s="10"/>
    </row>
    <row r="325" spans="1:34" x14ac:dyDescent="0.25">
      <c r="A325" s="9"/>
      <c r="B325" s="9"/>
      <c r="C325" s="10"/>
      <c r="D325" s="9"/>
      <c r="E325" s="9"/>
      <c r="F325" s="9"/>
      <c r="G325" s="10"/>
      <c r="H325" s="9"/>
      <c r="I325" s="9"/>
      <c r="J325" s="9"/>
      <c r="K325" s="9"/>
      <c r="L325" s="9"/>
      <c r="M325" s="9"/>
      <c r="N325" s="9"/>
      <c r="O325" s="9"/>
      <c r="P325" s="9"/>
      <c r="Q325" s="12"/>
      <c r="R325" s="12"/>
      <c r="S325" s="12"/>
      <c r="T325" s="12"/>
      <c r="U325" s="12"/>
      <c r="V325" s="11"/>
      <c r="W325" s="10"/>
      <c r="X325" s="9"/>
      <c r="Y325" s="10"/>
      <c r="Z325" s="10"/>
      <c r="AA325" s="10"/>
      <c r="AB325" s="10"/>
      <c r="AC325" s="10"/>
      <c r="AD325" s="10"/>
      <c r="AE325" s="10"/>
      <c r="AF325" s="10"/>
      <c r="AG325" s="10"/>
      <c r="AH325" s="10"/>
    </row>
    <row r="326" spans="1:34" x14ac:dyDescent="0.25">
      <c r="A326" s="9"/>
      <c r="B326" s="9"/>
      <c r="C326" s="10"/>
      <c r="D326" s="9"/>
      <c r="E326" s="9"/>
      <c r="F326" s="9"/>
      <c r="G326" s="10"/>
      <c r="H326" s="9"/>
      <c r="I326" s="9"/>
      <c r="J326" s="9"/>
      <c r="K326" s="9"/>
      <c r="L326" s="9"/>
      <c r="M326" s="9"/>
      <c r="N326" s="9"/>
      <c r="O326" s="9"/>
      <c r="P326" s="9"/>
      <c r="Q326" s="12"/>
      <c r="R326" s="12"/>
      <c r="S326" s="11"/>
      <c r="T326" s="12"/>
      <c r="U326" s="12"/>
      <c r="V326" s="12"/>
      <c r="W326" s="10"/>
      <c r="X326" s="9"/>
      <c r="Y326" s="10"/>
      <c r="Z326" s="10"/>
      <c r="AA326" s="10"/>
      <c r="AB326" s="10"/>
      <c r="AC326" s="10"/>
      <c r="AD326" s="10"/>
      <c r="AE326" s="10"/>
      <c r="AF326" s="10"/>
      <c r="AG326" s="10"/>
      <c r="AH326" s="10"/>
    </row>
    <row r="327" spans="1:34" x14ac:dyDescent="0.25">
      <c r="A327" s="9"/>
      <c r="B327" s="9"/>
      <c r="C327" s="10"/>
      <c r="D327" s="9"/>
      <c r="E327" s="9"/>
      <c r="F327" s="9"/>
      <c r="G327" s="10"/>
      <c r="H327" s="9"/>
      <c r="I327" s="9"/>
      <c r="J327" s="9"/>
      <c r="K327" s="9"/>
      <c r="L327" s="9"/>
      <c r="M327" s="9"/>
      <c r="N327" s="9"/>
      <c r="O327" s="9"/>
      <c r="P327" s="9"/>
      <c r="Q327" s="12"/>
      <c r="R327" s="12"/>
      <c r="S327" s="12"/>
      <c r="T327" s="12"/>
      <c r="U327" s="12"/>
      <c r="V327" s="11"/>
      <c r="W327" s="10"/>
      <c r="X327" s="9"/>
      <c r="Y327" s="10"/>
      <c r="Z327" s="10"/>
      <c r="AA327" s="10"/>
      <c r="AB327" s="10"/>
      <c r="AC327" s="10"/>
      <c r="AD327" s="10"/>
      <c r="AE327" s="10"/>
      <c r="AF327" s="10"/>
      <c r="AG327" s="10"/>
      <c r="AH327" s="10"/>
    </row>
    <row r="328" spans="1:34" x14ac:dyDescent="0.25">
      <c r="A328" s="9"/>
      <c r="B328" s="9"/>
      <c r="C328" s="10"/>
      <c r="D328" s="9"/>
      <c r="E328" s="9"/>
      <c r="F328" s="9"/>
      <c r="G328" s="10"/>
      <c r="H328" s="9"/>
      <c r="I328" s="9"/>
      <c r="J328" s="9"/>
      <c r="K328" s="9"/>
      <c r="L328" s="9"/>
      <c r="M328" s="9"/>
      <c r="N328" s="9"/>
      <c r="O328" s="9"/>
      <c r="P328" s="9"/>
      <c r="Q328" s="12"/>
      <c r="R328" s="12"/>
      <c r="S328" s="12"/>
      <c r="T328" s="12"/>
      <c r="U328" s="12"/>
      <c r="V328" s="11"/>
      <c r="W328" s="10"/>
      <c r="X328" s="9"/>
      <c r="Y328" s="10"/>
      <c r="Z328" s="10"/>
      <c r="AA328" s="10"/>
      <c r="AB328" s="11"/>
      <c r="AC328" s="11"/>
      <c r="AD328" s="10"/>
      <c r="AE328" s="10"/>
      <c r="AF328" s="10"/>
      <c r="AG328" s="10"/>
      <c r="AH328" s="10"/>
    </row>
    <row r="329" spans="1:34" x14ac:dyDescent="0.25">
      <c r="A329" s="9"/>
      <c r="B329" s="9"/>
      <c r="C329" s="10"/>
      <c r="D329" s="9"/>
      <c r="E329" s="9"/>
      <c r="F329" s="9"/>
      <c r="G329" s="10"/>
      <c r="H329" s="9"/>
      <c r="I329" s="9"/>
      <c r="J329" s="9"/>
      <c r="K329" s="9"/>
      <c r="L329" s="9"/>
      <c r="M329" s="9"/>
      <c r="N329" s="9"/>
      <c r="O329" s="9"/>
      <c r="P329" s="9"/>
      <c r="Q329" s="12"/>
      <c r="R329" s="12"/>
      <c r="S329" s="12"/>
      <c r="T329" s="12"/>
      <c r="U329" s="12"/>
      <c r="V329" s="11"/>
      <c r="W329" s="10"/>
      <c r="X329" s="9"/>
      <c r="Y329" s="10"/>
      <c r="Z329" s="10"/>
      <c r="AA329" s="10"/>
      <c r="AB329" s="10"/>
      <c r="AC329" s="10"/>
      <c r="AD329" s="10"/>
      <c r="AE329" s="10"/>
      <c r="AF329" s="10"/>
      <c r="AG329" s="10"/>
      <c r="AH329" s="10"/>
    </row>
    <row r="330" spans="1:34" x14ac:dyDescent="0.25">
      <c r="A330" s="9"/>
      <c r="B330" s="9"/>
      <c r="C330" s="10"/>
      <c r="D330" s="9"/>
      <c r="E330" s="9"/>
      <c r="F330" s="9"/>
      <c r="G330" s="10"/>
      <c r="H330" s="9"/>
      <c r="I330" s="9"/>
      <c r="J330" s="9"/>
      <c r="K330" s="9"/>
      <c r="L330" s="9"/>
      <c r="M330" s="9"/>
      <c r="N330" s="9"/>
      <c r="O330" s="9"/>
      <c r="P330" s="9"/>
      <c r="Q330" s="12"/>
      <c r="R330" s="12"/>
      <c r="S330" s="12"/>
      <c r="T330" s="12"/>
      <c r="U330" s="12"/>
      <c r="V330" s="11"/>
      <c r="W330" s="10"/>
      <c r="X330" s="9"/>
      <c r="Y330" s="10"/>
      <c r="Z330" s="10"/>
      <c r="AA330" s="10"/>
      <c r="AB330" s="11"/>
      <c r="AC330" s="11"/>
      <c r="AD330" s="10"/>
      <c r="AE330" s="10"/>
      <c r="AF330" s="10"/>
      <c r="AG330" s="10"/>
      <c r="AH330" s="10"/>
    </row>
    <row r="331" spans="1:34" x14ac:dyDescent="0.25">
      <c r="A331" s="9"/>
      <c r="B331" s="9"/>
      <c r="C331" s="10"/>
      <c r="D331" s="9"/>
      <c r="E331" s="9"/>
      <c r="F331" s="9"/>
      <c r="G331" s="10"/>
      <c r="H331" s="9"/>
      <c r="I331" s="9"/>
      <c r="J331" s="9"/>
      <c r="K331" s="9"/>
      <c r="L331" s="9"/>
      <c r="M331" s="9"/>
      <c r="N331" s="9"/>
      <c r="O331" s="9"/>
      <c r="P331" s="9"/>
      <c r="Q331" s="12"/>
      <c r="R331" s="12"/>
      <c r="S331" s="12"/>
      <c r="T331" s="12"/>
      <c r="U331" s="12"/>
      <c r="V331" s="11"/>
      <c r="W331" s="10"/>
      <c r="X331" s="9"/>
      <c r="Y331" s="10"/>
      <c r="Z331" s="10"/>
      <c r="AA331" s="10"/>
      <c r="AB331" s="10"/>
      <c r="AC331" s="10"/>
      <c r="AD331" s="10"/>
      <c r="AE331" s="10"/>
      <c r="AF331" s="10"/>
      <c r="AG331" s="10"/>
      <c r="AH331" s="10"/>
    </row>
    <row r="332" spans="1:34" x14ac:dyDescent="0.25">
      <c r="A332" s="9"/>
      <c r="B332" s="9"/>
      <c r="C332" s="10"/>
      <c r="D332" s="9"/>
      <c r="E332" s="9"/>
      <c r="F332" s="9"/>
      <c r="G332" s="10"/>
      <c r="H332" s="9"/>
      <c r="I332" s="9"/>
      <c r="J332" s="9"/>
      <c r="K332" s="9"/>
      <c r="L332" s="9"/>
      <c r="M332" s="9"/>
      <c r="N332" s="9"/>
      <c r="O332" s="9"/>
      <c r="P332" s="9"/>
      <c r="Q332" s="12"/>
      <c r="R332" s="12"/>
      <c r="S332" s="12"/>
      <c r="T332" s="12"/>
      <c r="U332" s="12"/>
      <c r="V332" s="11"/>
      <c r="W332" s="10"/>
      <c r="X332" s="9"/>
      <c r="Y332" s="10"/>
      <c r="Z332" s="10"/>
      <c r="AA332" s="10"/>
      <c r="AB332" s="10"/>
      <c r="AC332" s="10"/>
      <c r="AD332" s="10"/>
      <c r="AE332" s="10"/>
      <c r="AF332" s="10"/>
      <c r="AG332" s="10"/>
      <c r="AH332" s="10"/>
    </row>
    <row r="333" spans="1:34" x14ac:dyDescent="0.25">
      <c r="A333" s="9"/>
      <c r="B333" s="9"/>
      <c r="C333" s="10"/>
      <c r="D333" s="9"/>
      <c r="E333" s="9"/>
      <c r="F333" s="9"/>
      <c r="G333" s="10"/>
      <c r="H333" s="9"/>
      <c r="I333" s="9"/>
      <c r="J333" s="9"/>
      <c r="K333" s="9"/>
      <c r="L333" s="9"/>
      <c r="M333" s="9"/>
      <c r="N333" s="9"/>
      <c r="O333" s="9"/>
      <c r="P333" s="9"/>
      <c r="Q333" s="12"/>
      <c r="R333" s="12"/>
      <c r="S333" s="12"/>
      <c r="T333" s="12"/>
      <c r="U333" s="12"/>
      <c r="V333" s="11"/>
      <c r="W333" s="10"/>
      <c r="X333" s="9"/>
      <c r="Y333" s="10"/>
      <c r="Z333" s="10"/>
      <c r="AA333" s="10"/>
      <c r="AB333" s="10"/>
      <c r="AC333" s="10"/>
      <c r="AD333" s="10"/>
      <c r="AE333" s="10"/>
      <c r="AF333" s="10"/>
      <c r="AG333" s="10"/>
      <c r="AH333" s="10"/>
    </row>
    <row r="334" spans="1:34" x14ac:dyDescent="0.25">
      <c r="A334" s="9"/>
      <c r="B334" s="9"/>
      <c r="C334" s="10"/>
      <c r="D334" s="9"/>
      <c r="E334" s="9"/>
      <c r="F334" s="9"/>
      <c r="G334" s="10"/>
      <c r="H334" s="9"/>
      <c r="I334" s="9"/>
      <c r="J334" s="9"/>
      <c r="K334" s="9"/>
      <c r="L334" s="9"/>
      <c r="M334" s="9"/>
      <c r="N334" s="9"/>
      <c r="O334" s="9"/>
      <c r="P334" s="9"/>
      <c r="Q334" s="12"/>
      <c r="R334" s="12"/>
      <c r="S334" s="11"/>
      <c r="T334" s="12"/>
      <c r="U334" s="12"/>
      <c r="V334" s="11"/>
      <c r="W334" s="11"/>
      <c r="X334" s="9"/>
      <c r="Y334" s="10"/>
      <c r="Z334" s="10"/>
      <c r="AA334" s="11"/>
      <c r="AB334" s="10"/>
      <c r="AC334" s="10"/>
      <c r="AD334" s="10"/>
      <c r="AE334" s="10"/>
      <c r="AF334" s="10"/>
      <c r="AG334" s="10"/>
      <c r="AH334" s="10"/>
    </row>
    <row r="335" spans="1:34" x14ac:dyDescent="0.25">
      <c r="A335" s="9"/>
      <c r="B335" s="9"/>
      <c r="C335" s="10"/>
      <c r="D335" s="9"/>
      <c r="E335" s="9"/>
      <c r="F335" s="9"/>
      <c r="G335" s="10"/>
      <c r="H335" s="9"/>
      <c r="I335" s="9"/>
      <c r="J335" s="9"/>
      <c r="K335" s="9"/>
      <c r="L335" s="9"/>
      <c r="M335" s="9"/>
      <c r="N335" s="9"/>
      <c r="O335" s="9"/>
      <c r="P335" s="9"/>
      <c r="Q335" s="12"/>
      <c r="R335" s="12"/>
      <c r="S335" s="12"/>
      <c r="T335" s="12"/>
      <c r="U335" s="12"/>
      <c r="V335" s="11"/>
      <c r="W335" s="10"/>
      <c r="X335" s="9"/>
      <c r="Y335" s="10"/>
      <c r="Z335" s="10"/>
      <c r="AA335" s="10"/>
      <c r="AB335" s="10"/>
      <c r="AC335" s="10"/>
      <c r="AD335" s="10"/>
      <c r="AE335" s="10"/>
      <c r="AF335" s="10"/>
      <c r="AG335" s="10"/>
      <c r="AH335" s="10"/>
    </row>
    <row r="336" spans="1:34" x14ac:dyDescent="0.25">
      <c r="A336" s="9"/>
      <c r="B336" s="9"/>
      <c r="C336" s="10"/>
      <c r="D336" s="9"/>
      <c r="E336" s="9"/>
      <c r="F336" s="9"/>
      <c r="G336" s="10"/>
      <c r="H336" s="9"/>
      <c r="I336" s="9"/>
      <c r="J336" s="9"/>
      <c r="K336" s="9"/>
      <c r="L336" s="9"/>
      <c r="M336" s="9"/>
      <c r="N336" s="9"/>
      <c r="O336" s="9"/>
      <c r="P336" s="9"/>
      <c r="Q336" s="12"/>
      <c r="R336" s="12"/>
      <c r="S336" s="12"/>
      <c r="T336" s="12"/>
      <c r="U336" s="12"/>
      <c r="V336" s="11"/>
      <c r="W336" s="10"/>
      <c r="X336" s="9"/>
      <c r="Y336" s="10"/>
      <c r="Z336" s="10"/>
      <c r="AA336" s="10"/>
      <c r="AB336" s="10"/>
      <c r="AC336" s="10"/>
      <c r="AD336" s="10"/>
      <c r="AE336" s="10"/>
      <c r="AF336" s="10"/>
      <c r="AG336" s="10"/>
      <c r="AH336" s="10"/>
    </row>
    <row r="337" spans="1:34" x14ac:dyDescent="0.25">
      <c r="A337" s="9"/>
      <c r="B337" s="9"/>
      <c r="C337" s="10"/>
      <c r="D337" s="9"/>
      <c r="E337" s="9"/>
      <c r="F337" s="9"/>
      <c r="G337" s="10"/>
      <c r="H337" s="9"/>
      <c r="I337" s="9"/>
      <c r="J337" s="9"/>
      <c r="K337" s="9"/>
      <c r="L337" s="9"/>
      <c r="M337" s="9"/>
      <c r="N337" s="9"/>
      <c r="O337" s="9"/>
      <c r="P337" s="9"/>
      <c r="Q337" s="12"/>
      <c r="R337" s="12"/>
      <c r="S337" s="12"/>
      <c r="T337" s="12"/>
      <c r="U337" s="12"/>
      <c r="V337" s="11"/>
      <c r="W337" s="10"/>
      <c r="X337" s="9"/>
      <c r="Y337" s="10"/>
      <c r="Z337" s="10"/>
      <c r="AA337" s="10"/>
      <c r="AB337" s="10"/>
      <c r="AC337" s="10"/>
      <c r="AD337" s="10"/>
      <c r="AE337" s="10"/>
      <c r="AF337" s="10"/>
      <c r="AG337" s="10"/>
      <c r="AH337" s="10"/>
    </row>
    <row r="338" spans="1:34" x14ac:dyDescent="0.25">
      <c r="A338" s="9"/>
      <c r="B338" s="9"/>
      <c r="C338" s="10"/>
      <c r="D338" s="9"/>
      <c r="E338" s="9"/>
      <c r="F338" s="9"/>
      <c r="G338" s="10"/>
      <c r="H338" s="9"/>
      <c r="I338" s="9"/>
      <c r="J338" s="9"/>
      <c r="K338" s="9"/>
      <c r="L338" s="9"/>
      <c r="M338" s="9"/>
      <c r="N338" s="9"/>
      <c r="O338" s="9"/>
      <c r="P338" s="9"/>
      <c r="Q338" s="12"/>
      <c r="R338" s="12"/>
      <c r="S338" s="12"/>
      <c r="T338" s="12"/>
      <c r="U338" s="12"/>
      <c r="V338" s="11"/>
      <c r="W338" s="10"/>
      <c r="X338" s="9"/>
      <c r="Y338" s="10"/>
      <c r="Z338" s="10"/>
      <c r="AA338" s="10"/>
      <c r="AB338" s="10"/>
      <c r="AC338" s="10"/>
      <c r="AD338" s="10"/>
      <c r="AE338" s="10"/>
      <c r="AF338" s="10"/>
      <c r="AG338" s="10"/>
      <c r="AH338" s="10"/>
    </row>
    <row r="339" spans="1:34" x14ac:dyDescent="0.25">
      <c r="A339" s="9"/>
      <c r="B339" s="9"/>
      <c r="C339" s="10"/>
      <c r="D339" s="9"/>
      <c r="E339" s="9"/>
      <c r="F339" s="9"/>
      <c r="G339" s="10"/>
      <c r="H339" s="9"/>
      <c r="I339" s="9"/>
      <c r="J339" s="9"/>
      <c r="K339" s="9"/>
      <c r="L339" s="9"/>
      <c r="M339" s="9"/>
      <c r="N339" s="9"/>
      <c r="O339" s="9"/>
      <c r="P339" s="9"/>
      <c r="Q339" s="12"/>
      <c r="R339" s="12"/>
      <c r="S339" s="12"/>
      <c r="T339" s="12"/>
      <c r="U339" s="12"/>
      <c r="V339" s="11"/>
      <c r="W339" s="10"/>
      <c r="X339" s="9"/>
      <c r="Y339" s="10"/>
      <c r="Z339" s="10"/>
      <c r="AA339" s="10"/>
      <c r="AB339" s="10"/>
      <c r="AC339" s="10"/>
      <c r="AD339" s="10"/>
      <c r="AE339" s="10"/>
      <c r="AF339" s="10"/>
      <c r="AG339" s="10"/>
      <c r="AH339" s="10"/>
    </row>
    <row r="340" spans="1:34" x14ac:dyDescent="0.25">
      <c r="A340" s="9"/>
      <c r="B340" s="9"/>
      <c r="C340" s="10"/>
      <c r="D340" s="9"/>
      <c r="E340" s="9"/>
      <c r="F340" s="9"/>
      <c r="G340" s="10"/>
      <c r="H340" s="9"/>
      <c r="I340" s="9"/>
      <c r="J340" s="9"/>
      <c r="K340" s="9"/>
      <c r="L340" s="9"/>
      <c r="M340" s="9"/>
      <c r="N340" s="9"/>
      <c r="O340" s="9"/>
      <c r="P340" s="9"/>
      <c r="Q340" s="12"/>
      <c r="R340" s="12"/>
      <c r="S340" s="12"/>
      <c r="T340" s="12"/>
      <c r="U340" s="12"/>
      <c r="V340" s="11"/>
      <c r="W340" s="10"/>
      <c r="X340" s="9"/>
      <c r="Y340" s="10"/>
      <c r="Z340" s="10"/>
      <c r="AA340" s="10"/>
      <c r="AB340" s="10"/>
      <c r="AC340" s="10"/>
      <c r="AD340" s="10"/>
      <c r="AE340" s="10"/>
      <c r="AF340" s="10"/>
      <c r="AG340" s="10"/>
      <c r="AH340" s="10"/>
    </row>
    <row r="341" spans="1:34" x14ac:dyDescent="0.25">
      <c r="A341" s="9"/>
      <c r="B341" s="9"/>
      <c r="C341" s="10"/>
      <c r="D341" s="9"/>
      <c r="E341" s="9"/>
      <c r="F341" s="9"/>
      <c r="G341" s="10"/>
      <c r="H341" s="9"/>
      <c r="I341" s="9"/>
      <c r="J341" s="9"/>
      <c r="K341" s="9"/>
      <c r="L341" s="9"/>
      <c r="M341" s="9"/>
      <c r="N341" s="9"/>
      <c r="O341" s="9"/>
      <c r="P341" s="9"/>
      <c r="Q341" s="12"/>
      <c r="R341" s="12"/>
      <c r="S341" s="12"/>
      <c r="T341" s="12"/>
      <c r="U341" s="12"/>
      <c r="V341" s="11"/>
      <c r="W341" s="10"/>
      <c r="X341" s="9"/>
      <c r="Y341" s="10"/>
      <c r="Z341" s="10"/>
      <c r="AA341" s="10"/>
      <c r="AB341" s="11"/>
      <c r="AC341" s="10"/>
      <c r="AD341" s="10"/>
      <c r="AE341" s="10"/>
      <c r="AF341" s="10"/>
      <c r="AG341" s="10"/>
      <c r="AH341" s="10"/>
    </row>
    <row r="342" spans="1:34" x14ac:dyDescent="0.25">
      <c r="A342" s="9"/>
      <c r="B342" s="9"/>
      <c r="C342" s="10"/>
      <c r="D342" s="9"/>
      <c r="E342" s="9"/>
      <c r="F342" s="9"/>
      <c r="G342" s="10"/>
      <c r="H342" s="9"/>
      <c r="I342" s="9"/>
      <c r="J342" s="9"/>
      <c r="K342" s="9"/>
      <c r="L342" s="9"/>
      <c r="M342" s="9"/>
      <c r="N342" s="9"/>
      <c r="O342" s="9"/>
      <c r="P342" s="9"/>
      <c r="Q342" s="12"/>
      <c r="R342" s="12"/>
      <c r="S342" s="12"/>
      <c r="T342" s="12"/>
      <c r="U342" s="12"/>
      <c r="V342" s="11"/>
      <c r="W342" s="10"/>
      <c r="X342" s="9"/>
      <c r="Y342" s="10"/>
      <c r="Z342" s="10"/>
      <c r="AA342" s="10"/>
      <c r="AB342" s="11"/>
      <c r="AC342" s="10"/>
      <c r="AD342" s="10"/>
      <c r="AE342" s="10"/>
      <c r="AF342" s="10"/>
      <c r="AG342" s="10"/>
      <c r="AH342" s="10"/>
    </row>
    <row r="343" spans="1:34" x14ac:dyDescent="0.25">
      <c r="A343" s="9"/>
      <c r="B343" s="9"/>
      <c r="C343" s="10"/>
      <c r="D343" s="9"/>
      <c r="E343" s="9"/>
      <c r="F343" s="9"/>
      <c r="G343" s="10"/>
      <c r="H343" s="9"/>
      <c r="I343" s="9"/>
      <c r="J343" s="9"/>
      <c r="K343" s="9"/>
      <c r="L343" s="9"/>
      <c r="M343" s="9"/>
      <c r="N343" s="9"/>
      <c r="O343" s="9"/>
      <c r="P343" s="9"/>
      <c r="Q343" s="12"/>
      <c r="R343" s="12"/>
      <c r="S343" s="12"/>
      <c r="T343" s="12"/>
      <c r="U343" s="12"/>
      <c r="V343" s="11"/>
      <c r="W343" s="10"/>
      <c r="X343" s="9"/>
      <c r="Y343" s="10"/>
      <c r="Z343" s="10"/>
      <c r="AA343" s="10"/>
      <c r="AB343" s="10"/>
      <c r="AC343" s="10"/>
      <c r="AD343" s="10"/>
      <c r="AE343" s="10"/>
      <c r="AF343" s="10"/>
      <c r="AG343" s="10"/>
      <c r="AH343" s="10"/>
    </row>
    <row r="344" spans="1:34" x14ac:dyDescent="0.25">
      <c r="A344" s="9"/>
      <c r="B344" s="9"/>
      <c r="C344" s="10"/>
      <c r="D344" s="9"/>
      <c r="E344" s="9"/>
      <c r="F344" s="9"/>
      <c r="G344" s="10"/>
      <c r="H344" s="9"/>
      <c r="I344" s="9"/>
      <c r="J344" s="9"/>
      <c r="K344" s="9"/>
      <c r="L344" s="9"/>
      <c r="M344" s="9"/>
      <c r="N344" s="9"/>
      <c r="O344" s="9"/>
      <c r="P344" s="9"/>
      <c r="Q344" s="12"/>
      <c r="R344" s="12"/>
      <c r="S344" s="12"/>
      <c r="T344" s="12"/>
      <c r="U344" s="12"/>
      <c r="V344" s="11"/>
      <c r="W344" s="10"/>
      <c r="X344" s="9"/>
      <c r="Y344" s="10"/>
      <c r="Z344" s="10"/>
      <c r="AA344" s="10"/>
      <c r="AB344" s="10"/>
      <c r="AC344" s="10"/>
      <c r="AD344" s="10"/>
      <c r="AE344" s="10"/>
      <c r="AF344" s="10"/>
      <c r="AG344" s="10"/>
      <c r="AH344" s="10"/>
    </row>
    <row r="345" spans="1:34" x14ac:dyDescent="0.25">
      <c r="A345" s="9"/>
      <c r="B345" s="9"/>
      <c r="C345" s="10"/>
      <c r="D345" s="9"/>
      <c r="E345" s="9"/>
      <c r="F345" s="9"/>
      <c r="G345" s="10"/>
      <c r="H345" s="9"/>
      <c r="I345" s="9"/>
      <c r="J345" s="9"/>
      <c r="K345" s="9"/>
      <c r="L345" s="9"/>
      <c r="M345" s="9"/>
      <c r="N345" s="9"/>
      <c r="O345" s="9"/>
      <c r="P345" s="9"/>
      <c r="Q345" s="12"/>
      <c r="R345" s="12"/>
      <c r="S345" s="12"/>
      <c r="T345" s="12"/>
      <c r="U345" s="12"/>
      <c r="V345" s="11"/>
      <c r="W345" s="10"/>
      <c r="X345" s="9"/>
      <c r="Y345" s="10"/>
      <c r="Z345" s="10"/>
      <c r="AA345" s="10"/>
      <c r="AB345" s="10"/>
      <c r="AC345" s="10"/>
      <c r="AD345" s="10"/>
      <c r="AE345" s="10"/>
      <c r="AF345" s="10"/>
      <c r="AG345" s="10"/>
      <c r="AH345" s="10"/>
    </row>
    <row r="346" spans="1:34" x14ac:dyDescent="0.25">
      <c r="A346" s="9"/>
      <c r="B346" s="9"/>
      <c r="C346" s="10"/>
      <c r="D346" s="9"/>
      <c r="E346" s="9"/>
      <c r="F346" s="9"/>
      <c r="G346" s="10"/>
      <c r="H346" s="9"/>
      <c r="I346" s="9"/>
      <c r="J346" s="9"/>
      <c r="K346" s="9"/>
      <c r="L346" s="9"/>
      <c r="M346" s="9"/>
      <c r="N346" s="9"/>
      <c r="O346" s="9"/>
      <c r="P346" s="9"/>
      <c r="Q346" s="12"/>
      <c r="R346" s="12"/>
      <c r="S346" s="12"/>
      <c r="T346" s="12"/>
      <c r="U346" s="12"/>
      <c r="V346" s="11"/>
      <c r="W346" s="10"/>
      <c r="X346" s="9"/>
      <c r="Y346" s="10"/>
      <c r="Z346" s="10"/>
      <c r="AA346" s="10"/>
      <c r="AB346" s="10"/>
      <c r="AC346" s="10"/>
      <c r="AD346" s="10"/>
      <c r="AE346" s="10"/>
      <c r="AF346" s="10"/>
      <c r="AG346" s="10"/>
      <c r="AH346" s="10"/>
    </row>
    <row r="347" spans="1:34" x14ac:dyDescent="0.25">
      <c r="A347" s="9"/>
      <c r="B347" s="9"/>
      <c r="C347" s="10"/>
      <c r="D347" s="9"/>
      <c r="E347" s="9"/>
      <c r="F347" s="9"/>
      <c r="G347" s="10"/>
      <c r="H347" s="9"/>
      <c r="I347" s="9"/>
      <c r="J347" s="9"/>
      <c r="K347" s="9"/>
      <c r="L347" s="9"/>
      <c r="M347" s="9"/>
      <c r="N347" s="9"/>
      <c r="O347" s="9"/>
      <c r="P347" s="9"/>
      <c r="Q347" s="12"/>
      <c r="R347" s="12"/>
      <c r="S347" s="12"/>
      <c r="T347" s="12"/>
      <c r="U347" s="12"/>
      <c r="V347" s="11"/>
      <c r="W347" s="10"/>
      <c r="X347" s="9"/>
      <c r="Y347" s="10"/>
      <c r="Z347" s="10"/>
      <c r="AA347" s="10"/>
      <c r="AB347" s="10"/>
      <c r="AC347" s="10"/>
      <c r="AD347" s="10"/>
      <c r="AE347" s="10"/>
      <c r="AF347" s="10"/>
      <c r="AG347" s="10"/>
      <c r="AH347" s="10"/>
    </row>
    <row r="348" spans="1:34" x14ac:dyDescent="0.25">
      <c r="A348" s="9"/>
      <c r="B348" s="9"/>
      <c r="C348" s="10"/>
      <c r="D348" s="9"/>
      <c r="E348" s="9"/>
      <c r="F348" s="9"/>
      <c r="G348" s="10"/>
      <c r="H348" s="9"/>
      <c r="I348" s="9"/>
      <c r="J348" s="9"/>
      <c r="K348" s="9"/>
      <c r="L348" s="9"/>
      <c r="M348" s="9"/>
      <c r="N348" s="9"/>
      <c r="O348" s="9"/>
      <c r="P348" s="9"/>
      <c r="Q348" s="12"/>
      <c r="R348" s="12"/>
      <c r="S348" s="12"/>
      <c r="T348" s="12"/>
      <c r="U348" s="12"/>
      <c r="V348" s="11"/>
      <c r="W348" s="10"/>
      <c r="X348" s="9"/>
      <c r="Y348" s="10"/>
      <c r="Z348" s="10"/>
      <c r="AA348" s="10"/>
      <c r="AB348" s="10"/>
      <c r="AC348" s="10"/>
      <c r="AD348" s="10"/>
      <c r="AE348" s="10"/>
      <c r="AF348" s="10"/>
      <c r="AG348" s="10"/>
      <c r="AH348" s="10"/>
    </row>
    <row r="349" spans="1:34" x14ac:dyDescent="0.25">
      <c r="A349" s="9"/>
      <c r="B349" s="9"/>
      <c r="C349" s="10"/>
      <c r="D349" s="9"/>
      <c r="E349" s="9"/>
      <c r="F349" s="9"/>
      <c r="G349" s="10"/>
      <c r="H349" s="9"/>
      <c r="I349" s="9"/>
      <c r="J349" s="9"/>
      <c r="K349" s="9"/>
      <c r="L349" s="9"/>
      <c r="M349" s="9"/>
      <c r="N349" s="9"/>
      <c r="O349" s="9"/>
      <c r="P349" s="9"/>
      <c r="Q349" s="12"/>
      <c r="R349" s="12"/>
      <c r="S349" s="12"/>
      <c r="T349" s="12"/>
      <c r="U349" s="12"/>
      <c r="V349" s="11"/>
      <c r="W349" s="10"/>
      <c r="X349" s="9"/>
      <c r="Y349" s="10"/>
      <c r="Z349" s="10"/>
      <c r="AA349" s="10"/>
      <c r="AB349" s="10"/>
      <c r="AC349" s="10"/>
      <c r="AD349" s="10"/>
      <c r="AE349" s="10"/>
      <c r="AF349" s="10"/>
      <c r="AG349" s="10"/>
      <c r="AH349" s="10"/>
    </row>
    <row r="350" spans="1:34" x14ac:dyDescent="0.25">
      <c r="A350" s="9"/>
      <c r="B350" s="9"/>
      <c r="C350" s="10"/>
      <c r="D350" s="9"/>
      <c r="E350" s="9"/>
      <c r="F350" s="9"/>
      <c r="G350" s="10"/>
      <c r="H350" s="9"/>
      <c r="I350" s="9"/>
      <c r="J350" s="9"/>
      <c r="K350" s="9"/>
      <c r="L350" s="9"/>
      <c r="M350" s="9"/>
      <c r="N350" s="9"/>
      <c r="O350" s="9"/>
      <c r="P350" s="9"/>
      <c r="Q350" s="12"/>
      <c r="R350" s="12"/>
      <c r="S350" s="12"/>
      <c r="T350" s="12"/>
      <c r="U350" s="12"/>
      <c r="V350" s="11"/>
      <c r="W350" s="10"/>
      <c r="X350" s="9"/>
      <c r="Y350" s="10"/>
      <c r="Z350" s="10"/>
      <c r="AA350" s="10"/>
      <c r="AB350" s="11"/>
      <c r="AC350" s="11"/>
      <c r="AD350" s="10"/>
      <c r="AE350" s="10"/>
      <c r="AF350" s="10"/>
      <c r="AG350" s="10"/>
      <c r="AH350" s="10"/>
    </row>
    <row r="351" spans="1:34" x14ac:dyDescent="0.25">
      <c r="A351" s="9"/>
      <c r="B351" s="9"/>
      <c r="C351" s="10"/>
      <c r="D351" s="9"/>
      <c r="E351" s="9"/>
      <c r="F351" s="9"/>
      <c r="G351" s="10"/>
      <c r="H351" s="9"/>
      <c r="I351" s="9"/>
      <c r="J351" s="9"/>
      <c r="K351" s="9"/>
      <c r="L351" s="9"/>
      <c r="M351" s="9"/>
      <c r="N351" s="9"/>
      <c r="O351" s="9"/>
      <c r="P351" s="9"/>
      <c r="Q351" s="12"/>
      <c r="R351" s="12"/>
      <c r="S351" s="12"/>
      <c r="T351" s="12"/>
      <c r="U351" s="12"/>
      <c r="V351" s="11"/>
      <c r="W351" s="10"/>
      <c r="X351" s="9"/>
      <c r="Y351" s="10"/>
      <c r="Z351" s="10"/>
      <c r="AA351" s="10"/>
      <c r="AB351" s="10"/>
      <c r="AC351" s="10"/>
      <c r="AD351" s="10"/>
      <c r="AE351" s="10"/>
      <c r="AF351" s="10"/>
      <c r="AG351" s="10"/>
      <c r="AH351" s="10"/>
    </row>
    <row r="352" spans="1:34" x14ac:dyDescent="0.25">
      <c r="A352" s="9"/>
      <c r="B352" s="9"/>
      <c r="C352" s="10"/>
      <c r="D352" s="9"/>
      <c r="E352" s="9"/>
      <c r="F352" s="9"/>
      <c r="G352" s="10"/>
      <c r="H352" s="9"/>
      <c r="I352" s="9"/>
      <c r="J352" s="9"/>
      <c r="K352" s="9"/>
      <c r="L352" s="9"/>
      <c r="M352" s="9"/>
      <c r="N352" s="9"/>
      <c r="O352" s="9"/>
      <c r="P352" s="9"/>
      <c r="Q352" s="12"/>
      <c r="R352" s="12"/>
      <c r="S352" s="12"/>
      <c r="T352" s="12"/>
      <c r="U352" s="12"/>
      <c r="V352" s="11"/>
      <c r="W352" s="10"/>
      <c r="X352" s="9"/>
      <c r="Y352" s="10"/>
      <c r="Z352" s="10"/>
      <c r="AA352" s="10"/>
      <c r="AB352" s="10"/>
      <c r="AC352" s="10"/>
      <c r="AD352" s="10"/>
      <c r="AE352" s="10"/>
      <c r="AF352" s="10"/>
      <c r="AG352" s="10"/>
      <c r="AH352" s="10"/>
    </row>
    <row r="353" spans="1:34" x14ac:dyDescent="0.25">
      <c r="A353" s="9"/>
      <c r="B353" s="9"/>
      <c r="C353" s="10"/>
      <c r="D353" s="9"/>
      <c r="E353" s="9"/>
      <c r="F353" s="9"/>
      <c r="G353" s="10"/>
      <c r="H353" s="9"/>
      <c r="I353" s="9"/>
      <c r="J353" s="9"/>
      <c r="K353" s="9"/>
      <c r="L353" s="9"/>
      <c r="M353" s="9"/>
      <c r="N353" s="9"/>
      <c r="O353" s="9"/>
      <c r="P353" s="9"/>
      <c r="Q353" s="12"/>
      <c r="R353" s="12"/>
      <c r="S353" s="12"/>
      <c r="T353" s="12"/>
      <c r="U353" s="12"/>
      <c r="V353" s="11"/>
      <c r="W353" s="10"/>
      <c r="X353" s="9"/>
      <c r="Y353" s="10"/>
      <c r="Z353" s="10"/>
      <c r="AA353" s="10"/>
      <c r="AB353" s="10"/>
      <c r="AC353" s="10"/>
      <c r="AD353" s="10"/>
      <c r="AE353" s="10"/>
      <c r="AF353" s="10"/>
      <c r="AG353" s="10"/>
      <c r="AH353" s="10"/>
    </row>
  </sheetData>
  <customSheetViews>
    <customSheetView guid="{679A3195-3DEA-4AC2-A535-82AAF5B552BC}" state="hidden">
      <selection activeCell="A5" sqref="A5"/>
      <pageMargins left="0.7" right="0.7" top="0.75" bottom="0.75" header="0.3" footer="0.3"/>
    </customSheetView>
    <customSheetView guid="{7378B641-E8D1-4C14-8151-CF4CE159D121}" state="hidden">
      <selection activeCell="A5" sqref="A5"/>
      <pageMargins left="0.7" right="0.7" top="0.75" bottom="0.75" header="0.3" footer="0.3"/>
    </customSheetView>
    <customSheetView guid="{6D63B10B-E1E6-452A-80EB-4B2C7D61CF66}" state="hidden">
      <selection activeCell="A5" sqref="A5"/>
      <pageMargins left="0.7" right="0.7" top="0.75" bottom="0.75" header="0.3" footer="0.3"/>
    </customSheetView>
  </customSheetView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W795"/>
  <sheetViews>
    <sheetView workbookViewId="0">
      <selection activeCell="A2" sqref="A2"/>
    </sheetView>
  </sheetViews>
  <sheetFormatPr defaultRowHeight="15" x14ac:dyDescent="0.25"/>
  <cols>
    <col min="1" max="23" width="24.7109375" customWidth="1"/>
  </cols>
  <sheetData>
    <row r="1" spans="1:23" x14ac:dyDescent="0.25">
      <c r="A1" s="13" t="s">
        <v>192</v>
      </c>
      <c r="B1" s="13" t="s">
        <v>67</v>
      </c>
      <c r="C1" s="13" t="s">
        <v>193</v>
      </c>
      <c r="D1" s="13" t="s">
        <v>194</v>
      </c>
      <c r="E1" s="13" t="s">
        <v>195</v>
      </c>
      <c r="F1" s="13" t="s">
        <v>196</v>
      </c>
      <c r="G1" s="13" t="s">
        <v>197</v>
      </c>
      <c r="H1" s="13" t="s">
        <v>187</v>
      </c>
      <c r="I1" s="13" t="s">
        <v>186</v>
      </c>
      <c r="J1" s="13" t="s">
        <v>185</v>
      </c>
      <c r="K1" s="13" t="s">
        <v>191</v>
      </c>
      <c r="L1" s="13" t="s">
        <v>190</v>
      </c>
      <c r="M1" s="13" t="s">
        <v>189</v>
      </c>
      <c r="N1" s="13" t="s">
        <v>188</v>
      </c>
      <c r="O1" s="13" t="s">
        <v>184</v>
      </c>
      <c r="P1" s="13" t="s">
        <v>183</v>
      </c>
      <c r="Q1" s="13" t="s">
        <v>182</v>
      </c>
      <c r="R1" s="13" t="s">
        <v>181</v>
      </c>
      <c r="S1" s="13" t="s">
        <v>180</v>
      </c>
      <c r="T1" s="13" t="s">
        <v>179</v>
      </c>
      <c r="U1" s="13" t="s">
        <v>178</v>
      </c>
      <c r="V1" s="13" t="s">
        <v>177</v>
      </c>
      <c r="W1" s="13" t="s">
        <v>176</v>
      </c>
    </row>
    <row r="2" spans="1:23" ht="45" x14ac:dyDescent="0.25">
      <c r="A2" s="14" t="s">
        <v>198</v>
      </c>
      <c r="B2" s="14" t="s">
        <v>68</v>
      </c>
      <c r="C2" s="14"/>
      <c r="D2" s="14" t="s">
        <v>199</v>
      </c>
      <c r="E2" s="14" t="s">
        <v>68</v>
      </c>
      <c r="F2" s="14" t="s">
        <v>68</v>
      </c>
      <c r="G2" s="14" t="s">
        <v>68</v>
      </c>
      <c r="H2" s="14" t="s">
        <v>68</v>
      </c>
      <c r="I2" s="14" t="s">
        <v>68</v>
      </c>
      <c r="J2" s="14" t="s">
        <v>68</v>
      </c>
      <c r="K2" s="14" t="s">
        <v>68</v>
      </c>
      <c r="L2" s="14" t="s">
        <v>68</v>
      </c>
      <c r="M2" s="14"/>
      <c r="N2" s="14"/>
      <c r="O2" s="15"/>
      <c r="P2" s="15"/>
      <c r="Q2" s="15"/>
      <c r="R2" s="15"/>
      <c r="S2" s="15"/>
      <c r="T2" s="15"/>
      <c r="U2" s="15"/>
      <c r="V2" s="15"/>
      <c r="W2" s="15"/>
    </row>
    <row r="3" spans="1:23" ht="45" x14ac:dyDescent="0.25">
      <c r="A3" s="14" t="s">
        <v>200</v>
      </c>
      <c r="B3" s="14" t="s">
        <v>68</v>
      </c>
      <c r="C3" s="14"/>
      <c r="D3" s="14" t="s">
        <v>199</v>
      </c>
      <c r="E3" s="14" t="s">
        <v>68</v>
      </c>
      <c r="F3" s="14" t="s">
        <v>68</v>
      </c>
      <c r="G3" s="14" t="s">
        <v>78</v>
      </c>
      <c r="H3" s="14" t="s">
        <v>68</v>
      </c>
      <c r="I3" s="14" t="s">
        <v>68</v>
      </c>
      <c r="J3" s="14" t="s">
        <v>201</v>
      </c>
      <c r="K3" s="14" t="s">
        <v>68</v>
      </c>
      <c r="L3" s="14" t="s">
        <v>68</v>
      </c>
      <c r="M3" s="14"/>
      <c r="N3" s="14"/>
      <c r="O3" s="15"/>
      <c r="P3" s="15"/>
      <c r="Q3" s="15"/>
      <c r="R3" s="15"/>
      <c r="S3" s="15"/>
      <c r="T3" s="15"/>
      <c r="U3" s="15"/>
      <c r="V3" s="15"/>
      <c r="W3" s="15"/>
    </row>
    <row r="4" spans="1:23" x14ac:dyDescent="0.25">
      <c r="A4" s="14" t="s">
        <v>202</v>
      </c>
      <c r="B4" s="14" t="s">
        <v>68</v>
      </c>
      <c r="C4" s="14"/>
      <c r="D4" s="14" t="s">
        <v>68</v>
      </c>
      <c r="E4" s="14" t="s">
        <v>68</v>
      </c>
      <c r="F4" s="14" t="s">
        <v>68</v>
      </c>
      <c r="G4" s="14" t="s">
        <v>68</v>
      </c>
      <c r="H4" s="14" t="s">
        <v>68</v>
      </c>
      <c r="I4" s="14" t="s">
        <v>68</v>
      </c>
      <c r="J4" s="14" t="s">
        <v>68</v>
      </c>
      <c r="K4" s="14" t="s">
        <v>68</v>
      </c>
      <c r="L4" s="14" t="s">
        <v>68</v>
      </c>
      <c r="M4" s="14"/>
      <c r="N4" s="14"/>
      <c r="O4" s="15"/>
      <c r="P4" s="15"/>
      <c r="Q4" s="15"/>
      <c r="R4" s="15"/>
      <c r="S4" s="15"/>
      <c r="T4" s="15"/>
      <c r="U4" s="15"/>
      <c r="V4" s="15"/>
      <c r="W4" s="15"/>
    </row>
    <row r="5" spans="1:23" ht="45" x14ac:dyDescent="0.25">
      <c r="A5" s="14" t="s">
        <v>203</v>
      </c>
      <c r="B5" s="14" t="s">
        <v>68</v>
      </c>
      <c r="C5" s="14"/>
      <c r="D5" s="14" t="s">
        <v>204</v>
      </c>
      <c r="E5" s="14" t="s">
        <v>205</v>
      </c>
      <c r="F5" s="14" t="s">
        <v>68</v>
      </c>
      <c r="G5" s="14" t="s">
        <v>68</v>
      </c>
      <c r="H5" s="14" t="s">
        <v>68</v>
      </c>
      <c r="I5" s="14" t="s">
        <v>68</v>
      </c>
      <c r="J5" s="14" t="s">
        <v>68</v>
      </c>
      <c r="K5" s="14" t="s">
        <v>68</v>
      </c>
      <c r="L5" s="14" t="s">
        <v>68</v>
      </c>
      <c r="M5" s="14"/>
      <c r="N5" s="14"/>
      <c r="O5" s="15"/>
      <c r="P5" s="15"/>
      <c r="Q5" s="15"/>
      <c r="R5" s="15"/>
      <c r="S5" s="15"/>
      <c r="T5" s="15"/>
      <c r="U5" s="15"/>
      <c r="V5" s="15"/>
      <c r="W5" s="15"/>
    </row>
    <row r="6" spans="1:23" ht="45" x14ac:dyDescent="0.25">
      <c r="A6" s="14" t="s">
        <v>206</v>
      </c>
      <c r="B6" s="14" t="s">
        <v>68</v>
      </c>
      <c r="C6" s="14"/>
      <c r="D6" s="14" t="s">
        <v>199</v>
      </c>
      <c r="E6" s="14" t="s">
        <v>68</v>
      </c>
      <c r="F6" s="14" t="s">
        <v>68</v>
      </c>
      <c r="G6" s="14" t="s">
        <v>68</v>
      </c>
      <c r="H6" s="14" t="s">
        <v>68</v>
      </c>
      <c r="I6" s="14" t="s">
        <v>68</v>
      </c>
      <c r="J6" s="14" t="s">
        <v>68</v>
      </c>
      <c r="K6" s="14" t="s">
        <v>68</v>
      </c>
      <c r="L6" s="14" t="s">
        <v>68</v>
      </c>
      <c r="M6" s="14"/>
      <c r="N6" s="14"/>
      <c r="O6" s="15"/>
      <c r="P6" s="15"/>
      <c r="Q6" s="15"/>
      <c r="R6" s="15"/>
      <c r="S6" s="15"/>
      <c r="T6" s="15"/>
      <c r="U6" s="15"/>
      <c r="V6" s="15"/>
      <c r="W6" s="15"/>
    </row>
    <row r="7" spans="1:23" ht="60" x14ac:dyDescent="0.25">
      <c r="A7" s="14" t="s">
        <v>207</v>
      </c>
      <c r="B7" s="14" t="s">
        <v>68</v>
      </c>
      <c r="C7" s="14"/>
      <c r="D7" s="14" t="s">
        <v>208</v>
      </c>
      <c r="E7" s="14" t="s">
        <v>209</v>
      </c>
      <c r="F7" s="14" t="s">
        <v>68</v>
      </c>
      <c r="G7" s="14" t="s">
        <v>148</v>
      </c>
      <c r="H7" s="14" t="s">
        <v>68</v>
      </c>
      <c r="I7" s="14" t="s">
        <v>68</v>
      </c>
      <c r="J7" s="14" t="s">
        <v>102</v>
      </c>
      <c r="K7" s="14" t="s">
        <v>68</v>
      </c>
      <c r="L7" s="14" t="s">
        <v>68</v>
      </c>
      <c r="M7" s="14"/>
      <c r="N7" s="14"/>
      <c r="O7" s="15"/>
      <c r="P7" s="15"/>
      <c r="Q7" s="15"/>
      <c r="R7" s="15"/>
      <c r="S7" s="15"/>
      <c r="T7" s="15"/>
      <c r="U7" s="15"/>
      <c r="V7" s="15"/>
      <c r="W7" s="15"/>
    </row>
    <row r="8" spans="1:23" ht="45" x14ac:dyDescent="0.25">
      <c r="A8" s="14" t="s">
        <v>210</v>
      </c>
      <c r="B8" s="14" t="s">
        <v>68</v>
      </c>
      <c r="C8" s="14"/>
      <c r="D8" s="14" t="s">
        <v>211</v>
      </c>
      <c r="E8" s="14" t="s">
        <v>212</v>
      </c>
      <c r="F8" s="14" t="s">
        <v>213</v>
      </c>
      <c r="G8" s="14" t="s">
        <v>68</v>
      </c>
      <c r="H8" s="14" t="s">
        <v>68</v>
      </c>
      <c r="I8" s="14" t="s">
        <v>68</v>
      </c>
      <c r="J8" s="14" t="s">
        <v>201</v>
      </c>
      <c r="K8" s="14" t="s">
        <v>68</v>
      </c>
      <c r="L8" s="14" t="s">
        <v>68</v>
      </c>
      <c r="M8" s="14"/>
      <c r="N8" s="14"/>
      <c r="O8" s="15"/>
      <c r="P8" s="15"/>
      <c r="Q8" s="15"/>
      <c r="R8" s="15"/>
      <c r="S8" s="15"/>
      <c r="T8" s="15"/>
      <c r="U8" s="15"/>
      <c r="V8" s="15"/>
      <c r="W8" s="15"/>
    </row>
    <row r="9" spans="1:23" ht="60" x14ac:dyDescent="0.25">
      <c r="A9" s="14" t="s">
        <v>214</v>
      </c>
      <c r="B9" s="14" t="s">
        <v>68</v>
      </c>
      <c r="C9" s="14"/>
      <c r="D9" s="14" t="s">
        <v>215</v>
      </c>
      <c r="E9" s="14" t="s">
        <v>216</v>
      </c>
      <c r="F9" s="14" t="s">
        <v>68</v>
      </c>
      <c r="G9" s="14" t="s">
        <v>74</v>
      </c>
      <c r="H9" s="14" t="s">
        <v>68</v>
      </c>
      <c r="I9" s="14" t="s">
        <v>68</v>
      </c>
      <c r="J9" s="14" t="s">
        <v>74</v>
      </c>
      <c r="K9" s="14" t="s">
        <v>68</v>
      </c>
      <c r="L9" s="14" t="s">
        <v>68</v>
      </c>
      <c r="M9" s="14"/>
      <c r="N9" s="14"/>
      <c r="O9" s="15"/>
      <c r="P9" s="15"/>
      <c r="Q9" s="15"/>
      <c r="R9" s="15"/>
      <c r="S9" s="15"/>
      <c r="T9" s="15"/>
      <c r="U9" s="15"/>
      <c r="V9" s="15"/>
      <c r="W9" s="15"/>
    </row>
    <row r="10" spans="1:23" ht="45" x14ac:dyDescent="0.25">
      <c r="A10" s="14" t="s">
        <v>217</v>
      </c>
      <c r="B10" s="14" t="s">
        <v>68</v>
      </c>
      <c r="C10" s="14"/>
      <c r="D10" s="14" t="s">
        <v>204</v>
      </c>
      <c r="E10" s="14" t="s">
        <v>205</v>
      </c>
      <c r="F10" s="14" t="s">
        <v>68</v>
      </c>
      <c r="G10" s="14" t="s">
        <v>68</v>
      </c>
      <c r="H10" s="14" t="s">
        <v>68</v>
      </c>
      <c r="I10" s="14" t="s">
        <v>68</v>
      </c>
      <c r="J10" s="14" t="s">
        <v>68</v>
      </c>
      <c r="K10" s="14" t="s">
        <v>68</v>
      </c>
      <c r="L10" s="14" t="s">
        <v>68</v>
      </c>
      <c r="M10" s="14"/>
      <c r="N10" s="14"/>
      <c r="O10" s="15"/>
      <c r="P10" s="15"/>
      <c r="Q10" s="15"/>
      <c r="R10" s="15"/>
      <c r="S10" s="15"/>
      <c r="T10" s="15"/>
      <c r="U10" s="15"/>
      <c r="V10" s="15"/>
      <c r="W10" s="15"/>
    </row>
    <row r="11" spans="1:23" ht="45" x14ac:dyDescent="0.25">
      <c r="A11" s="14" t="s">
        <v>218</v>
      </c>
      <c r="B11" s="14" t="s">
        <v>68</v>
      </c>
      <c r="C11" s="14"/>
      <c r="D11" s="14" t="s">
        <v>219</v>
      </c>
      <c r="E11" s="14" t="s">
        <v>220</v>
      </c>
      <c r="F11" s="14" t="s">
        <v>68</v>
      </c>
      <c r="G11" s="14" t="s">
        <v>68</v>
      </c>
      <c r="H11" s="14" t="s">
        <v>68</v>
      </c>
      <c r="I11" s="14" t="s">
        <v>68</v>
      </c>
      <c r="J11" s="14" t="s">
        <v>68</v>
      </c>
      <c r="K11" s="14" t="s">
        <v>68</v>
      </c>
      <c r="L11" s="14" t="s">
        <v>68</v>
      </c>
      <c r="M11" s="14"/>
      <c r="N11" s="14"/>
      <c r="O11" s="15"/>
      <c r="P11" s="15"/>
      <c r="Q11" s="15"/>
      <c r="R11" s="15"/>
      <c r="S11" s="15"/>
      <c r="T11" s="15"/>
      <c r="U11" s="15"/>
      <c r="V11" s="15"/>
      <c r="W11" s="15"/>
    </row>
    <row r="12" spans="1:23" ht="45" x14ac:dyDescent="0.25">
      <c r="A12" s="14" t="s">
        <v>221</v>
      </c>
      <c r="B12" s="14" t="s">
        <v>68</v>
      </c>
      <c r="C12" s="14"/>
      <c r="D12" s="14" t="s">
        <v>222</v>
      </c>
      <c r="E12" s="14" t="s">
        <v>223</v>
      </c>
      <c r="F12" s="14" t="s">
        <v>68</v>
      </c>
      <c r="G12" s="14" t="s">
        <v>224</v>
      </c>
      <c r="H12" s="14" t="s">
        <v>68</v>
      </c>
      <c r="I12" s="14" t="s">
        <v>68</v>
      </c>
      <c r="J12" s="14" t="s">
        <v>225</v>
      </c>
      <c r="K12" s="14" t="s">
        <v>68</v>
      </c>
      <c r="L12" s="14" t="s">
        <v>68</v>
      </c>
      <c r="M12" s="14"/>
      <c r="N12" s="14"/>
      <c r="O12" s="15"/>
      <c r="P12" s="15"/>
      <c r="Q12" s="15"/>
      <c r="R12" s="15"/>
      <c r="S12" s="15"/>
      <c r="T12" s="15"/>
      <c r="U12" s="15"/>
      <c r="V12" s="15"/>
      <c r="W12" s="15"/>
    </row>
    <row r="13" spans="1:23" x14ac:dyDescent="0.25">
      <c r="A13" s="14" t="s">
        <v>226</v>
      </c>
      <c r="B13" s="14" t="s">
        <v>68</v>
      </c>
      <c r="C13" s="14"/>
      <c r="D13" s="14" t="s">
        <v>68</v>
      </c>
      <c r="E13" s="14" t="s">
        <v>227</v>
      </c>
      <c r="F13" s="14" t="s">
        <v>68</v>
      </c>
      <c r="G13" s="14" t="s">
        <v>163</v>
      </c>
      <c r="H13" s="14" t="s">
        <v>68</v>
      </c>
      <c r="I13" s="14" t="s">
        <v>68</v>
      </c>
      <c r="J13" s="14" t="s">
        <v>102</v>
      </c>
      <c r="K13" s="14" t="s">
        <v>68</v>
      </c>
      <c r="L13" s="14" t="s">
        <v>68</v>
      </c>
      <c r="M13" s="14"/>
      <c r="N13" s="14"/>
      <c r="O13" s="15"/>
      <c r="P13" s="15"/>
      <c r="Q13" s="15"/>
      <c r="R13" s="15"/>
      <c r="S13" s="15"/>
      <c r="T13" s="15"/>
      <c r="U13" s="15"/>
      <c r="V13" s="15"/>
      <c r="W13" s="15"/>
    </row>
    <row r="14" spans="1:23" ht="45" x14ac:dyDescent="0.25">
      <c r="A14" s="14" t="s">
        <v>228</v>
      </c>
      <c r="B14" s="14" t="s">
        <v>68</v>
      </c>
      <c r="C14" s="14"/>
      <c r="D14" s="14" t="s">
        <v>229</v>
      </c>
      <c r="E14" s="14" t="s">
        <v>230</v>
      </c>
      <c r="F14" s="14" t="s">
        <v>68</v>
      </c>
      <c r="G14" s="14" t="s">
        <v>81</v>
      </c>
      <c r="H14" s="14" t="s">
        <v>68</v>
      </c>
      <c r="I14" s="14" t="s">
        <v>68</v>
      </c>
      <c r="J14" s="14" t="s">
        <v>201</v>
      </c>
      <c r="K14" s="14" t="s">
        <v>68</v>
      </c>
      <c r="L14" s="14" t="s">
        <v>68</v>
      </c>
      <c r="M14" s="14"/>
      <c r="N14" s="14"/>
      <c r="O14" s="15"/>
      <c r="P14" s="15"/>
      <c r="Q14" s="15"/>
      <c r="R14" s="15"/>
      <c r="S14" s="15"/>
      <c r="T14" s="15"/>
      <c r="U14" s="15"/>
      <c r="V14" s="15"/>
      <c r="W14" s="15"/>
    </row>
    <row r="15" spans="1:23" ht="45" x14ac:dyDescent="0.25">
      <c r="A15" s="14" t="s">
        <v>231</v>
      </c>
      <c r="B15" s="14" t="s">
        <v>68</v>
      </c>
      <c r="C15" s="14"/>
      <c r="D15" s="14" t="s">
        <v>232</v>
      </c>
      <c r="E15" s="14" t="s">
        <v>233</v>
      </c>
      <c r="F15" s="14" t="s">
        <v>68</v>
      </c>
      <c r="G15" s="14" t="s">
        <v>68</v>
      </c>
      <c r="H15" s="14" t="s">
        <v>68</v>
      </c>
      <c r="I15" s="14" t="s">
        <v>68</v>
      </c>
      <c r="J15" s="14" t="s">
        <v>68</v>
      </c>
      <c r="K15" s="14" t="s">
        <v>68</v>
      </c>
      <c r="L15" s="14" t="s">
        <v>68</v>
      </c>
      <c r="M15" s="14"/>
      <c r="N15" s="14"/>
      <c r="O15" s="15"/>
      <c r="P15" s="15"/>
      <c r="Q15" s="15"/>
      <c r="R15" s="15"/>
      <c r="S15" s="15"/>
      <c r="T15" s="15"/>
      <c r="U15" s="15"/>
      <c r="V15" s="15"/>
      <c r="W15" s="15"/>
    </row>
    <row r="16" spans="1:23" x14ac:dyDescent="0.25">
      <c r="A16" s="14" t="s">
        <v>68</v>
      </c>
      <c r="B16" s="14" t="s">
        <v>68</v>
      </c>
      <c r="C16" s="14"/>
      <c r="D16" s="14" t="s">
        <v>68</v>
      </c>
      <c r="E16" s="14" t="s">
        <v>68</v>
      </c>
      <c r="F16" s="14" t="s">
        <v>68</v>
      </c>
      <c r="G16" s="14" t="s">
        <v>68</v>
      </c>
      <c r="H16" s="14" t="s">
        <v>68</v>
      </c>
      <c r="I16" s="14" t="s">
        <v>68</v>
      </c>
      <c r="J16" s="14" t="s">
        <v>68</v>
      </c>
      <c r="K16" s="14" t="s">
        <v>68</v>
      </c>
      <c r="L16" s="14" t="s">
        <v>68</v>
      </c>
      <c r="M16" s="14"/>
      <c r="N16" s="14"/>
      <c r="O16" s="15"/>
      <c r="P16" s="15"/>
      <c r="Q16" s="15"/>
      <c r="R16" s="15"/>
      <c r="S16" s="15"/>
      <c r="T16" s="15"/>
      <c r="U16" s="15"/>
      <c r="V16" s="15"/>
      <c r="W16" s="15"/>
    </row>
    <row r="17" spans="1:23" ht="60" x14ac:dyDescent="0.25">
      <c r="A17" s="14" t="s">
        <v>234</v>
      </c>
      <c r="B17" s="14" t="s">
        <v>68</v>
      </c>
      <c r="C17" s="14"/>
      <c r="D17" s="14" t="s">
        <v>235</v>
      </c>
      <c r="E17" s="14" t="s">
        <v>236</v>
      </c>
      <c r="F17" s="14" t="s">
        <v>74</v>
      </c>
      <c r="G17" s="14" t="s">
        <v>68</v>
      </c>
      <c r="H17" s="14" t="s">
        <v>68</v>
      </c>
      <c r="I17" s="14" t="s">
        <v>68</v>
      </c>
      <c r="J17" s="14" t="s">
        <v>74</v>
      </c>
      <c r="K17" s="14" t="s">
        <v>68</v>
      </c>
      <c r="L17" s="14" t="s">
        <v>68</v>
      </c>
      <c r="M17" s="14"/>
      <c r="N17" s="14"/>
      <c r="O17" s="15"/>
      <c r="P17" s="15"/>
      <c r="Q17" s="15"/>
      <c r="R17" s="15"/>
      <c r="S17" s="15"/>
      <c r="T17" s="15"/>
      <c r="U17" s="15"/>
      <c r="V17" s="15"/>
      <c r="W17" s="15"/>
    </row>
    <row r="18" spans="1:23" ht="45" x14ac:dyDescent="0.25">
      <c r="A18" s="14" t="s">
        <v>237</v>
      </c>
      <c r="B18" s="14" t="s">
        <v>68</v>
      </c>
      <c r="C18" s="14"/>
      <c r="D18" s="14" t="s">
        <v>238</v>
      </c>
      <c r="E18" s="14" t="s">
        <v>239</v>
      </c>
      <c r="F18" s="14" t="s">
        <v>68</v>
      </c>
      <c r="G18" s="14" t="s">
        <v>68</v>
      </c>
      <c r="H18" s="14" t="s">
        <v>68</v>
      </c>
      <c r="I18" s="14" t="s">
        <v>68</v>
      </c>
      <c r="J18" s="14" t="s">
        <v>68</v>
      </c>
      <c r="K18" s="14" t="s">
        <v>68</v>
      </c>
      <c r="L18" s="14" t="s">
        <v>68</v>
      </c>
      <c r="M18" s="14"/>
      <c r="N18" s="14"/>
      <c r="O18" s="15"/>
      <c r="P18" s="15"/>
      <c r="Q18" s="15"/>
      <c r="R18" s="15"/>
      <c r="S18" s="15"/>
      <c r="T18" s="15"/>
      <c r="U18" s="15"/>
      <c r="V18" s="15"/>
      <c r="W18" s="15"/>
    </row>
    <row r="19" spans="1:23" ht="45" x14ac:dyDescent="0.25">
      <c r="A19" s="14" t="s">
        <v>240</v>
      </c>
      <c r="B19" s="14" t="s">
        <v>68</v>
      </c>
      <c r="C19" s="14"/>
      <c r="D19" s="14" t="s">
        <v>241</v>
      </c>
      <c r="E19" s="14" t="s">
        <v>236</v>
      </c>
      <c r="F19" s="14" t="s">
        <v>242</v>
      </c>
      <c r="G19" s="14" t="s">
        <v>68</v>
      </c>
      <c r="H19" s="14" t="s">
        <v>68</v>
      </c>
      <c r="I19" s="14" t="s">
        <v>68</v>
      </c>
      <c r="J19" s="14" t="s">
        <v>201</v>
      </c>
      <c r="K19" s="14" t="s">
        <v>68</v>
      </c>
      <c r="L19" s="14" t="s">
        <v>68</v>
      </c>
      <c r="M19" s="14"/>
      <c r="N19" s="14"/>
      <c r="O19" s="15"/>
      <c r="P19" s="15"/>
      <c r="Q19" s="15"/>
      <c r="R19" s="15"/>
      <c r="S19" s="15"/>
      <c r="T19" s="15"/>
      <c r="U19" s="15"/>
      <c r="V19" s="15"/>
      <c r="W19" s="15"/>
    </row>
    <row r="20" spans="1:23" ht="45" x14ac:dyDescent="0.25">
      <c r="A20" s="14" t="s">
        <v>243</v>
      </c>
      <c r="B20" s="14" t="s">
        <v>68</v>
      </c>
      <c r="C20" s="14"/>
      <c r="D20" s="14" t="s">
        <v>199</v>
      </c>
      <c r="E20" s="14" t="s">
        <v>68</v>
      </c>
      <c r="F20" s="14" t="s">
        <v>68</v>
      </c>
      <c r="G20" s="14" t="s">
        <v>78</v>
      </c>
      <c r="H20" s="14" t="s">
        <v>68</v>
      </c>
      <c r="I20" s="14" t="s">
        <v>68</v>
      </c>
      <c r="J20" s="14" t="s">
        <v>201</v>
      </c>
      <c r="K20" s="14" t="s">
        <v>68</v>
      </c>
      <c r="L20" s="14" t="s">
        <v>68</v>
      </c>
      <c r="M20" s="14"/>
      <c r="N20" s="14"/>
      <c r="O20" s="15"/>
      <c r="P20" s="15"/>
      <c r="Q20" s="15"/>
      <c r="R20" s="15"/>
      <c r="S20" s="15"/>
      <c r="T20" s="15"/>
      <c r="U20" s="15"/>
      <c r="V20" s="15"/>
      <c r="W20" s="15"/>
    </row>
    <row r="21" spans="1:23" ht="60" x14ac:dyDescent="0.25">
      <c r="A21" s="14" t="s">
        <v>244</v>
      </c>
      <c r="B21" s="14" t="s">
        <v>68</v>
      </c>
      <c r="C21" s="14"/>
      <c r="D21" s="14" t="s">
        <v>208</v>
      </c>
      <c r="E21" s="14" t="s">
        <v>209</v>
      </c>
      <c r="F21" s="14" t="s">
        <v>68</v>
      </c>
      <c r="G21" s="14" t="s">
        <v>148</v>
      </c>
      <c r="H21" s="14" t="s">
        <v>68</v>
      </c>
      <c r="I21" s="14" t="s">
        <v>68</v>
      </c>
      <c r="J21" s="14" t="s">
        <v>102</v>
      </c>
      <c r="K21" s="14" t="s">
        <v>68</v>
      </c>
      <c r="L21" s="14" t="s">
        <v>68</v>
      </c>
      <c r="M21" s="14"/>
      <c r="N21" s="14"/>
      <c r="O21" s="15"/>
      <c r="P21" s="15"/>
      <c r="Q21" s="15"/>
      <c r="R21" s="15"/>
      <c r="S21" s="15"/>
      <c r="T21" s="15"/>
      <c r="U21" s="15"/>
      <c r="V21" s="15"/>
      <c r="W21" s="15"/>
    </row>
    <row r="22" spans="1:23" ht="45" x14ac:dyDescent="0.25">
      <c r="A22" s="14" t="s">
        <v>245</v>
      </c>
      <c r="B22" s="14" t="s">
        <v>68</v>
      </c>
      <c r="C22" s="14"/>
      <c r="D22" s="14" t="s">
        <v>246</v>
      </c>
      <c r="E22" s="14" t="s">
        <v>247</v>
      </c>
      <c r="F22" s="14" t="s">
        <v>68</v>
      </c>
      <c r="G22" s="14" t="s">
        <v>102</v>
      </c>
      <c r="H22" s="14" t="s">
        <v>68</v>
      </c>
      <c r="I22" s="14" t="s">
        <v>68</v>
      </c>
      <c r="J22" s="14" t="s">
        <v>102</v>
      </c>
      <c r="K22" s="14" t="s">
        <v>68</v>
      </c>
      <c r="L22" s="14" t="s">
        <v>68</v>
      </c>
      <c r="M22" s="14"/>
      <c r="N22" s="14"/>
      <c r="O22" s="15"/>
      <c r="P22" s="15"/>
      <c r="Q22" s="15"/>
      <c r="R22" s="15"/>
      <c r="S22" s="15"/>
      <c r="T22" s="15"/>
      <c r="U22" s="15"/>
      <c r="V22" s="15"/>
      <c r="W22" s="15"/>
    </row>
    <row r="23" spans="1:23" ht="45" x14ac:dyDescent="0.25">
      <c r="A23" s="14" t="s">
        <v>248</v>
      </c>
      <c r="B23" s="14" t="s">
        <v>68</v>
      </c>
      <c r="C23" s="14"/>
      <c r="D23" s="14" t="s">
        <v>249</v>
      </c>
      <c r="E23" s="14" t="s">
        <v>250</v>
      </c>
      <c r="F23" s="14" t="s">
        <v>68</v>
      </c>
      <c r="G23" s="14" t="s">
        <v>68</v>
      </c>
      <c r="H23" s="14" t="s">
        <v>68</v>
      </c>
      <c r="I23" s="14" t="s">
        <v>68</v>
      </c>
      <c r="J23" s="14" t="s">
        <v>68</v>
      </c>
      <c r="K23" s="14" t="s">
        <v>68</v>
      </c>
      <c r="L23" s="14" t="s">
        <v>68</v>
      </c>
      <c r="M23" s="14"/>
      <c r="N23" s="14"/>
      <c r="O23" s="15"/>
      <c r="P23" s="15"/>
      <c r="Q23" s="15"/>
      <c r="R23" s="15"/>
      <c r="S23" s="15"/>
      <c r="T23" s="15"/>
      <c r="U23" s="15"/>
      <c r="V23" s="15"/>
      <c r="W23" s="15"/>
    </row>
    <row r="24" spans="1:23" ht="45" x14ac:dyDescent="0.25">
      <c r="A24" s="14" t="s">
        <v>251</v>
      </c>
      <c r="B24" s="14" t="s">
        <v>68</v>
      </c>
      <c r="C24" s="14"/>
      <c r="D24" s="14" t="s">
        <v>199</v>
      </c>
      <c r="E24" s="14" t="s">
        <v>68</v>
      </c>
      <c r="F24" s="14" t="s">
        <v>68</v>
      </c>
      <c r="G24" s="14" t="s">
        <v>130</v>
      </c>
      <c r="H24" s="14" t="s">
        <v>68</v>
      </c>
      <c r="I24" s="14" t="s">
        <v>68</v>
      </c>
      <c r="J24" s="14" t="s">
        <v>201</v>
      </c>
      <c r="K24" s="14" t="s">
        <v>68</v>
      </c>
      <c r="L24" s="14" t="s">
        <v>68</v>
      </c>
      <c r="M24" s="14"/>
      <c r="N24" s="14"/>
      <c r="O24" s="15"/>
      <c r="P24" s="15"/>
      <c r="Q24" s="15"/>
      <c r="R24" s="15"/>
      <c r="S24" s="15"/>
      <c r="T24" s="15"/>
      <c r="U24" s="15"/>
      <c r="V24" s="15"/>
      <c r="W24" s="15"/>
    </row>
    <row r="25" spans="1:23" ht="60" x14ac:dyDescent="0.25">
      <c r="A25" s="14" t="s">
        <v>252</v>
      </c>
      <c r="B25" s="14" t="s">
        <v>68</v>
      </c>
      <c r="C25" s="14"/>
      <c r="D25" s="14" t="s">
        <v>235</v>
      </c>
      <c r="E25" s="14" t="s">
        <v>236</v>
      </c>
      <c r="F25" s="14" t="s">
        <v>68</v>
      </c>
      <c r="G25" s="14" t="s">
        <v>74</v>
      </c>
      <c r="H25" s="14" t="s">
        <v>68</v>
      </c>
      <c r="I25" s="14" t="s">
        <v>68</v>
      </c>
      <c r="J25" s="14" t="s">
        <v>74</v>
      </c>
      <c r="K25" s="14" t="s">
        <v>68</v>
      </c>
      <c r="L25" s="14" t="s">
        <v>68</v>
      </c>
      <c r="M25" s="14"/>
      <c r="N25" s="14"/>
      <c r="O25" s="15"/>
      <c r="P25" s="15"/>
      <c r="Q25" s="15"/>
      <c r="R25" s="15"/>
      <c r="S25" s="15"/>
      <c r="T25" s="15"/>
      <c r="U25" s="15"/>
      <c r="V25" s="15"/>
      <c r="W25" s="15"/>
    </row>
    <row r="26" spans="1:23" ht="45" x14ac:dyDescent="0.25">
      <c r="A26" s="14" t="s">
        <v>253</v>
      </c>
      <c r="B26" s="14" t="s">
        <v>68</v>
      </c>
      <c r="C26" s="14"/>
      <c r="D26" s="14" t="s">
        <v>211</v>
      </c>
      <c r="E26" s="14" t="s">
        <v>212</v>
      </c>
      <c r="F26" s="14" t="s">
        <v>172</v>
      </c>
      <c r="G26" s="14" t="s">
        <v>68</v>
      </c>
      <c r="H26" s="14" t="s">
        <v>68</v>
      </c>
      <c r="I26" s="14" t="s">
        <v>68</v>
      </c>
      <c r="J26" s="14" t="s">
        <v>201</v>
      </c>
      <c r="K26" s="14" t="s">
        <v>68</v>
      </c>
      <c r="L26" s="14" t="s">
        <v>68</v>
      </c>
      <c r="M26" s="14"/>
      <c r="N26" s="14"/>
      <c r="O26" s="15"/>
      <c r="P26" s="15"/>
      <c r="Q26" s="15"/>
      <c r="R26" s="15"/>
      <c r="S26" s="15"/>
      <c r="T26" s="15"/>
      <c r="U26" s="15"/>
      <c r="V26" s="15"/>
      <c r="W26" s="15"/>
    </row>
    <row r="27" spans="1:23" ht="45" x14ac:dyDescent="0.25">
      <c r="A27" s="14" t="s">
        <v>254</v>
      </c>
      <c r="B27" s="14" t="s">
        <v>68</v>
      </c>
      <c r="C27" s="14"/>
      <c r="D27" s="14" t="s">
        <v>246</v>
      </c>
      <c r="E27" s="14" t="s">
        <v>247</v>
      </c>
      <c r="F27" s="14" t="s">
        <v>68</v>
      </c>
      <c r="G27" s="14" t="s">
        <v>148</v>
      </c>
      <c r="H27" s="14" t="s">
        <v>68</v>
      </c>
      <c r="I27" s="14" t="s">
        <v>68</v>
      </c>
      <c r="J27" s="14" t="s">
        <v>102</v>
      </c>
      <c r="K27" s="14" t="s">
        <v>68</v>
      </c>
      <c r="L27" s="14" t="s">
        <v>68</v>
      </c>
      <c r="M27" s="14"/>
      <c r="N27" s="14"/>
      <c r="O27" s="15"/>
      <c r="P27" s="15"/>
      <c r="Q27" s="15"/>
      <c r="R27" s="15"/>
      <c r="S27" s="15"/>
      <c r="T27" s="15"/>
      <c r="U27" s="15"/>
      <c r="V27" s="15"/>
      <c r="W27" s="15"/>
    </row>
    <row r="28" spans="1:23" ht="45" x14ac:dyDescent="0.25">
      <c r="A28" s="14" t="s">
        <v>255</v>
      </c>
      <c r="B28" s="14" t="s">
        <v>68</v>
      </c>
      <c r="C28" s="14"/>
      <c r="D28" s="14" t="s">
        <v>256</v>
      </c>
      <c r="E28" s="14" t="s">
        <v>223</v>
      </c>
      <c r="F28" s="14" t="s">
        <v>68</v>
      </c>
      <c r="G28" s="14" t="s">
        <v>68</v>
      </c>
      <c r="H28" s="14" t="s">
        <v>68</v>
      </c>
      <c r="I28" s="14" t="s">
        <v>68</v>
      </c>
      <c r="J28" s="14" t="s">
        <v>68</v>
      </c>
      <c r="K28" s="14" t="s">
        <v>68</v>
      </c>
      <c r="L28" s="14" t="s">
        <v>68</v>
      </c>
      <c r="M28" s="14"/>
      <c r="N28" s="14"/>
      <c r="O28" s="15"/>
      <c r="P28" s="15"/>
      <c r="Q28" s="15"/>
      <c r="R28" s="15"/>
      <c r="S28" s="15"/>
      <c r="T28" s="15"/>
      <c r="U28" s="15"/>
      <c r="V28" s="15"/>
      <c r="W28" s="15"/>
    </row>
    <row r="29" spans="1:23" ht="45" x14ac:dyDescent="0.25">
      <c r="A29" s="14" t="s">
        <v>257</v>
      </c>
      <c r="B29" s="14" t="s">
        <v>68</v>
      </c>
      <c r="C29" s="14"/>
      <c r="D29" s="14" t="s">
        <v>258</v>
      </c>
      <c r="E29" s="14" t="s">
        <v>227</v>
      </c>
      <c r="F29" s="14" t="s">
        <v>68</v>
      </c>
      <c r="G29" s="14" t="s">
        <v>68</v>
      </c>
      <c r="H29" s="14" t="s">
        <v>68</v>
      </c>
      <c r="I29" s="14" t="s">
        <v>68</v>
      </c>
      <c r="J29" s="14" t="s">
        <v>68</v>
      </c>
      <c r="K29" s="14" t="s">
        <v>68</v>
      </c>
      <c r="L29" s="14" t="s">
        <v>68</v>
      </c>
      <c r="M29" s="14"/>
      <c r="N29" s="14"/>
      <c r="O29" s="15"/>
      <c r="P29" s="15"/>
      <c r="Q29" s="15"/>
      <c r="R29" s="15"/>
      <c r="S29" s="15"/>
      <c r="T29" s="15"/>
      <c r="U29" s="15"/>
      <c r="V29" s="15"/>
      <c r="W29" s="15"/>
    </row>
    <row r="30" spans="1:23" ht="45" x14ac:dyDescent="0.25">
      <c r="A30" s="14" t="s">
        <v>259</v>
      </c>
      <c r="B30" s="14" t="s">
        <v>68</v>
      </c>
      <c r="C30" s="14"/>
      <c r="D30" s="14" t="s">
        <v>232</v>
      </c>
      <c r="E30" s="14" t="s">
        <v>209</v>
      </c>
      <c r="F30" s="14" t="s">
        <v>68</v>
      </c>
      <c r="G30" s="14" t="s">
        <v>68</v>
      </c>
      <c r="H30" s="14" t="s">
        <v>68</v>
      </c>
      <c r="I30" s="14" t="s">
        <v>68</v>
      </c>
      <c r="J30" s="14" t="s">
        <v>68</v>
      </c>
      <c r="K30" s="14" t="s">
        <v>68</v>
      </c>
      <c r="L30" s="14" t="s">
        <v>68</v>
      </c>
      <c r="M30" s="14"/>
      <c r="N30" s="14"/>
      <c r="O30" s="15"/>
      <c r="P30" s="15"/>
      <c r="Q30" s="15"/>
      <c r="R30" s="15"/>
      <c r="S30" s="15"/>
      <c r="T30" s="15"/>
      <c r="U30" s="15"/>
      <c r="V30" s="15"/>
      <c r="W30" s="15"/>
    </row>
    <row r="31" spans="1:23" ht="45" x14ac:dyDescent="0.25">
      <c r="A31" s="14" t="s">
        <v>260</v>
      </c>
      <c r="B31" s="14" t="s">
        <v>68</v>
      </c>
      <c r="C31" s="14"/>
      <c r="D31" s="14" t="s">
        <v>246</v>
      </c>
      <c r="E31" s="14" t="s">
        <v>247</v>
      </c>
      <c r="F31" s="14" t="s">
        <v>68</v>
      </c>
      <c r="G31" s="14" t="s">
        <v>261</v>
      </c>
      <c r="H31" s="14" t="s">
        <v>68</v>
      </c>
      <c r="I31" s="14" t="s">
        <v>68</v>
      </c>
      <c r="J31" s="14" t="s">
        <v>102</v>
      </c>
      <c r="K31" s="14" t="s">
        <v>68</v>
      </c>
      <c r="L31" s="14" t="s">
        <v>68</v>
      </c>
      <c r="M31" s="14"/>
      <c r="N31" s="14"/>
      <c r="O31" s="15"/>
      <c r="P31" s="15"/>
      <c r="Q31" s="15"/>
      <c r="R31" s="15"/>
      <c r="S31" s="15"/>
      <c r="T31" s="15"/>
      <c r="U31" s="15"/>
      <c r="V31" s="15"/>
      <c r="W31" s="15"/>
    </row>
    <row r="32" spans="1:23" ht="45" x14ac:dyDescent="0.25">
      <c r="A32" s="14" t="s">
        <v>262</v>
      </c>
      <c r="B32" s="14" t="s">
        <v>68</v>
      </c>
      <c r="C32" s="14"/>
      <c r="D32" s="14" t="s">
        <v>263</v>
      </c>
      <c r="E32" s="14" t="s">
        <v>264</v>
      </c>
      <c r="F32" s="14" t="s">
        <v>68</v>
      </c>
      <c r="G32" s="14" t="s">
        <v>68</v>
      </c>
      <c r="H32" s="14" t="s">
        <v>68</v>
      </c>
      <c r="I32" s="14" t="s">
        <v>68</v>
      </c>
      <c r="J32" s="14" t="s">
        <v>68</v>
      </c>
      <c r="K32" s="14" t="s">
        <v>68</v>
      </c>
      <c r="L32" s="14" t="s">
        <v>68</v>
      </c>
      <c r="M32" s="14"/>
      <c r="N32" s="14"/>
      <c r="O32" s="15"/>
      <c r="P32" s="15"/>
      <c r="Q32" s="15"/>
      <c r="R32" s="15"/>
      <c r="S32" s="15"/>
      <c r="T32" s="15"/>
      <c r="U32" s="15"/>
      <c r="V32" s="15"/>
      <c r="W32" s="15"/>
    </row>
    <row r="33" spans="1:23" ht="60" x14ac:dyDescent="0.25">
      <c r="A33" s="14" t="s">
        <v>265</v>
      </c>
      <c r="B33" s="14" t="s">
        <v>68</v>
      </c>
      <c r="C33" s="14"/>
      <c r="D33" s="14" t="s">
        <v>208</v>
      </c>
      <c r="E33" s="14" t="s">
        <v>209</v>
      </c>
      <c r="F33" s="14" t="s">
        <v>68</v>
      </c>
      <c r="G33" s="14" t="s">
        <v>266</v>
      </c>
      <c r="H33" s="14" t="s">
        <v>68</v>
      </c>
      <c r="I33" s="14" t="s">
        <v>68</v>
      </c>
      <c r="J33" s="14" t="s">
        <v>102</v>
      </c>
      <c r="K33" s="14" t="s">
        <v>68</v>
      </c>
      <c r="L33" s="14" t="s">
        <v>68</v>
      </c>
      <c r="M33" s="14"/>
      <c r="N33" s="14"/>
      <c r="O33" s="15"/>
      <c r="P33" s="15"/>
      <c r="Q33" s="15"/>
      <c r="R33" s="15"/>
      <c r="S33" s="15"/>
      <c r="T33" s="15"/>
      <c r="U33" s="15"/>
      <c r="V33" s="15"/>
      <c r="W33" s="15"/>
    </row>
    <row r="34" spans="1:23" ht="45" x14ac:dyDescent="0.25">
      <c r="A34" s="14" t="s">
        <v>267</v>
      </c>
      <c r="B34" s="14" t="s">
        <v>68</v>
      </c>
      <c r="C34" s="14"/>
      <c r="D34" s="14" t="s">
        <v>241</v>
      </c>
      <c r="E34" s="14" t="s">
        <v>236</v>
      </c>
      <c r="F34" s="14" t="s">
        <v>83</v>
      </c>
      <c r="G34" s="14" t="s">
        <v>68</v>
      </c>
      <c r="H34" s="14" t="s">
        <v>68</v>
      </c>
      <c r="I34" s="14" t="s">
        <v>68</v>
      </c>
      <c r="J34" s="14" t="s">
        <v>201</v>
      </c>
      <c r="K34" s="14" t="s">
        <v>68</v>
      </c>
      <c r="L34" s="14" t="s">
        <v>68</v>
      </c>
      <c r="M34" s="14"/>
      <c r="N34" s="14"/>
      <c r="O34" s="15"/>
      <c r="P34" s="15"/>
      <c r="Q34" s="15"/>
      <c r="R34" s="15"/>
      <c r="S34" s="15"/>
      <c r="T34" s="15"/>
      <c r="U34" s="15"/>
      <c r="V34" s="15"/>
      <c r="W34" s="15"/>
    </row>
    <row r="35" spans="1:23" ht="45" x14ac:dyDescent="0.25">
      <c r="A35" s="14" t="s">
        <v>268</v>
      </c>
      <c r="B35" s="14" t="s">
        <v>68</v>
      </c>
      <c r="C35" s="14"/>
      <c r="D35" s="14" t="s">
        <v>241</v>
      </c>
      <c r="E35" s="14" t="s">
        <v>236</v>
      </c>
      <c r="F35" s="14" t="s">
        <v>91</v>
      </c>
      <c r="G35" s="14" t="s">
        <v>68</v>
      </c>
      <c r="H35" s="14" t="s">
        <v>68</v>
      </c>
      <c r="I35" s="14" t="s">
        <v>68</v>
      </c>
      <c r="J35" s="14" t="s">
        <v>201</v>
      </c>
      <c r="K35" s="14" t="s">
        <v>68</v>
      </c>
      <c r="L35" s="14" t="s">
        <v>68</v>
      </c>
      <c r="M35" s="14"/>
      <c r="N35" s="14"/>
      <c r="O35" s="15"/>
      <c r="P35" s="15"/>
      <c r="Q35" s="15"/>
      <c r="R35" s="15"/>
      <c r="S35" s="15"/>
      <c r="T35" s="15"/>
      <c r="U35" s="15"/>
      <c r="V35" s="15"/>
      <c r="W35" s="15"/>
    </row>
    <row r="36" spans="1:23" ht="45" x14ac:dyDescent="0.25">
      <c r="A36" s="14" t="s">
        <v>269</v>
      </c>
      <c r="B36" s="14" t="s">
        <v>68</v>
      </c>
      <c r="C36" s="14"/>
      <c r="D36" s="14" t="s">
        <v>232</v>
      </c>
      <c r="E36" s="14" t="s">
        <v>209</v>
      </c>
      <c r="F36" s="14" t="s">
        <v>68</v>
      </c>
      <c r="G36" s="14" t="s">
        <v>68</v>
      </c>
      <c r="H36" s="14" t="s">
        <v>68</v>
      </c>
      <c r="I36" s="14" t="s">
        <v>68</v>
      </c>
      <c r="J36" s="14" t="s">
        <v>68</v>
      </c>
      <c r="K36" s="14" t="s">
        <v>68</v>
      </c>
      <c r="L36" s="14" t="s">
        <v>68</v>
      </c>
      <c r="M36" s="14"/>
      <c r="N36" s="14"/>
      <c r="O36" s="15"/>
      <c r="P36" s="15"/>
      <c r="Q36" s="15"/>
      <c r="R36" s="15"/>
      <c r="S36" s="15"/>
      <c r="T36" s="15"/>
      <c r="U36" s="15"/>
      <c r="V36" s="15"/>
      <c r="W36" s="15"/>
    </row>
    <row r="37" spans="1:23" ht="45" x14ac:dyDescent="0.25">
      <c r="A37" s="14" t="s">
        <v>270</v>
      </c>
      <c r="B37" s="14" t="s">
        <v>68</v>
      </c>
      <c r="C37" s="14"/>
      <c r="D37" s="14" t="s">
        <v>199</v>
      </c>
      <c r="E37" s="14" t="s">
        <v>68</v>
      </c>
      <c r="F37" s="14" t="s">
        <v>68</v>
      </c>
      <c r="G37" s="14" t="s">
        <v>78</v>
      </c>
      <c r="H37" s="14" t="s">
        <v>68</v>
      </c>
      <c r="I37" s="14" t="s">
        <v>68</v>
      </c>
      <c r="J37" s="14" t="s">
        <v>201</v>
      </c>
      <c r="K37" s="14" t="s">
        <v>68</v>
      </c>
      <c r="L37" s="14" t="s">
        <v>68</v>
      </c>
      <c r="M37" s="14"/>
      <c r="N37" s="14"/>
      <c r="O37" s="15"/>
      <c r="P37" s="15"/>
      <c r="Q37" s="15"/>
      <c r="R37" s="15"/>
      <c r="S37" s="15"/>
      <c r="T37" s="15"/>
      <c r="U37" s="15"/>
      <c r="V37" s="15"/>
      <c r="W37" s="15"/>
    </row>
    <row r="38" spans="1:23" ht="60" x14ac:dyDescent="0.25">
      <c r="A38" s="14" t="s">
        <v>271</v>
      </c>
      <c r="B38" s="14" t="s">
        <v>68</v>
      </c>
      <c r="C38" s="14"/>
      <c r="D38" s="14" t="s">
        <v>235</v>
      </c>
      <c r="E38" s="14" t="s">
        <v>236</v>
      </c>
      <c r="F38" s="14" t="s">
        <v>74</v>
      </c>
      <c r="G38" s="14" t="s">
        <v>68</v>
      </c>
      <c r="H38" s="14" t="s">
        <v>68</v>
      </c>
      <c r="I38" s="14" t="s">
        <v>68</v>
      </c>
      <c r="J38" s="14" t="s">
        <v>74</v>
      </c>
      <c r="K38" s="14" t="s">
        <v>68</v>
      </c>
      <c r="L38" s="14" t="s">
        <v>68</v>
      </c>
      <c r="M38" s="14"/>
      <c r="N38" s="14"/>
      <c r="O38" s="15"/>
      <c r="P38" s="15"/>
      <c r="Q38" s="15"/>
      <c r="R38" s="15"/>
      <c r="S38" s="15"/>
      <c r="T38" s="15"/>
      <c r="U38" s="15"/>
      <c r="V38" s="15"/>
      <c r="W38" s="15"/>
    </row>
    <row r="39" spans="1:23" ht="45" x14ac:dyDescent="0.25">
      <c r="A39" s="14" t="s">
        <v>272</v>
      </c>
      <c r="B39" s="14" t="s">
        <v>68</v>
      </c>
      <c r="C39" s="14"/>
      <c r="D39" s="14" t="s">
        <v>241</v>
      </c>
      <c r="E39" s="14" t="s">
        <v>236</v>
      </c>
      <c r="F39" s="14" t="s">
        <v>81</v>
      </c>
      <c r="G39" s="14" t="s">
        <v>68</v>
      </c>
      <c r="H39" s="14" t="s">
        <v>68</v>
      </c>
      <c r="I39" s="14" t="s">
        <v>68</v>
      </c>
      <c r="J39" s="14" t="s">
        <v>201</v>
      </c>
      <c r="K39" s="14" t="s">
        <v>68</v>
      </c>
      <c r="L39" s="14" t="s">
        <v>68</v>
      </c>
      <c r="M39" s="14"/>
      <c r="N39" s="14"/>
      <c r="O39" s="15"/>
      <c r="P39" s="15"/>
      <c r="Q39" s="15"/>
      <c r="R39" s="15"/>
      <c r="S39" s="15"/>
      <c r="T39" s="15"/>
      <c r="U39" s="15"/>
      <c r="V39" s="15"/>
      <c r="W39" s="15"/>
    </row>
    <row r="40" spans="1:23" ht="60" x14ac:dyDescent="0.25">
      <c r="A40" s="14" t="s">
        <v>273</v>
      </c>
      <c r="B40" s="14" t="s">
        <v>68</v>
      </c>
      <c r="C40" s="14"/>
      <c r="D40" s="14" t="s">
        <v>208</v>
      </c>
      <c r="E40" s="14" t="s">
        <v>209</v>
      </c>
      <c r="F40" s="14" t="s">
        <v>68</v>
      </c>
      <c r="G40" s="14" t="s">
        <v>148</v>
      </c>
      <c r="H40" s="14" t="s">
        <v>68</v>
      </c>
      <c r="I40" s="14" t="s">
        <v>68</v>
      </c>
      <c r="J40" s="14" t="s">
        <v>102</v>
      </c>
      <c r="K40" s="14" t="s">
        <v>68</v>
      </c>
      <c r="L40" s="14" t="s">
        <v>68</v>
      </c>
      <c r="M40" s="14"/>
      <c r="N40" s="14"/>
      <c r="O40" s="15"/>
      <c r="P40" s="15"/>
      <c r="Q40" s="15"/>
      <c r="R40" s="15"/>
      <c r="S40" s="15"/>
      <c r="T40" s="15"/>
      <c r="U40" s="15"/>
      <c r="V40" s="15"/>
      <c r="W40" s="15"/>
    </row>
    <row r="41" spans="1:23" ht="45" x14ac:dyDescent="0.25">
      <c r="A41" s="14" t="s">
        <v>274</v>
      </c>
      <c r="B41" s="14" t="s">
        <v>68</v>
      </c>
      <c r="C41" s="14"/>
      <c r="D41" s="14" t="s">
        <v>199</v>
      </c>
      <c r="E41" s="14" t="s">
        <v>68</v>
      </c>
      <c r="F41" s="14" t="s">
        <v>68</v>
      </c>
      <c r="G41" s="14" t="s">
        <v>78</v>
      </c>
      <c r="H41" s="14" t="s">
        <v>68</v>
      </c>
      <c r="I41" s="14" t="s">
        <v>68</v>
      </c>
      <c r="J41" s="14" t="s">
        <v>201</v>
      </c>
      <c r="K41" s="14" t="s">
        <v>68</v>
      </c>
      <c r="L41" s="14" t="s">
        <v>68</v>
      </c>
      <c r="M41" s="14"/>
      <c r="N41" s="14"/>
      <c r="O41" s="15"/>
      <c r="P41" s="15"/>
      <c r="Q41" s="15"/>
      <c r="R41" s="15"/>
      <c r="S41" s="15"/>
      <c r="T41" s="15"/>
      <c r="U41" s="15"/>
      <c r="V41" s="15"/>
      <c r="W41" s="15"/>
    </row>
    <row r="42" spans="1:23" ht="45" x14ac:dyDescent="0.25">
      <c r="A42" s="14" t="s">
        <v>275</v>
      </c>
      <c r="B42" s="14" t="s">
        <v>68</v>
      </c>
      <c r="C42" s="14"/>
      <c r="D42" s="14" t="s">
        <v>241</v>
      </c>
      <c r="E42" s="14" t="s">
        <v>236</v>
      </c>
      <c r="F42" s="14" t="s">
        <v>91</v>
      </c>
      <c r="G42" s="14" t="s">
        <v>68</v>
      </c>
      <c r="H42" s="14" t="s">
        <v>68</v>
      </c>
      <c r="I42" s="14" t="s">
        <v>68</v>
      </c>
      <c r="J42" s="14" t="s">
        <v>201</v>
      </c>
      <c r="K42" s="14" t="s">
        <v>68</v>
      </c>
      <c r="L42" s="14" t="s">
        <v>68</v>
      </c>
      <c r="M42" s="14"/>
      <c r="N42" s="14"/>
      <c r="O42" s="15"/>
      <c r="P42" s="15"/>
      <c r="Q42" s="15"/>
      <c r="R42" s="15"/>
      <c r="S42" s="15"/>
      <c r="T42" s="15"/>
      <c r="U42" s="15"/>
      <c r="V42" s="15"/>
      <c r="W42" s="15"/>
    </row>
    <row r="43" spans="1:23" ht="45" x14ac:dyDescent="0.25">
      <c r="A43" s="14" t="s">
        <v>276</v>
      </c>
      <c r="B43" s="14" t="s">
        <v>68</v>
      </c>
      <c r="C43" s="14"/>
      <c r="D43" s="14" t="s">
        <v>199</v>
      </c>
      <c r="E43" s="14" t="s">
        <v>68</v>
      </c>
      <c r="F43" s="14" t="s">
        <v>68</v>
      </c>
      <c r="G43" s="14" t="s">
        <v>78</v>
      </c>
      <c r="H43" s="14" t="s">
        <v>68</v>
      </c>
      <c r="I43" s="14" t="s">
        <v>68</v>
      </c>
      <c r="J43" s="14" t="s">
        <v>201</v>
      </c>
      <c r="K43" s="14" t="s">
        <v>68</v>
      </c>
      <c r="L43" s="14" t="s">
        <v>68</v>
      </c>
      <c r="M43" s="14"/>
      <c r="N43" s="14"/>
      <c r="O43" s="15"/>
      <c r="P43" s="15"/>
      <c r="Q43" s="15"/>
      <c r="R43" s="15"/>
      <c r="S43" s="15"/>
      <c r="T43" s="15"/>
      <c r="U43" s="15"/>
      <c r="V43" s="15"/>
      <c r="W43" s="15"/>
    </row>
    <row r="44" spans="1:23" ht="45" x14ac:dyDescent="0.25">
      <c r="A44" s="14" t="s">
        <v>277</v>
      </c>
      <c r="B44" s="14" t="s">
        <v>68</v>
      </c>
      <c r="C44" s="14"/>
      <c r="D44" s="14" t="s">
        <v>204</v>
      </c>
      <c r="E44" s="14" t="s">
        <v>205</v>
      </c>
      <c r="F44" s="14" t="s">
        <v>68</v>
      </c>
      <c r="G44" s="14" t="s">
        <v>68</v>
      </c>
      <c r="H44" s="14" t="s">
        <v>68</v>
      </c>
      <c r="I44" s="14" t="s">
        <v>68</v>
      </c>
      <c r="J44" s="14" t="s">
        <v>68</v>
      </c>
      <c r="K44" s="14" t="s">
        <v>68</v>
      </c>
      <c r="L44" s="14" t="s">
        <v>68</v>
      </c>
      <c r="M44" s="14"/>
      <c r="N44" s="14"/>
      <c r="O44" s="15"/>
      <c r="P44" s="15"/>
      <c r="Q44" s="15"/>
      <c r="R44" s="15"/>
      <c r="S44" s="15"/>
      <c r="T44" s="15"/>
      <c r="U44" s="15"/>
      <c r="V44" s="15"/>
      <c r="W44" s="15"/>
    </row>
    <row r="45" spans="1:23" ht="45" x14ac:dyDescent="0.25">
      <c r="A45" s="14" t="s">
        <v>278</v>
      </c>
      <c r="B45" s="14" t="s">
        <v>68</v>
      </c>
      <c r="C45" s="14"/>
      <c r="D45" s="14" t="s">
        <v>279</v>
      </c>
      <c r="E45" s="14" t="s">
        <v>280</v>
      </c>
      <c r="F45" s="14" t="s">
        <v>87</v>
      </c>
      <c r="G45" s="14" t="s">
        <v>68</v>
      </c>
      <c r="H45" s="14" t="s">
        <v>68</v>
      </c>
      <c r="I45" s="14" t="s">
        <v>68</v>
      </c>
      <c r="J45" s="14" t="s">
        <v>225</v>
      </c>
      <c r="K45" s="14" t="s">
        <v>68</v>
      </c>
      <c r="L45" s="14" t="s">
        <v>68</v>
      </c>
      <c r="M45" s="14"/>
      <c r="N45" s="14"/>
      <c r="O45" s="15"/>
      <c r="P45" s="15"/>
      <c r="Q45" s="15"/>
      <c r="R45" s="15"/>
      <c r="S45" s="15"/>
      <c r="T45" s="15"/>
      <c r="U45" s="15"/>
      <c r="V45" s="15"/>
      <c r="W45" s="15"/>
    </row>
    <row r="46" spans="1:23" ht="45" x14ac:dyDescent="0.25">
      <c r="A46" s="14" t="s">
        <v>281</v>
      </c>
      <c r="B46" s="14" t="s">
        <v>68</v>
      </c>
      <c r="C46" s="14"/>
      <c r="D46" s="14" t="s">
        <v>204</v>
      </c>
      <c r="E46" s="14" t="s">
        <v>205</v>
      </c>
      <c r="F46" s="14" t="s">
        <v>68</v>
      </c>
      <c r="G46" s="14" t="s">
        <v>68</v>
      </c>
      <c r="H46" s="14" t="s">
        <v>68</v>
      </c>
      <c r="I46" s="14" t="s">
        <v>68</v>
      </c>
      <c r="J46" s="14" t="s">
        <v>68</v>
      </c>
      <c r="K46" s="14" t="s">
        <v>68</v>
      </c>
      <c r="L46" s="14" t="s">
        <v>68</v>
      </c>
      <c r="M46" s="14"/>
      <c r="N46" s="14"/>
      <c r="O46" s="15"/>
      <c r="P46" s="15"/>
      <c r="Q46" s="15"/>
      <c r="R46" s="15"/>
      <c r="S46" s="15"/>
      <c r="T46" s="15"/>
      <c r="U46" s="15"/>
      <c r="V46" s="15"/>
      <c r="W46" s="15"/>
    </row>
    <row r="47" spans="1:23" ht="45" x14ac:dyDescent="0.25">
      <c r="A47" s="14" t="s">
        <v>282</v>
      </c>
      <c r="B47" s="14" t="s">
        <v>68</v>
      </c>
      <c r="C47" s="14"/>
      <c r="D47" s="14" t="s">
        <v>238</v>
      </c>
      <c r="E47" s="14" t="s">
        <v>239</v>
      </c>
      <c r="F47" s="14" t="s">
        <v>68</v>
      </c>
      <c r="G47" s="14" t="s">
        <v>68</v>
      </c>
      <c r="H47" s="14" t="s">
        <v>68</v>
      </c>
      <c r="I47" s="14" t="s">
        <v>68</v>
      </c>
      <c r="J47" s="14" t="s">
        <v>68</v>
      </c>
      <c r="K47" s="14" t="s">
        <v>68</v>
      </c>
      <c r="L47" s="14" t="s">
        <v>68</v>
      </c>
      <c r="M47" s="14"/>
      <c r="N47" s="14"/>
      <c r="O47" s="15"/>
      <c r="P47" s="15"/>
      <c r="Q47" s="15"/>
      <c r="R47" s="15"/>
      <c r="S47" s="15"/>
      <c r="T47" s="15"/>
      <c r="U47" s="15"/>
      <c r="V47" s="15"/>
      <c r="W47" s="15"/>
    </row>
    <row r="48" spans="1:23" ht="45" x14ac:dyDescent="0.25">
      <c r="A48" s="14" t="s">
        <v>283</v>
      </c>
      <c r="B48" s="14" t="s">
        <v>68</v>
      </c>
      <c r="C48" s="14"/>
      <c r="D48" s="14" t="s">
        <v>284</v>
      </c>
      <c r="E48" s="14" t="s">
        <v>285</v>
      </c>
      <c r="F48" s="14" t="s">
        <v>68</v>
      </c>
      <c r="G48" s="14" t="s">
        <v>68</v>
      </c>
      <c r="H48" s="14" t="s">
        <v>68</v>
      </c>
      <c r="I48" s="14" t="s">
        <v>68</v>
      </c>
      <c r="J48" s="14" t="s">
        <v>68</v>
      </c>
      <c r="K48" s="14" t="s">
        <v>68</v>
      </c>
      <c r="L48" s="14" t="s">
        <v>68</v>
      </c>
      <c r="M48" s="14"/>
      <c r="N48" s="14"/>
      <c r="O48" s="15"/>
      <c r="P48" s="15"/>
      <c r="Q48" s="15"/>
      <c r="R48" s="15"/>
      <c r="S48" s="15"/>
      <c r="T48" s="15"/>
      <c r="U48" s="15"/>
      <c r="V48" s="15"/>
      <c r="W48" s="15"/>
    </row>
    <row r="49" spans="1:23" ht="45" x14ac:dyDescent="0.25">
      <c r="A49" s="14" t="s">
        <v>286</v>
      </c>
      <c r="B49" s="14" t="s">
        <v>68</v>
      </c>
      <c r="C49" s="14"/>
      <c r="D49" s="14" t="s">
        <v>284</v>
      </c>
      <c r="E49" s="14" t="s">
        <v>285</v>
      </c>
      <c r="F49" s="14" t="s">
        <v>68</v>
      </c>
      <c r="G49" s="14" t="s">
        <v>68</v>
      </c>
      <c r="H49" s="14" t="s">
        <v>68</v>
      </c>
      <c r="I49" s="14" t="s">
        <v>68</v>
      </c>
      <c r="J49" s="14" t="s">
        <v>68</v>
      </c>
      <c r="K49" s="14" t="s">
        <v>68</v>
      </c>
      <c r="L49" s="14" t="s">
        <v>68</v>
      </c>
      <c r="M49" s="14"/>
      <c r="N49" s="14"/>
      <c r="O49" s="15"/>
      <c r="P49" s="15"/>
      <c r="Q49" s="15"/>
      <c r="R49" s="15"/>
      <c r="S49" s="15"/>
      <c r="T49" s="15"/>
      <c r="U49" s="15"/>
      <c r="V49" s="15"/>
      <c r="W49" s="15"/>
    </row>
    <row r="50" spans="1:23" ht="45" x14ac:dyDescent="0.25">
      <c r="A50" s="14" t="s">
        <v>287</v>
      </c>
      <c r="B50" s="14" t="s">
        <v>68</v>
      </c>
      <c r="C50" s="14"/>
      <c r="D50" s="14" t="s">
        <v>288</v>
      </c>
      <c r="E50" s="14" t="s">
        <v>289</v>
      </c>
      <c r="F50" s="14" t="s">
        <v>68</v>
      </c>
      <c r="G50" s="14" t="s">
        <v>87</v>
      </c>
      <c r="H50" s="14" t="s">
        <v>68</v>
      </c>
      <c r="I50" s="14" t="s">
        <v>68</v>
      </c>
      <c r="J50" s="14" t="s">
        <v>225</v>
      </c>
      <c r="K50" s="14" t="s">
        <v>68</v>
      </c>
      <c r="L50" s="14" t="s">
        <v>68</v>
      </c>
      <c r="M50" s="14"/>
      <c r="N50" s="14"/>
      <c r="O50" s="15"/>
      <c r="P50" s="15"/>
      <c r="Q50" s="15"/>
      <c r="R50" s="15"/>
      <c r="S50" s="15"/>
      <c r="T50" s="15"/>
      <c r="U50" s="15"/>
      <c r="V50" s="15"/>
      <c r="W50" s="15"/>
    </row>
    <row r="51" spans="1:23" ht="45" x14ac:dyDescent="0.25">
      <c r="A51" s="14" t="s">
        <v>290</v>
      </c>
      <c r="B51" s="14" t="s">
        <v>68</v>
      </c>
      <c r="C51" s="14"/>
      <c r="D51" s="14" t="s">
        <v>288</v>
      </c>
      <c r="E51" s="14" t="s">
        <v>291</v>
      </c>
      <c r="F51" s="14" t="s">
        <v>68</v>
      </c>
      <c r="G51" s="14" t="s">
        <v>68</v>
      </c>
      <c r="H51" s="14" t="s">
        <v>68</v>
      </c>
      <c r="I51" s="14" t="s">
        <v>68</v>
      </c>
      <c r="J51" s="14" t="s">
        <v>68</v>
      </c>
      <c r="K51" s="14" t="s">
        <v>68</v>
      </c>
      <c r="L51" s="14" t="s">
        <v>68</v>
      </c>
      <c r="M51" s="14"/>
      <c r="N51" s="14"/>
      <c r="O51" s="15"/>
      <c r="P51" s="15"/>
      <c r="Q51" s="15"/>
      <c r="R51" s="15"/>
      <c r="S51" s="15"/>
      <c r="T51" s="15"/>
      <c r="U51" s="15"/>
      <c r="V51" s="15"/>
      <c r="W51" s="15"/>
    </row>
    <row r="52" spans="1:23" ht="45" x14ac:dyDescent="0.25">
      <c r="A52" s="14" t="s">
        <v>292</v>
      </c>
      <c r="B52" s="14" t="s">
        <v>68</v>
      </c>
      <c r="C52" s="14"/>
      <c r="D52" s="14" t="s">
        <v>246</v>
      </c>
      <c r="E52" s="14" t="s">
        <v>247</v>
      </c>
      <c r="F52" s="14" t="s">
        <v>68</v>
      </c>
      <c r="G52" s="14" t="s">
        <v>102</v>
      </c>
      <c r="H52" s="14" t="s">
        <v>68</v>
      </c>
      <c r="I52" s="14" t="s">
        <v>68</v>
      </c>
      <c r="J52" s="14" t="s">
        <v>102</v>
      </c>
      <c r="K52" s="14" t="s">
        <v>68</v>
      </c>
      <c r="L52" s="14" t="s">
        <v>68</v>
      </c>
      <c r="M52" s="14"/>
      <c r="N52" s="14"/>
      <c r="O52" s="15"/>
      <c r="P52" s="15"/>
      <c r="Q52" s="15"/>
      <c r="R52" s="15"/>
      <c r="S52" s="15"/>
      <c r="T52" s="15"/>
      <c r="U52" s="15"/>
      <c r="V52" s="15"/>
      <c r="W52" s="15"/>
    </row>
    <row r="53" spans="1:23" ht="60" x14ac:dyDescent="0.25">
      <c r="A53" s="14" t="s">
        <v>293</v>
      </c>
      <c r="B53" s="14" t="s">
        <v>68</v>
      </c>
      <c r="C53" s="14"/>
      <c r="D53" s="14" t="s">
        <v>208</v>
      </c>
      <c r="E53" s="14" t="s">
        <v>209</v>
      </c>
      <c r="F53" s="14" t="s">
        <v>68</v>
      </c>
      <c r="G53" s="14" t="s">
        <v>148</v>
      </c>
      <c r="H53" s="14" t="s">
        <v>68</v>
      </c>
      <c r="I53" s="14" t="s">
        <v>68</v>
      </c>
      <c r="J53" s="14" t="s">
        <v>102</v>
      </c>
      <c r="K53" s="14" t="s">
        <v>68</v>
      </c>
      <c r="L53" s="14" t="s">
        <v>68</v>
      </c>
      <c r="M53" s="14"/>
      <c r="N53" s="14"/>
      <c r="O53" s="15"/>
      <c r="P53" s="15"/>
      <c r="Q53" s="15"/>
      <c r="R53" s="15"/>
      <c r="S53" s="15"/>
      <c r="T53" s="15"/>
      <c r="U53" s="15"/>
      <c r="V53" s="15"/>
      <c r="W53" s="15"/>
    </row>
    <row r="54" spans="1:23" ht="45" x14ac:dyDescent="0.25">
      <c r="A54" s="14" t="s">
        <v>294</v>
      </c>
      <c r="B54" s="14" t="s">
        <v>68</v>
      </c>
      <c r="C54" s="14"/>
      <c r="D54" s="14" t="s">
        <v>284</v>
      </c>
      <c r="E54" s="14" t="s">
        <v>285</v>
      </c>
      <c r="F54" s="14" t="s">
        <v>68</v>
      </c>
      <c r="G54" s="14" t="s">
        <v>68</v>
      </c>
      <c r="H54" s="14" t="s">
        <v>68</v>
      </c>
      <c r="I54" s="14" t="s">
        <v>68</v>
      </c>
      <c r="J54" s="14" t="s">
        <v>68</v>
      </c>
      <c r="K54" s="14" t="s">
        <v>68</v>
      </c>
      <c r="L54" s="14" t="s">
        <v>68</v>
      </c>
      <c r="M54" s="14"/>
      <c r="N54" s="14"/>
      <c r="O54" s="15"/>
      <c r="P54" s="15"/>
      <c r="Q54" s="15"/>
      <c r="R54" s="15"/>
      <c r="S54" s="15"/>
      <c r="T54" s="15"/>
      <c r="U54" s="15"/>
      <c r="V54" s="15"/>
      <c r="W54" s="15"/>
    </row>
    <row r="55" spans="1:23" ht="45" x14ac:dyDescent="0.25">
      <c r="A55" s="14" t="s">
        <v>295</v>
      </c>
      <c r="B55" s="14" t="s">
        <v>68</v>
      </c>
      <c r="C55" s="14"/>
      <c r="D55" s="14" t="s">
        <v>288</v>
      </c>
      <c r="E55" s="14" t="s">
        <v>296</v>
      </c>
      <c r="F55" s="14" t="s">
        <v>68</v>
      </c>
      <c r="G55" s="14" t="s">
        <v>68</v>
      </c>
      <c r="H55" s="14" t="s">
        <v>68</v>
      </c>
      <c r="I55" s="14" t="s">
        <v>68</v>
      </c>
      <c r="J55" s="14" t="s">
        <v>68</v>
      </c>
      <c r="K55" s="14" t="s">
        <v>68</v>
      </c>
      <c r="L55" s="14" t="s">
        <v>68</v>
      </c>
      <c r="M55" s="14"/>
      <c r="N55" s="14"/>
      <c r="O55" s="15"/>
      <c r="P55" s="15"/>
      <c r="Q55" s="15"/>
      <c r="R55" s="15"/>
      <c r="S55" s="15"/>
      <c r="T55" s="15"/>
      <c r="U55" s="15"/>
      <c r="V55" s="15"/>
      <c r="W55" s="15"/>
    </row>
    <row r="56" spans="1:23" ht="45" x14ac:dyDescent="0.25">
      <c r="A56" s="14" t="s">
        <v>297</v>
      </c>
      <c r="B56" s="14" t="s">
        <v>68</v>
      </c>
      <c r="C56" s="14"/>
      <c r="D56" s="14" t="s">
        <v>238</v>
      </c>
      <c r="E56" s="14" t="s">
        <v>239</v>
      </c>
      <c r="F56" s="14" t="s">
        <v>68</v>
      </c>
      <c r="G56" s="14" t="s">
        <v>78</v>
      </c>
      <c r="H56" s="14" t="s">
        <v>68</v>
      </c>
      <c r="I56" s="14" t="s">
        <v>68</v>
      </c>
      <c r="J56" s="14" t="s">
        <v>201</v>
      </c>
      <c r="K56" s="14" t="s">
        <v>68</v>
      </c>
      <c r="L56" s="14" t="s">
        <v>68</v>
      </c>
      <c r="M56" s="14"/>
      <c r="N56" s="14"/>
      <c r="O56" s="15"/>
      <c r="P56" s="15"/>
      <c r="Q56" s="15"/>
      <c r="R56" s="15"/>
      <c r="S56" s="15"/>
      <c r="T56" s="15"/>
      <c r="U56" s="15"/>
      <c r="V56" s="15"/>
      <c r="W56" s="15"/>
    </row>
    <row r="57" spans="1:23" ht="45" x14ac:dyDescent="0.25">
      <c r="A57" s="14" t="s">
        <v>298</v>
      </c>
      <c r="B57" s="14" t="s">
        <v>68</v>
      </c>
      <c r="C57" s="14"/>
      <c r="D57" s="14" t="s">
        <v>256</v>
      </c>
      <c r="E57" s="14" t="s">
        <v>291</v>
      </c>
      <c r="F57" s="14" t="s">
        <v>68</v>
      </c>
      <c r="G57" s="14" t="s">
        <v>68</v>
      </c>
      <c r="H57" s="14" t="s">
        <v>68</v>
      </c>
      <c r="I57" s="14" t="s">
        <v>68</v>
      </c>
      <c r="J57" s="14" t="s">
        <v>68</v>
      </c>
      <c r="K57" s="14" t="s">
        <v>68</v>
      </c>
      <c r="L57" s="14" t="s">
        <v>68</v>
      </c>
      <c r="M57" s="14"/>
      <c r="N57" s="14"/>
      <c r="O57" s="15"/>
      <c r="P57" s="15"/>
      <c r="Q57" s="15"/>
      <c r="R57" s="15"/>
      <c r="S57" s="15"/>
      <c r="T57" s="15"/>
      <c r="U57" s="15"/>
      <c r="V57" s="15"/>
      <c r="W57" s="15"/>
    </row>
    <row r="58" spans="1:23" x14ac:dyDescent="0.25">
      <c r="A58" s="14" t="s">
        <v>299</v>
      </c>
      <c r="B58" s="14" t="s">
        <v>68</v>
      </c>
      <c r="C58" s="14"/>
      <c r="D58" s="14" t="s">
        <v>68</v>
      </c>
      <c r="E58" s="14" t="s">
        <v>68</v>
      </c>
      <c r="F58" s="14" t="s">
        <v>88</v>
      </c>
      <c r="G58" s="14" t="s">
        <v>68</v>
      </c>
      <c r="H58" s="14" t="s">
        <v>68</v>
      </c>
      <c r="I58" s="14" t="s">
        <v>68</v>
      </c>
      <c r="J58" s="14" t="s">
        <v>102</v>
      </c>
      <c r="K58" s="14" t="s">
        <v>68</v>
      </c>
      <c r="L58" s="14" t="s">
        <v>68</v>
      </c>
      <c r="M58" s="14"/>
      <c r="N58" s="14"/>
      <c r="O58" s="15"/>
      <c r="P58" s="15"/>
      <c r="Q58" s="15"/>
      <c r="R58" s="15"/>
      <c r="S58" s="15"/>
      <c r="T58" s="15"/>
      <c r="U58" s="15"/>
      <c r="V58" s="15"/>
      <c r="W58" s="15"/>
    </row>
    <row r="59" spans="1:23" x14ac:dyDescent="0.25">
      <c r="A59" s="14" t="s">
        <v>300</v>
      </c>
      <c r="B59" s="14" t="s">
        <v>68</v>
      </c>
      <c r="C59" s="14"/>
      <c r="D59" s="14" t="s">
        <v>68</v>
      </c>
      <c r="E59" s="14" t="s">
        <v>68</v>
      </c>
      <c r="F59" s="14" t="s">
        <v>102</v>
      </c>
      <c r="G59" s="14" t="s">
        <v>68</v>
      </c>
      <c r="H59" s="14" t="s">
        <v>68</v>
      </c>
      <c r="I59" s="14" t="s">
        <v>68</v>
      </c>
      <c r="J59" s="14" t="s">
        <v>102</v>
      </c>
      <c r="K59" s="14" t="s">
        <v>68</v>
      </c>
      <c r="L59" s="14" t="s">
        <v>68</v>
      </c>
      <c r="M59" s="14"/>
      <c r="N59" s="14"/>
      <c r="O59" s="15"/>
      <c r="P59" s="15"/>
      <c r="Q59" s="15"/>
      <c r="R59" s="15"/>
      <c r="S59" s="15"/>
      <c r="T59" s="15"/>
      <c r="U59" s="15"/>
      <c r="V59" s="15"/>
      <c r="W59" s="15"/>
    </row>
    <row r="60" spans="1:23" ht="45" x14ac:dyDescent="0.25">
      <c r="A60" s="14" t="s">
        <v>301</v>
      </c>
      <c r="B60" s="14" t="s">
        <v>68</v>
      </c>
      <c r="C60" s="14"/>
      <c r="D60" s="14" t="s">
        <v>199</v>
      </c>
      <c r="E60" s="14" t="s">
        <v>68</v>
      </c>
      <c r="F60" s="14" t="s">
        <v>68</v>
      </c>
      <c r="G60" s="14" t="s">
        <v>68</v>
      </c>
      <c r="H60" s="14" t="s">
        <v>68</v>
      </c>
      <c r="I60" s="14" t="s">
        <v>68</v>
      </c>
      <c r="J60" s="14" t="s">
        <v>68</v>
      </c>
      <c r="K60" s="14" t="s">
        <v>68</v>
      </c>
      <c r="L60" s="14" t="s">
        <v>68</v>
      </c>
      <c r="M60" s="14"/>
      <c r="N60" s="14"/>
      <c r="O60" s="15"/>
      <c r="P60" s="15"/>
      <c r="Q60" s="15"/>
      <c r="R60" s="15"/>
      <c r="S60" s="15"/>
      <c r="T60" s="15"/>
      <c r="U60" s="15"/>
      <c r="V60" s="15"/>
      <c r="W60" s="15"/>
    </row>
    <row r="61" spans="1:23" ht="45" x14ac:dyDescent="0.25">
      <c r="A61" s="14" t="s">
        <v>302</v>
      </c>
      <c r="B61" s="14" t="s">
        <v>68</v>
      </c>
      <c r="C61" s="14"/>
      <c r="D61" s="14" t="s">
        <v>238</v>
      </c>
      <c r="E61" s="14" t="s">
        <v>239</v>
      </c>
      <c r="F61" s="14" t="s">
        <v>68</v>
      </c>
      <c r="G61" s="14" t="s">
        <v>68</v>
      </c>
      <c r="H61" s="14" t="s">
        <v>68</v>
      </c>
      <c r="I61" s="14" t="s">
        <v>68</v>
      </c>
      <c r="J61" s="14" t="s">
        <v>68</v>
      </c>
      <c r="K61" s="14" t="s">
        <v>68</v>
      </c>
      <c r="L61" s="14" t="s">
        <v>68</v>
      </c>
      <c r="M61" s="14"/>
      <c r="N61" s="14"/>
      <c r="O61" s="15"/>
      <c r="P61" s="15"/>
      <c r="Q61" s="15"/>
      <c r="R61" s="15"/>
      <c r="S61" s="15"/>
      <c r="T61" s="15"/>
      <c r="U61" s="15"/>
      <c r="V61" s="15"/>
      <c r="W61" s="15"/>
    </row>
    <row r="62" spans="1:23" ht="60" x14ac:dyDescent="0.25">
      <c r="A62" s="14" t="s">
        <v>303</v>
      </c>
      <c r="B62" s="14" t="s">
        <v>68</v>
      </c>
      <c r="C62" s="14"/>
      <c r="D62" s="14" t="s">
        <v>208</v>
      </c>
      <c r="E62" s="14" t="s">
        <v>209</v>
      </c>
      <c r="F62" s="14" t="s">
        <v>68</v>
      </c>
      <c r="G62" s="14" t="s">
        <v>148</v>
      </c>
      <c r="H62" s="14" t="s">
        <v>68</v>
      </c>
      <c r="I62" s="14" t="s">
        <v>68</v>
      </c>
      <c r="J62" s="14" t="s">
        <v>102</v>
      </c>
      <c r="K62" s="14" t="s">
        <v>68</v>
      </c>
      <c r="L62" s="14" t="s">
        <v>68</v>
      </c>
      <c r="M62" s="14"/>
      <c r="N62" s="14"/>
      <c r="O62" s="15"/>
      <c r="P62" s="15"/>
      <c r="Q62" s="15"/>
      <c r="R62" s="15"/>
      <c r="S62" s="15"/>
      <c r="T62" s="15"/>
      <c r="U62" s="15"/>
      <c r="V62" s="15"/>
      <c r="W62" s="15"/>
    </row>
    <row r="63" spans="1:23" ht="45" x14ac:dyDescent="0.25">
      <c r="A63" s="14" t="s">
        <v>304</v>
      </c>
      <c r="B63" s="14" t="s">
        <v>68</v>
      </c>
      <c r="C63" s="14"/>
      <c r="D63" s="14" t="s">
        <v>199</v>
      </c>
      <c r="E63" s="14" t="s">
        <v>68</v>
      </c>
      <c r="F63" s="14" t="s">
        <v>68</v>
      </c>
      <c r="G63" s="14" t="s">
        <v>78</v>
      </c>
      <c r="H63" s="14" t="s">
        <v>68</v>
      </c>
      <c r="I63" s="14" t="s">
        <v>68</v>
      </c>
      <c r="J63" s="14" t="s">
        <v>201</v>
      </c>
      <c r="K63" s="14" t="s">
        <v>68</v>
      </c>
      <c r="L63" s="14" t="s">
        <v>68</v>
      </c>
      <c r="M63" s="14"/>
      <c r="N63" s="14"/>
      <c r="O63" s="15"/>
      <c r="P63" s="15"/>
      <c r="Q63" s="15"/>
      <c r="R63" s="15"/>
      <c r="S63" s="15"/>
      <c r="T63" s="15"/>
      <c r="U63" s="15"/>
      <c r="V63" s="15"/>
      <c r="W63" s="15"/>
    </row>
    <row r="64" spans="1:23" ht="45" x14ac:dyDescent="0.25">
      <c r="A64" s="14" t="s">
        <v>305</v>
      </c>
      <c r="B64" s="14" t="s">
        <v>68</v>
      </c>
      <c r="C64" s="14"/>
      <c r="D64" s="14" t="s">
        <v>288</v>
      </c>
      <c r="E64" s="14" t="s">
        <v>291</v>
      </c>
      <c r="F64" s="14" t="s">
        <v>68</v>
      </c>
      <c r="G64" s="14" t="s">
        <v>87</v>
      </c>
      <c r="H64" s="14" t="s">
        <v>68</v>
      </c>
      <c r="I64" s="14" t="s">
        <v>68</v>
      </c>
      <c r="J64" s="14" t="s">
        <v>225</v>
      </c>
      <c r="K64" s="14" t="s">
        <v>68</v>
      </c>
      <c r="L64" s="14" t="s">
        <v>68</v>
      </c>
      <c r="M64" s="14"/>
      <c r="N64" s="14"/>
      <c r="O64" s="15"/>
      <c r="P64" s="15"/>
      <c r="Q64" s="15"/>
      <c r="R64" s="15"/>
      <c r="S64" s="15"/>
      <c r="T64" s="15"/>
      <c r="U64" s="15"/>
      <c r="V64" s="15"/>
      <c r="W64" s="15"/>
    </row>
    <row r="65" spans="1:23" ht="45" x14ac:dyDescent="0.25">
      <c r="A65" s="14" t="s">
        <v>306</v>
      </c>
      <c r="B65" s="14" t="s">
        <v>68</v>
      </c>
      <c r="C65" s="14"/>
      <c r="D65" s="14" t="s">
        <v>199</v>
      </c>
      <c r="E65" s="14" t="s">
        <v>68</v>
      </c>
      <c r="F65" s="14" t="s">
        <v>68</v>
      </c>
      <c r="G65" s="14" t="s">
        <v>78</v>
      </c>
      <c r="H65" s="14" t="s">
        <v>68</v>
      </c>
      <c r="I65" s="14" t="s">
        <v>68</v>
      </c>
      <c r="J65" s="14" t="s">
        <v>201</v>
      </c>
      <c r="K65" s="14" t="s">
        <v>68</v>
      </c>
      <c r="L65" s="14" t="s">
        <v>68</v>
      </c>
      <c r="M65" s="14"/>
      <c r="N65" s="14"/>
      <c r="O65" s="15"/>
      <c r="P65" s="15"/>
      <c r="Q65" s="15"/>
      <c r="R65" s="15"/>
      <c r="S65" s="15"/>
      <c r="T65" s="15"/>
      <c r="U65" s="15"/>
      <c r="V65" s="15"/>
      <c r="W65" s="15"/>
    </row>
    <row r="66" spans="1:23" ht="45" x14ac:dyDescent="0.25">
      <c r="A66" s="14" t="s">
        <v>307</v>
      </c>
      <c r="B66" s="14" t="s">
        <v>68</v>
      </c>
      <c r="C66" s="14"/>
      <c r="D66" s="14" t="s">
        <v>211</v>
      </c>
      <c r="E66" s="14" t="s">
        <v>212</v>
      </c>
      <c r="F66" s="14" t="s">
        <v>308</v>
      </c>
      <c r="G66" s="14" t="s">
        <v>68</v>
      </c>
      <c r="H66" s="14" t="s">
        <v>68</v>
      </c>
      <c r="I66" s="14" t="s">
        <v>68</v>
      </c>
      <c r="J66" s="14" t="s">
        <v>309</v>
      </c>
      <c r="K66" s="14" t="s">
        <v>68</v>
      </c>
      <c r="L66" s="14" t="s">
        <v>68</v>
      </c>
      <c r="M66" s="14"/>
      <c r="N66" s="14"/>
      <c r="O66" s="15"/>
      <c r="P66" s="15"/>
      <c r="Q66" s="15"/>
      <c r="R66" s="15"/>
      <c r="S66" s="15"/>
      <c r="T66" s="15"/>
      <c r="U66" s="15"/>
      <c r="V66" s="15"/>
      <c r="W66" s="15"/>
    </row>
    <row r="67" spans="1:23" ht="45" x14ac:dyDescent="0.25">
      <c r="A67" s="14" t="s">
        <v>310</v>
      </c>
      <c r="B67" s="14" t="s">
        <v>68</v>
      </c>
      <c r="C67" s="14"/>
      <c r="D67" s="14" t="s">
        <v>256</v>
      </c>
      <c r="E67" s="14" t="s">
        <v>223</v>
      </c>
      <c r="F67" s="14" t="s">
        <v>68</v>
      </c>
      <c r="G67" s="14" t="s">
        <v>68</v>
      </c>
      <c r="H67" s="14" t="s">
        <v>68</v>
      </c>
      <c r="I67" s="14" t="s">
        <v>68</v>
      </c>
      <c r="J67" s="14" t="s">
        <v>68</v>
      </c>
      <c r="K67" s="14" t="s">
        <v>68</v>
      </c>
      <c r="L67" s="14" t="s">
        <v>68</v>
      </c>
      <c r="M67" s="14"/>
      <c r="N67" s="14"/>
      <c r="O67" s="15"/>
      <c r="P67" s="15"/>
      <c r="Q67" s="15"/>
      <c r="R67" s="15"/>
      <c r="S67" s="15"/>
      <c r="T67" s="15"/>
      <c r="U67" s="15"/>
      <c r="V67" s="15"/>
      <c r="W67" s="15"/>
    </row>
    <row r="68" spans="1:23" ht="45" x14ac:dyDescent="0.25">
      <c r="A68" s="14" t="s">
        <v>311</v>
      </c>
      <c r="B68" s="14" t="s">
        <v>68</v>
      </c>
      <c r="C68" s="14"/>
      <c r="D68" s="14" t="s">
        <v>312</v>
      </c>
      <c r="E68" s="14" t="s">
        <v>205</v>
      </c>
      <c r="F68" s="14" t="s">
        <v>68</v>
      </c>
      <c r="G68" s="14" t="s">
        <v>68</v>
      </c>
      <c r="H68" s="14" t="s">
        <v>68</v>
      </c>
      <c r="I68" s="14" t="s">
        <v>68</v>
      </c>
      <c r="J68" s="14" t="s">
        <v>68</v>
      </c>
      <c r="K68" s="14" t="s">
        <v>68</v>
      </c>
      <c r="L68" s="14" t="s">
        <v>68</v>
      </c>
      <c r="M68" s="14"/>
      <c r="N68" s="14"/>
      <c r="O68" s="15"/>
      <c r="P68" s="15"/>
      <c r="Q68" s="15"/>
      <c r="R68" s="15"/>
      <c r="S68" s="15"/>
      <c r="T68" s="15"/>
      <c r="U68" s="15"/>
      <c r="V68" s="15"/>
      <c r="W68" s="15"/>
    </row>
    <row r="69" spans="1:23" ht="60" x14ac:dyDescent="0.25">
      <c r="A69" s="14" t="s">
        <v>313</v>
      </c>
      <c r="B69" s="14" t="s">
        <v>68</v>
      </c>
      <c r="C69" s="14"/>
      <c r="D69" s="14" t="s">
        <v>314</v>
      </c>
      <c r="E69" s="14" t="s">
        <v>68</v>
      </c>
      <c r="F69" s="14" t="s">
        <v>68</v>
      </c>
      <c r="G69" s="14" t="s">
        <v>315</v>
      </c>
      <c r="H69" s="14" t="s">
        <v>68</v>
      </c>
      <c r="I69" s="14" t="s">
        <v>68</v>
      </c>
      <c r="J69" s="14" t="s">
        <v>68</v>
      </c>
      <c r="K69" s="14" t="s">
        <v>68</v>
      </c>
      <c r="L69" s="14" t="s">
        <v>68</v>
      </c>
      <c r="M69" s="14"/>
      <c r="N69" s="14"/>
      <c r="O69" s="15"/>
      <c r="P69" s="15"/>
      <c r="Q69" s="15"/>
      <c r="R69" s="15"/>
      <c r="S69" s="15"/>
      <c r="T69" s="15"/>
      <c r="U69" s="15"/>
      <c r="V69" s="15"/>
      <c r="W69" s="15"/>
    </row>
    <row r="70" spans="1:23" ht="45" x14ac:dyDescent="0.25">
      <c r="A70" s="14" t="s">
        <v>316</v>
      </c>
      <c r="B70" s="14" t="s">
        <v>68</v>
      </c>
      <c r="C70" s="14"/>
      <c r="D70" s="14" t="s">
        <v>204</v>
      </c>
      <c r="E70" s="14" t="s">
        <v>205</v>
      </c>
      <c r="F70" s="14" t="s">
        <v>68</v>
      </c>
      <c r="G70" s="14" t="s">
        <v>68</v>
      </c>
      <c r="H70" s="14" t="s">
        <v>68</v>
      </c>
      <c r="I70" s="14" t="s">
        <v>68</v>
      </c>
      <c r="J70" s="14" t="s">
        <v>68</v>
      </c>
      <c r="K70" s="14" t="s">
        <v>68</v>
      </c>
      <c r="L70" s="14" t="s">
        <v>68</v>
      </c>
      <c r="M70" s="14"/>
      <c r="N70" s="14"/>
      <c r="O70" s="15"/>
      <c r="P70" s="15"/>
      <c r="Q70" s="15"/>
      <c r="R70" s="15"/>
      <c r="S70" s="15"/>
      <c r="T70" s="15"/>
      <c r="U70" s="15"/>
      <c r="V70" s="15"/>
      <c r="W70" s="15"/>
    </row>
    <row r="71" spans="1:23" ht="45" x14ac:dyDescent="0.25">
      <c r="A71" s="14" t="s">
        <v>317</v>
      </c>
      <c r="B71" s="14" t="s">
        <v>68</v>
      </c>
      <c r="C71" s="14"/>
      <c r="D71" s="14" t="s">
        <v>284</v>
      </c>
      <c r="E71" s="14" t="s">
        <v>285</v>
      </c>
      <c r="F71" s="14" t="s">
        <v>68</v>
      </c>
      <c r="G71" s="14" t="s">
        <v>68</v>
      </c>
      <c r="H71" s="14" t="s">
        <v>68</v>
      </c>
      <c r="I71" s="14" t="s">
        <v>68</v>
      </c>
      <c r="J71" s="14" t="s">
        <v>68</v>
      </c>
      <c r="K71" s="14" t="s">
        <v>68</v>
      </c>
      <c r="L71" s="14" t="s">
        <v>68</v>
      </c>
      <c r="M71" s="14"/>
      <c r="N71" s="14"/>
      <c r="O71" s="15"/>
      <c r="P71" s="15"/>
      <c r="Q71" s="15"/>
      <c r="R71" s="15"/>
      <c r="S71" s="15"/>
      <c r="T71" s="15"/>
      <c r="U71" s="15"/>
      <c r="V71" s="15"/>
      <c r="W71" s="15"/>
    </row>
    <row r="72" spans="1:23" ht="45" x14ac:dyDescent="0.25">
      <c r="A72" s="14" t="s">
        <v>318</v>
      </c>
      <c r="B72" s="14" t="s">
        <v>68</v>
      </c>
      <c r="C72" s="14"/>
      <c r="D72" s="14" t="s">
        <v>263</v>
      </c>
      <c r="E72" s="14" t="s">
        <v>68</v>
      </c>
      <c r="F72" s="14" t="s">
        <v>68</v>
      </c>
      <c r="G72" s="14" t="s">
        <v>68</v>
      </c>
      <c r="H72" s="14" t="s">
        <v>68</v>
      </c>
      <c r="I72" s="14" t="s">
        <v>68</v>
      </c>
      <c r="J72" s="14" t="s">
        <v>68</v>
      </c>
      <c r="K72" s="14" t="s">
        <v>68</v>
      </c>
      <c r="L72" s="14" t="s">
        <v>68</v>
      </c>
      <c r="M72" s="14"/>
      <c r="N72" s="14"/>
      <c r="O72" s="15"/>
      <c r="P72" s="15"/>
      <c r="Q72" s="15"/>
      <c r="R72" s="15"/>
      <c r="S72" s="15"/>
      <c r="T72" s="15"/>
      <c r="U72" s="15"/>
      <c r="V72" s="15"/>
      <c r="W72" s="15"/>
    </row>
    <row r="73" spans="1:23" ht="45" x14ac:dyDescent="0.25">
      <c r="A73" s="14" t="s">
        <v>319</v>
      </c>
      <c r="B73" s="14" t="s">
        <v>68</v>
      </c>
      <c r="C73" s="14"/>
      <c r="D73" s="14" t="s">
        <v>320</v>
      </c>
      <c r="E73" s="14" t="s">
        <v>233</v>
      </c>
      <c r="F73" s="14" t="s">
        <v>68</v>
      </c>
      <c r="G73" s="14" t="s">
        <v>68</v>
      </c>
      <c r="H73" s="14" t="s">
        <v>68</v>
      </c>
      <c r="I73" s="14" t="s">
        <v>68</v>
      </c>
      <c r="J73" s="14" t="s">
        <v>68</v>
      </c>
      <c r="K73" s="14" t="s">
        <v>68</v>
      </c>
      <c r="L73" s="14" t="s">
        <v>68</v>
      </c>
      <c r="M73" s="14"/>
      <c r="N73" s="14"/>
      <c r="O73" s="15"/>
      <c r="P73" s="15"/>
      <c r="Q73" s="15"/>
      <c r="R73" s="15"/>
      <c r="S73" s="15"/>
      <c r="T73" s="15"/>
      <c r="U73" s="15"/>
      <c r="V73" s="15"/>
      <c r="W73" s="15"/>
    </row>
    <row r="74" spans="1:23" ht="45" x14ac:dyDescent="0.25">
      <c r="A74" s="14" t="s">
        <v>321</v>
      </c>
      <c r="B74" s="14" t="s">
        <v>68</v>
      </c>
      <c r="C74" s="14"/>
      <c r="D74" s="14" t="s">
        <v>219</v>
      </c>
      <c r="E74" s="14" t="s">
        <v>220</v>
      </c>
      <c r="F74" s="14" t="s">
        <v>68</v>
      </c>
      <c r="G74" s="14" t="s">
        <v>125</v>
      </c>
      <c r="H74" s="14" t="s">
        <v>68</v>
      </c>
      <c r="I74" s="14" t="s">
        <v>68</v>
      </c>
      <c r="J74" s="14" t="s">
        <v>201</v>
      </c>
      <c r="K74" s="14" t="s">
        <v>68</v>
      </c>
      <c r="L74" s="14" t="s">
        <v>68</v>
      </c>
      <c r="M74" s="14"/>
      <c r="N74" s="14"/>
      <c r="O74" s="15"/>
      <c r="P74" s="15"/>
      <c r="Q74" s="15"/>
      <c r="R74" s="15"/>
      <c r="S74" s="15"/>
      <c r="T74" s="15"/>
      <c r="U74" s="15"/>
      <c r="V74" s="15"/>
      <c r="W74" s="15"/>
    </row>
    <row r="75" spans="1:23" ht="45" x14ac:dyDescent="0.25">
      <c r="A75" s="14" t="s">
        <v>322</v>
      </c>
      <c r="B75" s="14" t="s">
        <v>68</v>
      </c>
      <c r="C75" s="14"/>
      <c r="D75" s="14" t="s">
        <v>256</v>
      </c>
      <c r="E75" s="14" t="s">
        <v>291</v>
      </c>
      <c r="F75" s="14" t="s">
        <v>68</v>
      </c>
      <c r="G75" s="14" t="s">
        <v>68</v>
      </c>
      <c r="H75" s="14" t="s">
        <v>68</v>
      </c>
      <c r="I75" s="14" t="s">
        <v>68</v>
      </c>
      <c r="J75" s="14" t="s">
        <v>68</v>
      </c>
      <c r="K75" s="14" t="s">
        <v>68</v>
      </c>
      <c r="L75" s="14" t="s">
        <v>68</v>
      </c>
      <c r="M75" s="14"/>
      <c r="N75" s="14"/>
      <c r="O75" s="15"/>
      <c r="P75" s="15"/>
      <c r="Q75" s="15"/>
      <c r="R75" s="15"/>
      <c r="S75" s="15"/>
      <c r="T75" s="15"/>
      <c r="U75" s="15"/>
      <c r="V75" s="15"/>
      <c r="W75" s="15"/>
    </row>
    <row r="76" spans="1:23" ht="45" x14ac:dyDescent="0.25">
      <c r="A76" s="14" t="s">
        <v>323</v>
      </c>
      <c r="B76" s="14" t="s">
        <v>68</v>
      </c>
      <c r="C76" s="14"/>
      <c r="D76" s="14" t="s">
        <v>241</v>
      </c>
      <c r="E76" s="14" t="s">
        <v>236</v>
      </c>
      <c r="F76" s="14" t="s">
        <v>91</v>
      </c>
      <c r="G76" s="14" t="s">
        <v>68</v>
      </c>
      <c r="H76" s="14" t="s">
        <v>68</v>
      </c>
      <c r="I76" s="14" t="s">
        <v>68</v>
      </c>
      <c r="J76" s="14" t="s">
        <v>201</v>
      </c>
      <c r="K76" s="14" t="s">
        <v>68</v>
      </c>
      <c r="L76" s="14" t="s">
        <v>68</v>
      </c>
      <c r="M76" s="14"/>
      <c r="N76" s="14"/>
      <c r="O76" s="15"/>
      <c r="P76" s="15"/>
      <c r="Q76" s="15"/>
      <c r="R76" s="15"/>
      <c r="S76" s="15"/>
      <c r="T76" s="15"/>
      <c r="U76" s="15"/>
      <c r="V76" s="15"/>
      <c r="W76" s="15"/>
    </row>
    <row r="77" spans="1:23" ht="45" x14ac:dyDescent="0.25">
      <c r="A77" s="14" t="s">
        <v>324</v>
      </c>
      <c r="B77" s="14" t="s">
        <v>68</v>
      </c>
      <c r="C77" s="14"/>
      <c r="D77" s="14" t="s">
        <v>325</v>
      </c>
      <c r="E77" s="14" t="s">
        <v>326</v>
      </c>
      <c r="F77" s="14" t="s">
        <v>68</v>
      </c>
      <c r="G77" s="14" t="s">
        <v>68</v>
      </c>
      <c r="H77" s="14" t="s">
        <v>68</v>
      </c>
      <c r="I77" s="14" t="s">
        <v>68</v>
      </c>
      <c r="J77" s="14" t="s">
        <v>68</v>
      </c>
      <c r="K77" s="14" t="s">
        <v>68</v>
      </c>
      <c r="L77" s="14" t="s">
        <v>68</v>
      </c>
      <c r="M77" s="14"/>
      <c r="N77" s="14"/>
      <c r="O77" s="15"/>
      <c r="P77" s="15"/>
      <c r="Q77" s="15"/>
      <c r="R77" s="15"/>
      <c r="S77" s="15"/>
      <c r="T77" s="15"/>
      <c r="U77" s="15"/>
      <c r="V77" s="15"/>
      <c r="W77" s="15"/>
    </row>
    <row r="78" spans="1:23" ht="45" x14ac:dyDescent="0.25">
      <c r="A78" s="14" t="s">
        <v>327</v>
      </c>
      <c r="B78" s="14" t="s">
        <v>68</v>
      </c>
      <c r="C78" s="14"/>
      <c r="D78" s="14" t="s">
        <v>328</v>
      </c>
      <c r="E78" s="14" t="s">
        <v>296</v>
      </c>
      <c r="F78" s="14" t="s">
        <v>68</v>
      </c>
      <c r="G78" s="14" t="s">
        <v>68</v>
      </c>
      <c r="H78" s="14" t="s">
        <v>68</v>
      </c>
      <c r="I78" s="14" t="s">
        <v>68</v>
      </c>
      <c r="J78" s="14" t="s">
        <v>68</v>
      </c>
      <c r="K78" s="14" t="s">
        <v>68</v>
      </c>
      <c r="L78" s="14" t="s">
        <v>68</v>
      </c>
      <c r="M78" s="14"/>
      <c r="N78" s="14"/>
      <c r="O78" s="15"/>
      <c r="P78" s="15"/>
      <c r="Q78" s="15"/>
      <c r="R78" s="15"/>
      <c r="S78" s="15"/>
      <c r="T78" s="15"/>
      <c r="U78" s="15"/>
      <c r="V78" s="15"/>
      <c r="W78" s="15"/>
    </row>
    <row r="79" spans="1:23" x14ac:dyDescent="0.25">
      <c r="A79" s="14" t="s">
        <v>329</v>
      </c>
      <c r="B79" s="14" t="s">
        <v>68</v>
      </c>
      <c r="C79" s="14"/>
      <c r="D79" s="14" t="s">
        <v>68</v>
      </c>
      <c r="E79" s="14" t="s">
        <v>68</v>
      </c>
      <c r="F79" s="14" t="s">
        <v>159</v>
      </c>
      <c r="G79" s="14" t="s">
        <v>68</v>
      </c>
      <c r="H79" s="14" t="s">
        <v>68</v>
      </c>
      <c r="I79" s="14" t="s">
        <v>68</v>
      </c>
      <c r="J79" s="14" t="s">
        <v>102</v>
      </c>
      <c r="K79" s="14" t="s">
        <v>68</v>
      </c>
      <c r="L79" s="14" t="s">
        <v>68</v>
      </c>
      <c r="M79" s="14"/>
      <c r="N79" s="14"/>
      <c r="O79" s="15"/>
      <c r="P79" s="15"/>
      <c r="Q79" s="15"/>
      <c r="R79" s="15"/>
      <c r="S79" s="15"/>
      <c r="T79" s="15"/>
      <c r="U79" s="15"/>
      <c r="V79" s="15"/>
      <c r="W79" s="15"/>
    </row>
    <row r="80" spans="1:23" ht="45" x14ac:dyDescent="0.25">
      <c r="A80" s="14" t="s">
        <v>330</v>
      </c>
      <c r="B80" s="14" t="s">
        <v>68</v>
      </c>
      <c r="C80" s="14"/>
      <c r="D80" s="14" t="s">
        <v>229</v>
      </c>
      <c r="E80" s="14" t="s">
        <v>230</v>
      </c>
      <c r="F80" s="14" t="s">
        <v>68</v>
      </c>
      <c r="G80" s="14" t="s">
        <v>135</v>
      </c>
      <c r="H80" s="14" t="s">
        <v>68</v>
      </c>
      <c r="I80" s="14" t="s">
        <v>68</v>
      </c>
      <c r="J80" s="14" t="s">
        <v>201</v>
      </c>
      <c r="K80" s="14" t="s">
        <v>68</v>
      </c>
      <c r="L80" s="14" t="s">
        <v>68</v>
      </c>
      <c r="M80" s="14"/>
      <c r="N80" s="14"/>
      <c r="O80" s="15"/>
      <c r="P80" s="15"/>
      <c r="Q80" s="15"/>
      <c r="R80" s="15"/>
      <c r="S80" s="15"/>
      <c r="T80" s="15"/>
      <c r="U80" s="15"/>
      <c r="V80" s="15"/>
      <c r="W80" s="15"/>
    </row>
    <row r="81" spans="1:23" ht="45" x14ac:dyDescent="0.25">
      <c r="A81" s="14" t="s">
        <v>331</v>
      </c>
      <c r="B81" s="14" t="s">
        <v>68</v>
      </c>
      <c r="C81" s="14"/>
      <c r="D81" s="14" t="s">
        <v>241</v>
      </c>
      <c r="E81" s="14" t="s">
        <v>236</v>
      </c>
      <c r="F81" s="14" t="s">
        <v>332</v>
      </c>
      <c r="G81" s="14" t="s">
        <v>68</v>
      </c>
      <c r="H81" s="14" t="s">
        <v>68</v>
      </c>
      <c r="I81" s="14" t="s">
        <v>68</v>
      </c>
      <c r="J81" s="14" t="s">
        <v>309</v>
      </c>
      <c r="K81" s="14" t="s">
        <v>68</v>
      </c>
      <c r="L81" s="14" t="s">
        <v>68</v>
      </c>
      <c r="M81" s="14"/>
      <c r="N81" s="14"/>
      <c r="O81" s="15"/>
      <c r="P81" s="15"/>
      <c r="Q81" s="15"/>
      <c r="R81" s="15"/>
      <c r="S81" s="15"/>
      <c r="T81" s="15"/>
      <c r="U81" s="15"/>
      <c r="V81" s="15"/>
      <c r="W81" s="15"/>
    </row>
    <row r="82" spans="1:23" x14ac:dyDescent="0.25">
      <c r="A82" s="14" t="s">
        <v>333</v>
      </c>
      <c r="B82" s="14" t="s">
        <v>68</v>
      </c>
      <c r="C82" s="14"/>
      <c r="D82" s="14" t="s">
        <v>68</v>
      </c>
      <c r="E82" s="14" t="s">
        <v>68</v>
      </c>
      <c r="F82" s="14" t="s">
        <v>88</v>
      </c>
      <c r="G82" s="14" t="s">
        <v>68</v>
      </c>
      <c r="H82" s="14" t="s">
        <v>68</v>
      </c>
      <c r="I82" s="14" t="s">
        <v>68</v>
      </c>
      <c r="J82" s="14" t="s">
        <v>102</v>
      </c>
      <c r="K82" s="14" t="s">
        <v>68</v>
      </c>
      <c r="L82" s="14" t="s">
        <v>68</v>
      </c>
      <c r="M82" s="14"/>
      <c r="N82" s="14"/>
      <c r="O82" s="15"/>
      <c r="P82" s="15"/>
      <c r="Q82" s="15"/>
      <c r="R82" s="15"/>
      <c r="S82" s="15"/>
      <c r="T82" s="15"/>
      <c r="U82" s="15"/>
      <c r="V82" s="15"/>
      <c r="W82" s="15"/>
    </row>
    <row r="83" spans="1:23" ht="45" x14ac:dyDescent="0.25">
      <c r="A83" s="14" t="s">
        <v>334</v>
      </c>
      <c r="B83" s="14" t="s">
        <v>68</v>
      </c>
      <c r="C83" s="14"/>
      <c r="D83" s="14" t="s">
        <v>238</v>
      </c>
      <c r="E83" s="14" t="s">
        <v>239</v>
      </c>
      <c r="F83" s="14" t="s">
        <v>68</v>
      </c>
      <c r="G83" s="14" t="s">
        <v>68</v>
      </c>
      <c r="H83" s="14" t="s">
        <v>68</v>
      </c>
      <c r="I83" s="14" t="s">
        <v>68</v>
      </c>
      <c r="J83" s="14" t="s">
        <v>68</v>
      </c>
      <c r="K83" s="14" t="s">
        <v>68</v>
      </c>
      <c r="L83" s="14" t="s">
        <v>68</v>
      </c>
      <c r="M83" s="14"/>
      <c r="N83" s="14"/>
      <c r="O83" s="15"/>
      <c r="P83" s="15"/>
      <c r="Q83" s="15"/>
      <c r="R83" s="15"/>
      <c r="S83" s="15"/>
      <c r="T83" s="15"/>
      <c r="U83" s="15"/>
      <c r="V83" s="15"/>
      <c r="W83" s="15"/>
    </row>
    <row r="84" spans="1:23" ht="60" x14ac:dyDescent="0.25">
      <c r="A84" s="14" t="s">
        <v>335</v>
      </c>
      <c r="B84" s="14" t="s">
        <v>68</v>
      </c>
      <c r="C84" s="14"/>
      <c r="D84" s="14" t="s">
        <v>235</v>
      </c>
      <c r="E84" s="14" t="s">
        <v>236</v>
      </c>
      <c r="F84" s="14" t="s">
        <v>74</v>
      </c>
      <c r="G84" s="14" t="s">
        <v>68</v>
      </c>
      <c r="H84" s="14" t="s">
        <v>68</v>
      </c>
      <c r="I84" s="14" t="s">
        <v>68</v>
      </c>
      <c r="J84" s="14" t="s">
        <v>74</v>
      </c>
      <c r="K84" s="14" t="s">
        <v>68</v>
      </c>
      <c r="L84" s="14" t="s">
        <v>68</v>
      </c>
      <c r="M84" s="14"/>
      <c r="N84" s="14"/>
      <c r="O84" s="15"/>
      <c r="P84" s="15"/>
      <c r="Q84" s="15"/>
      <c r="R84" s="15"/>
      <c r="S84" s="15"/>
      <c r="T84" s="15"/>
      <c r="U84" s="15"/>
      <c r="V84" s="15"/>
      <c r="W84" s="15"/>
    </row>
    <row r="85" spans="1:23" ht="45" x14ac:dyDescent="0.25">
      <c r="A85" s="14" t="s">
        <v>336</v>
      </c>
      <c r="B85" s="14" t="s">
        <v>68</v>
      </c>
      <c r="C85" s="14"/>
      <c r="D85" s="14" t="s">
        <v>199</v>
      </c>
      <c r="E85" s="14" t="s">
        <v>68</v>
      </c>
      <c r="F85" s="14" t="s">
        <v>68</v>
      </c>
      <c r="G85" s="14" t="s">
        <v>130</v>
      </c>
      <c r="H85" s="14" t="s">
        <v>68</v>
      </c>
      <c r="I85" s="14" t="s">
        <v>68</v>
      </c>
      <c r="J85" s="14" t="s">
        <v>201</v>
      </c>
      <c r="K85" s="14" t="s">
        <v>68</v>
      </c>
      <c r="L85" s="14" t="s">
        <v>68</v>
      </c>
      <c r="M85" s="14"/>
      <c r="N85" s="14"/>
      <c r="O85" s="15"/>
      <c r="P85" s="15"/>
      <c r="Q85" s="15"/>
      <c r="R85" s="15"/>
      <c r="S85" s="15"/>
      <c r="T85" s="15"/>
      <c r="U85" s="15"/>
      <c r="V85" s="15"/>
      <c r="W85" s="15"/>
    </row>
    <row r="86" spans="1:23" ht="45" x14ac:dyDescent="0.25">
      <c r="A86" s="14" t="s">
        <v>337</v>
      </c>
      <c r="B86" s="14" t="s">
        <v>68</v>
      </c>
      <c r="C86" s="14"/>
      <c r="D86" s="14" t="s">
        <v>246</v>
      </c>
      <c r="E86" s="14" t="s">
        <v>247</v>
      </c>
      <c r="F86" s="14" t="s">
        <v>68</v>
      </c>
      <c r="G86" s="14" t="s">
        <v>338</v>
      </c>
      <c r="H86" s="14" t="s">
        <v>68</v>
      </c>
      <c r="I86" s="14" t="s">
        <v>68</v>
      </c>
      <c r="J86" s="14" t="s">
        <v>102</v>
      </c>
      <c r="K86" s="14" t="s">
        <v>68</v>
      </c>
      <c r="L86" s="14" t="s">
        <v>68</v>
      </c>
      <c r="M86" s="14"/>
      <c r="N86" s="14"/>
      <c r="O86" s="15"/>
      <c r="P86" s="15"/>
      <c r="Q86" s="15"/>
      <c r="R86" s="15"/>
      <c r="S86" s="15"/>
      <c r="T86" s="15"/>
      <c r="U86" s="15"/>
      <c r="V86" s="15"/>
      <c r="W86" s="15"/>
    </row>
    <row r="87" spans="1:23" ht="45" x14ac:dyDescent="0.25">
      <c r="A87" s="14" t="s">
        <v>339</v>
      </c>
      <c r="B87" s="14" t="s">
        <v>68</v>
      </c>
      <c r="C87" s="14"/>
      <c r="D87" s="14" t="s">
        <v>246</v>
      </c>
      <c r="E87" s="14" t="s">
        <v>247</v>
      </c>
      <c r="F87" s="14" t="s">
        <v>68</v>
      </c>
      <c r="G87" s="14" t="s">
        <v>148</v>
      </c>
      <c r="H87" s="14" t="s">
        <v>68</v>
      </c>
      <c r="I87" s="14" t="s">
        <v>68</v>
      </c>
      <c r="J87" s="14" t="s">
        <v>102</v>
      </c>
      <c r="K87" s="14" t="s">
        <v>68</v>
      </c>
      <c r="L87" s="14" t="s">
        <v>68</v>
      </c>
      <c r="M87" s="14"/>
      <c r="N87" s="14"/>
      <c r="O87" s="15"/>
      <c r="P87" s="15"/>
      <c r="Q87" s="15"/>
      <c r="R87" s="15"/>
      <c r="S87" s="15"/>
      <c r="T87" s="15"/>
      <c r="U87" s="15"/>
      <c r="V87" s="15"/>
      <c r="W87" s="15"/>
    </row>
    <row r="88" spans="1:23" ht="45" x14ac:dyDescent="0.25">
      <c r="A88" s="14" t="s">
        <v>340</v>
      </c>
      <c r="B88" s="14" t="s">
        <v>68</v>
      </c>
      <c r="C88" s="14"/>
      <c r="D88" s="14" t="s">
        <v>238</v>
      </c>
      <c r="E88" s="14" t="s">
        <v>239</v>
      </c>
      <c r="F88" s="14" t="s">
        <v>68</v>
      </c>
      <c r="G88" s="14" t="s">
        <v>68</v>
      </c>
      <c r="H88" s="14" t="s">
        <v>68</v>
      </c>
      <c r="I88" s="14" t="s">
        <v>68</v>
      </c>
      <c r="J88" s="14" t="s">
        <v>68</v>
      </c>
      <c r="K88" s="14" t="s">
        <v>68</v>
      </c>
      <c r="L88" s="14" t="s">
        <v>68</v>
      </c>
      <c r="M88" s="14"/>
      <c r="N88" s="14"/>
      <c r="O88" s="15"/>
      <c r="P88" s="15"/>
      <c r="Q88" s="15"/>
      <c r="R88" s="15"/>
      <c r="S88" s="15"/>
      <c r="T88" s="15"/>
      <c r="U88" s="15"/>
      <c r="V88" s="15"/>
      <c r="W88" s="15"/>
    </row>
    <row r="89" spans="1:23" ht="45" x14ac:dyDescent="0.25">
      <c r="A89" s="14" t="s">
        <v>341</v>
      </c>
      <c r="B89" s="14" t="s">
        <v>68</v>
      </c>
      <c r="C89" s="14"/>
      <c r="D89" s="14" t="s">
        <v>199</v>
      </c>
      <c r="E89" s="14" t="s">
        <v>68</v>
      </c>
      <c r="F89" s="14" t="s">
        <v>68</v>
      </c>
      <c r="G89" s="14" t="s">
        <v>78</v>
      </c>
      <c r="H89" s="14" t="s">
        <v>68</v>
      </c>
      <c r="I89" s="14" t="s">
        <v>68</v>
      </c>
      <c r="J89" s="14" t="s">
        <v>201</v>
      </c>
      <c r="K89" s="14" t="s">
        <v>68</v>
      </c>
      <c r="L89" s="14" t="s">
        <v>68</v>
      </c>
      <c r="M89" s="14"/>
      <c r="N89" s="14"/>
      <c r="O89" s="15"/>
      <c r="P89" s="15"/>
      <c r="Q89" s="15"/>
      <c r="R89" s="15"/>
      <c r="S89" s="15"/>
      <c r="T89" s="15"/>
      <c r="U89" s="15"/>
      <c r="V89" s="15"/>
      <c r="W89" s="15"/>
    </row>
    <row r="90" spans="1:23" ht="45" x14ac:dyDescent="0.25">
      <c r="A90" s="14" t="s">
        <v>342</v>
      </c>
      <c r="B90" s="14" t="s">
        <v>68</v>
      </c>
      <c r="C90" s="14"/>
      <c r="D90" s="14" t="s">
        <v>256</v>
      </c>
      <c r="E90" s="14" t="s">
        <v>291</v>
      </c>
      <c r="F90" s="14" t="s">
        <v>68</v>
      </c>
      <c r="G90" s="14" t="s">
        <v>74</v>
      </c>
      <c r="H90" s="14" t="s">
        <v>68</v>
      </c>
      <c r="I90" s="14" t="s">
        <v>68</v>
      </c>
      <c r="J90" s="14" t="s">
        <v>74</v>
      </c>
      <c r="K90" s="14" t="s">
        <v>68</v>
      </c>
      <c r="L90" s="14" t="s">
        <v>68</v>
      </c>
      <c r="M90" s="14"/>
      <c r="N90" s="14"/>
      <c r="O90" s="15"/>
      <c r="P90" s="15"/>
      <c r="Q90" s="15"/>
      <c r="R90" s="15"/>
      <c r="S90" s="15"/>
      <c r="T90" s="15"/>
      <c r="U90" s="15"/>
      <c r="V90" s="15"/>
      <c r="W90" s="15"/>
    </row>
    <row r="91" spans="1:23" ht="45" x14ac:dyDescent="0.25">
      <c r="A91" s="14" t="s">
        <v>343</v>
      </c>
      <c r="B91" s="14" t="s">
        <v>68</v>
      </c>
      <c r="C91" s="14"/>
      <c r="D91" s="14" t="s">
        <v>211</v>
      </c>
      <c r="E91" s="14" t="s">
        <v>212</v>
      </c>
      <c r="F91" s="14" t="s">
        <v>86</v>
      </c>
      <c r="G91" s="14" t="s">
        <v>68</v>
      </c>
      <c r="H91" s="14" t="s">
        <v>68</v>
      </c>
      <c r="I91" s="14" t="s">
        <v>68</v>
      </c>
      <c r="J91" s="14" t="s">
        <v>201</v>
      </c>
      <c r="K91" s="14" t="s">
        <v>68</v>
      </c>
      <c r="L91" s="14" t="s">
        <v>68</v>
      </c>
      <c r="M91" s="14"/>
      <c r="N91" s="14"/>
      <c r="O91" s="15"/>
      <c r="P91" s="15"/>
      <c r="Q91" s="15"/>
      <c r="R91" s="15"/>
      <c r="S91" s="15"/>
      <c r="T91" s="15"/>
      <c r="U91" s="15"/>
      <c r="V91" s="15"/>
      <c r="W91" s="15"/>
    </row>
    <row r="92" spans="1:23" ht="45" x14ac:dyDescent="0.25">
      <c r="A92" s="14" t="s">
        <v>344</v>
      </c>
      <c r="B92" s="14" t="s">
        <v>68</v>
      </c>
      <c r="C92" s="14"/>
      <c r="D92" s="14" t="s">
        <v>199</v>
      </c>
      <c r="E92" s="14" t="s">
        <v>68</v>
      </c>
      <c r="F92" s="14" t="s">
        <v>68</v>
      </c>
      <c r="G92" s="14" t="s">
        <v>78</v>
      </c>
      <c r="H92" s="14" t="s">
        <v>68</v>
      </c>
      <c r="I92" s="14" t="s">
        <v>68</v>
      </c>
      <c r="J92" s="14" t="s">
        <v>201</v>
      </c>
      <c r="K92" s="14" t="s">
        <v>68</v>
      </c>
      <c r="L92" s="14" t="s">
        <v>68</v>
      </c>
      <c r="M92" s="14"/>
      <c r="N92" s="14"/>
      <c r="O92" s="15"/>
      <c r="P92" s="15"/>
      <c r="Q92" s="15"/>
      <c r="R92" s="15"/>
      <c r="S92" s="15"/>
      <c r="T92" s="15"/>
      <c r="U92" s="15"/>
      <c r="V92" s="15"/>
      <c r="W92" s="15"/>
    </row>
    <row r="93" spans="1:23" ht="45" x14ac:dyDescent="0.25">
      <c r="A93" s="14" t="s">
        <v>345</v>
      </c>
      <c r="B93" s="14" t="s">
        <v>68</v>
      </c>
      <c r="C93" s="14"/>
      <c r="D93" s="14" t="s">
        <v>211</v>
      </c>
      <c r="E93" s="14" t="s">
        <v>212</v>
      </c>
      <c r="F93" s="14" t="s">
        <v>156</v>
      </c>
      <c r="G93" s="14" t="s">
        <v>68</v>
      </c>
      <c r="H93" s="14" t="s">
        <v>68</v>
      </c>
      <c r="I93" s="14" t="s">
        <v>68</v>
      </c>
      <c r="J93" s="14" t="s">
        <v>201</v>
      </c>
      <c r="K93" s="14" t="s">
        <v>68</v>
      </c>
      <c r="L93" s="14" t="s">
        <v>68</v>
      </c>
      <c r="M93" s="14"/>
      <c r="N93" s="14"/>
      <c r="O93" s="15"/>
      <c r="P93" s="15"/>
      <c r="Q93" s="15"/>
      <c r="R93" s="15"/>
      <c r="S93" s="15"/>
      <c r="T93" s="15"/>
      <c r="U93" s="15"/>
      <c r="V93" s="15"/>
      <c r="W93" s="15"/>
    </row>
    <row r="94" spans="1:23" ht="45" x14ac:dyDescent="0.25">
      <c r="A94" s="14" t="s">
        <v>346</v>
      </c>
      <c r="B94" s="14" t="s">
        <v>68</v>
      </c>
      <c r="C94" s="14"/>
      <c r="D94" s="14" t="s">
        <v>284</v>
      </c>
      <c r="E94" s="14" t="s">
        <v>285</v>
      </c>
      <c r="F94" s="14" t="s">
        <v>68</v>
      </c>
      <c r="G94" s="14" t="s">
        <v>68</v>
      </c>
      <c r="H94" s="14" t="s">
        <v>68</v>
      </c>
      <c r="I94" s="14" t="s">
        <v>68</v>
      </c>
      <c r="J94" s="14" t="s">
        <v>68</v>
      </c>
      <c r="K94" s="14" t="s">
        <v>68</v>
      </c>
      <c r="L94" s="14" t="s">
        <v>68</v>
      </c>
      <c r="M94" s="14"/>
      <c r="N94" s="14"/>
      <c r="O94" s="15"/>
      <c r="P94" s="15"/>
      <c r="Q94" s="15"/>
      <c r="R94" s="15"/>
      <c r="S94" s="15"/>
      <c r="T94" s="15"/>
      <c r="U94" s="15"/>
      <c r="V94" s="15"/>
      <c r="W94" s="15"/>
    </row>
    <row r="95" spans="1:23" ht="45" x14ac:dyDescent="0.25">
      <c r="A95" s="14" t="s">
        <v>347</v>
      </c>
      <c r="B95" s="14" t="s">
        <v>68</v>
      </c>
      <c r="C95" s="14"/>
      <c r="D95" s="14" t="s">
        <v>199</v>
      </c>
      <c r="E95" s="14" t="s">
        <v>68</v>
      </c>
      <c r="F95" s="14" t="s">
        <v>68</v>
      </c>
      <c r="G95" s="14" t="s">
        <v>68</v>
      </c>
      <c r="H95" s="14" t="s">
        <v>68</v>
      </c>
      <c r="I95" s="14" t="s">
        <v>68</v>
      </c>
      <c r="J95" s="14" t="s">
        <v>68</v>
      </c>
      <c r="K95" s="14" t="s">
        <v>68</v>
      </c>
      <c r="L95" s="14" t="s">
        <v>68</v>
      </c>
      <c r="M95" s="14"/>
      <c r="N95" s="14"/>
      <c r="O95" s="15"/>
      <c r="P95" s="15"/>
      <c r="Q95" s="15"/>
      <c r="R95" s="15"/>
      <c r="S95" s="15"/>
      <c r="T95" s="15"/>
      <c r="U95" s="15"/>
      <c r="V95" s="15"/>
      <c r="W95" s="15"/>
    </row>
    <row r="96" spans="1:23" x14ac:dyDescent="0.25">
      <c r="A96" s="14" t="s">
        <v>348</v>
      </c>
      <c r="B96" s="14" t="s">
        <v>68</v>
      </c>
      <c r="C96" s="14"/>
      <c r="D96" s="14" t="s">
        <v>68</v>
      </c>
      <c r="E96" s="14" t="s">
        <v>68</v>
      </c>
      <c r="F96" s="14" t="s">
        <v>349</v>
      </c>
      <c r="G96" s="14" t="s">
        <v>68</v>
      </c>
      <c r="H96" s="14" t="s">
        <v>68</v>
      </c>
      <c r="I96" s="14" t="s">
        <v>68</v>
      </c>
      <c r="J96" s="14" t="s">
        <v>102</v>
      </c>
      <c r="K96" s="14" t="s">
        <v>68</v>
      </c>
      <c r="L96" s="14" t="s">
        <v>68</v>
      </c>
      <c r="M96" s="14"/>
      <c r="N96" s="14"/>
      <c r="O96" s="15"/>
      <c r="P96" s="15"/>
      <c r="Q96" s="15"/>
      <c r="R96" s="15"/>
      <c r="S96" s="15"/>
      <c r="T96" s="15"/>
      <c r="U96" s="15"/>
      <c r="V96" s="15"/>
      <c r="W96" s="15"/>
    </row>
    <row r="97" spans="1:23" ht="45" x14ac:dyDescent="0.25">
      <c r="A97" s="14" t="s">
        <v>350</v>
      </c>
      <c r="B97" s="14" t="s">
        <v>68</v>
      </c>
      <c r="C97" s="14"/>
      <c r="D97" s="14" t="s">
        <v>229</v>
      </c>
      <c r="E97" s="14" t="s">
        <v>230</v>
      </c>
      <c r="F97" s="14" t="s">
        <v>68</v>
      </c>
      <c r="G97" s="14" t="s">
        <v>135</v>
      </c>
      <c r="H97" s="14" t="s">
        <v>68</v>
      </c>
      <c r="I97" s="14" t="s">
        <v>68</v>
      </c>
      <c r="J97" s="14" t="s">
        <v>201</v>
      </c>
      <c r="K97" s="14" t="s">
        <v>68</v>
      </c>
      <c r="L97" s="14" t="s">
        <v>68</v>
      </c>
      <c r="M97" s="14"/>
      <c r="N97" s="14"/>
      <c r="O97" s="15"/>
      <c r="P97" s="15"/>
      <c r="Q97" s="15"/>
      <c r="R97" s="15"/>
      <c r="S97" s="15"/>
      <c r="T97" s="15"/>
      <c r="U97" s="15"/>
      <c r="V97" s="15"/>
      <c r="W97" s="15"/>
    </row>
    <row r="98" spans="1:23" ht="60" x14ac:dyDescent="0.25">
      <c r="A98" s="14" t="s">
        <v>351</v>
      </c>
      <c r="B98" s="14" t="s">
        <v>68</v>
      </c>
      <c r="C98" s="14"/>
      <c r="D98" s="14" t="s">
        <v>235</v>
      </c>
      <c r="E98" s="14" t="s">
        <v>236</v>
      </c>
      <c r="F98" s="14" t="s">
        <v>74</v>
      </c>
      <c r="G98" s="14" t="s">
        <v>68</v>
      </c>
      <c r="H98" s="14" t="s">
        <v>68</v>
      </c>
      <c r="I98" s="14" t="s">
        <v>68</v>
      </c>
      <c r="J98" s="14" t="s">
        <v>74</v>
      </c>
      <c r="K98" s="14" t="s">
        <v>68</v>
      </c>
      <c r="L98" s="14" t="s">
        <v>68</v>
      </c>
      <c r="M98" s="14"/>
      <c r="N98" s="14"/>
      <c r="O98" s="15"/>
      <c r="P98" s="15"/>
      <c r="Q98" s="15"/>
      <c r="R98" s="15"/>
      <c r="S98" s="15"/>
      <c r="T98" s="15"/>
      <c r="U98" s="15"/>
      <c r="V98" s="15"/>
      <c r="W98" s="15"/>
    </row>
    <row r="99" spans="1:23" ht="45" x14ac:dyDescent="0.25">
      <c r="A99" s="14" t="s">
        <v>352</v>
      </c>
      <c r="B99" s="14" t="s">
        <v>68</v>
      </c>
      <c r="C99" s="14"/>
      <c r="D99" s="14" t="s">
        <v>232</v>
      </c>
      <c r="E99" s="14" t="s">
        <v>209</v>
      </c>
      <c r="F99" s="14" t="s">
        <v>68</v>
      </c>
      <c r="G99" s="14" t="s">
        <v>68</v>
      </c>
      <c r="H99" s="14" t="s">
        <v>68</v>
      </c>
      <c r="I99" s="14" t="s">
        <v>68</v>
      </c>
      <c r="J99" s="14" t="s">
        <v>68</v>
      </c>
      <c r="K99" s="14" t="s">
        <v>68</v>
      </c>
      <c r="L99" s="14" t="s">
        <v>68</v>
      </c>
      <c r="M99" s="14"/>
      <c r="N99" s="14"/>
      <c r="O99" s="15"/>
      <c r="P99" s="15"/>
      <c r="Q99" s="15"/>
      <c r="R99" s="15"/>
      <c r="S99" s="15"/>
      <c r="T99" s="15"/>
      <c r="U99" s="15"/>
      <c r="V99" s="15"/>
      <c r="W99" s="15"/>
    </row>
    <row r="100" spans="1:23" x14ac:dyDescent="0.25">
      <c r="A100" s="14" t="s">
        <v>353</v>
      </c>
      <c r="B100" s="14" t="s">
        <v>68</v>
      </c>
      <c r="C100" s="14"/>
      <c r="D100" s="14" t="s">
        <v>68</v>
      </c>
      <c r="E100" s="14" t="s">
        <v>227</v>
      </c>
      <c r="F100" s="14" t="s">
        <v>68</v>
      </c>
      <c r="G100" s="14" t="s">
        <v>354</v>
      </c>
      <c r="H100" s="14" t="s">
        <v>68</v>
      </c>
      <c r="I100" s="14" t="s">
        <v>68</v>
      </c>
      <c r="J100" s="14" t="s">
        <v>225</v>
      </c>
      <c r="K100" s="14" t="s">
        <v>68</v>
      </c>
      <c r="L100" s="14" t="s">
        <v>68</v>
      </c>
      <c r="M100" s="14"/>
      <c r="N100" s="14"/>
      <c r="O100" s="15"/>
      <c r="P100" s="15"/>
      <c r="Q100" s="15"/>
      <c r="R100" s="15"/>
      <c r="S100" s="15"/>
      <c r="T100" s="15"/>
      <c r="U100" s="15"/>
      <c r="V100" s="15"/>
      <c r="W100" s="15"/>
    </row>
    <row r="101" spans="1:23" ht="45" x14ac:dyDescent="0.25">
      <c r="A101" s="14" t="s">
        <v>355</v>
      </c>
      <c r="B101" s="14" t="s">
        <v>68</v>
      </c>
      <c r="C101" s="14"/>
      <c r="D101" s="14" t="s">
        <v>246</v>
      </c>
      <c r="E101" s="14" t="s">
        <v>247</v>
      </c>
      <c r="F101" s="14" t="s">
        <v>68</v>
      </c>
      <c r="G101" s="14" t="s">
        <v>102</v>
      </c>
      <c r="H101" s="14" t="s">
        <v>68</v>
      </c>
      <c r="I101" s="14" t="s">
        <v>68</v>
      </c>
      <c r="J101" s="14" t="s">
        <v>102</v>
      </c>
      <c r="K101" s="14" t="s">
        <v>68</v>
      </c>
      <c r="L101" s="14" t="s">
        <v>68</v>
      </c>
      <c r="M101" s="14"/>
      <c r="N101" s="14"/>
      <c r="O101" s="15"/>
      <c r="P101" s="15"/>
      <c r="Q101" s="15"/>
      <c r="R101" s="15"/>
      <c r="S101" s="15"/>
      <c r="T101" s="15"/>
      <c r="U101" s="15"/>
      <c r="V101" s="15"/>
      <c r="W101" s="15"/>
    </row>
    <row r="102" spans="1:23" ht="45" x14ac:dyDescent="0.25">
      <c r="A102" s="14" t="s">
        <v>356</v>
      </c>
      <c r="B102" s="14" t="s">
        <v>68</v>
      </c>
      <c r="C102" s="14"/>
      <c r="D102" s="14" t="s">
        <v>279</v>
      </c>
      <c r="E102" s="14" t="s">
        <v>280</v>
      </c>
      <c r="F102" s="14" t="s">
        <v>87</v>
      </c>
      <c r="G102" s="14" t="s">
        <v>68</v>
      </c>
      <c r="H102" s="14" t="s">
        <v>68</v>
      </c>
      <c r="I102" s="14" t="s">
        <v>68</v>
      </c>
      <c r="J102" s="14" t="s">
        <v>225</v>
      </c>
      <c r="K102" s="14" t="s">
        <v>68</v>
      </c>
      <c r="L102" s="14" t="s">
        <v>68</v>
      </c>
      <c r="M102" s="14"/>
      <c r="N102" s="14"/>
      <c r="O102" s="15"/>
      <c r="P102" s="15"/>
      <c r="Q102" s="15"/>
      <c r="R102" s="15"/>
      <c r="S102" s="15"/>
      <c r="T102" s="15"/>
      <c r="U102" s="15"/>
      <c r="V102" s="15"/>
      <c r="W102" s="15"/>
    </row>
    <row r="103" spans="1:23" ht="45" x14ac:dyDescent="0.25">
      <c r="A103" s="14" t="s">
        <v>357</v>
      </c>
      <c r="B103" s="14" t="s">
        <v>68</v>
      </c>
      <c r="C103" s="14"/>
      <c r="D103" s="14" t="s">
        <v>325</v>
      </c>
      <c r="E103" s="14" t="s">
        <v>326</v>
      </c>
      <c r="F103" s="14" t="s">
        <v>68</v>
      </c>
      <c r="G103" s="14" t="s">
        <v>68</v>
      </c>
      <c r="H103" s="14" t="s">
        <v>68</v>
      </c>
      <c r="I103" s="14" t="s">
        <v>68</v>
      </c>
      <c r="J103" s="14" t="s">
        <v>68</v>
      </c>
      <c r="K103" s="14" t="s">
        <v>68</v>
      </c>
      <c r="L103" s="14" t="s">
        <v>68</v>
      </c>
      <c r="M103" s="14"/>
      <c r="N103" s="14"/>
      <c r="O103" s="15"/>
      <c r="P103" s="15"/>
      <c r="Q103" s="15"/>
      <c r="R103" s="15"/>
      <c r="S103" s="15"/>
      <c r="T103" s="15"/>
      <c r="U103" s="15"/>
      <c r="V103" s="15"/>
      <c r="W103" s="15"/>
    </row>
    <row r="104" spans="1:23" ht="45" x14ac:dyDescent="0.25">
      <c r="A104" s="14" t="s">
        <v>358</v>
      </c>
      <c r="B104" s="14" t="s">
        <v>68</v>
      </c>
      <c r="C104" s="14"/>
      <c r="D104" s="14" t="s">
        <v>256</v>
      </c>
      <c r="E104" s="14" t="s">
        <v>223</v>
      </c>
      <c r="F104" s="14" t="s">
        <v>68</v>
      </c>
      <c r="G104" s="14" t="s">
        <v>68</v>
      </c>
      <c r="H104" s="14" t="s">
        <v>68</v>
      </c>
      <c r="I104" s="14" t="s">
        <v>68</v>
      </c>
      <c r="J104" s="14" t="s">
        <v>68</v>
      </c>
      <c r="K104" s="14" t="s">
        <v>68</v>
      </c>
      <c r="L104" s="14" t="s">
        <v>68</v>
      </c>
      <c r="M104" s="14"/>
      <c r="N104" s="14"/>
      <c r="O104" s="15"/>
      <c r="P104" s="15"/>
      <c r="Q104" s="15"/>
      <c r="R104" s="15"/>
      <c r="S104" s="15"/>
      <c r="T104" s="15"/>
      <c r="U104" s="15"/>
      <c r="V104" s="15"/>
      <c r="W104" s="15"/>
    </row>
    <row r="105" spans="1:23" ht="45" x14ac:dyDescent="0.25">
      <c r="A105" s="14" t="s">
        <v>359</v>
      </c>
      <c r="B105" s="14" t="s">
        <v>68</v>
      </c>
      <c r="C105" s="14"/>
      <c r="D105" s="14" t="s">
        <v>246</v>
      </c>
      <c r="E105" s="14" t="s">
        <v>247</v>
      </c>
      <c r="F105" s="14" t="s">
        <v>68</v>
      </c>
      <c r="G105" s="14" t="s">
        <v>102</v>
      </c>
      <c r="H105" s="14" t="s">
        <v>68</v>
      </c>
      <c r="I105" s="14" t="s">
        <v>68</v>
      </c>
      <c r="J105" s="14" t="s">
        <v>102</v>
      </c>
      <c r="K105" s="14" t="s">
        <v>68</v>
      </c>
      <c r="L105" s="14" t="s">
        <v>68</v>
      </c>
      <c r="M105" s="14"/>
      <c r="N105" s="14"/>
      <c r="O105" s="15"/>
      <c r="P105" s="15"/>
      <c r="Q105" s="15"/>
      <c r="R105" s="15"/>
      <c r="S105" s="15"/>
      <c r="T105" s="15"/>
      <c r="U105" s="15"/>
      <c r="V105" s="15"/>
      <c r="W105" s="15"/>
    </row>
    <row r="106" spans="1:23" ht="60" x14ac:dyDescent="0.25">
      <c r="A106" s="14" t="s">
        <v>360</v>
      </c>
      <c r="B106" s="14" t="s">
        <v>68</v>
      </c>
      <c r="C106" s="14"/>
      <c r="D106" s="14" t="s">
        <v>314</v>
      </c>
      <c r="E106" s="14" t="s">
        <v>68</v>
      </c>
      <c r="F106" s="14" t="s">
        <v>68</v>
      </c>
      <c r="G106" s="14" t="s">
        <v>361</v>
      </c>
      <c r="H106" s="14" t="s">
        <v>68</v>
      </c>
      <c r="I106" s="14" t="s">
        <v>68</v>
      </c>
      <c r="J106" s="14" t="s">
        <v>102</v>
      </c>
      <c r="K106" s="14" t="s">
        <v>68</v>
      </c>
      <c r="L106" s="14" t="s">
        <v>68</v>
      </c>
      <c r="M106" s="14"/>
      <c r="N106" s="14"/>
      <c r="O106" s="15"/>
      <c r="P106" s="15"/>
      <c r="Q106" s="15"/>
      <c r="R106" s="15"/>
      <c r="S106" s="15"/>
      <c r="T106" s="15"/>
      <c r="U106" s="15"/>
      <c r="V106" s="15"/>
      <c r="W106" s="15"/>
    </row>
    <row r="107" spans="1:23" ht="60" x14ac:dyDescent="0.25">
      <c r="A107" s="14" t="s">
        <v>362</v>
      </c>
      <c r="B107" s="14" t="s">
        <v>68</v>
      </c>
      <c r="C107" s="14"/>
      <c r="D107" s="14" t="s">
        <v>208</v>
      </c>
      <c r="E107" s="14" t="s">
        <v>209</v>
      </c>
      <c r="F107" s="14" t="s">
        <v>68</v>
      </c>
      <c r="G107" s="14" t="s">
        <v>148</v>
      </c>
      <c r="H107" s="14" t="s">
        <v>68</v>
      </c>
      <c r="I107" s="14" t="s">
        <v>68</v>
      </c>
      <c r="J107" s="14" t="s">
        <v>102</v>
      </c>
      <c r="K107" s="14" t="s">
        <v>68</v>
      </c>
      <c r="L107" s="14" t="s">
        <v>68</v>
      </c>
      <c r="M107" s="14"/>
      <c r="N107" s="14"/>
      <c r="O107" s="15"/>
      <c r="P107" s="15"/>
      <c r="Q107" s="15"/>
      <c r="R107" s="15"/>
      <c r="S107" s="15"/>
      <c r="T107" s="15"/>
      <c r="U107" s="15"/>
      <c r="V107" s="15"/>
      <c r="W107" s="15"/>
    </row>
    <row r="108" spans="1:23" ht="45" x14ac:dyDescent="0.25">
      <c r="A108" s="14" t="s">
        <v>363</v>
      </c>
      <c r="B108" s="14" t="s">
        <v>68</v>
      </c>
      <c r="C108" s="14"/>
      <c r="D108" s="14" t="s">
        <v>211</v>
      </c>
      <c r="E108" s="14" t="s">
        <v>212</v>
      </c>
      <c r="F108" s="14" t="s">
        <v>169</v>
      </c>
      <c r="G108" s="14" t="s">
        <v>68</v>
      </c>
      <c r="H108" s="14" t="s">
        <v>68</v>
      </c>
      <c r="I108" s="14" t="s">
        <v>68</v>
      </c>
      <c r="J108" s="14" t="s">
        <v>201</v>
      </c>
      <c r="K108" s="14" t="s">
        <v>68</v>
      </c>
      <c r="L108" s="14" t="s">
        <v>68</v>
      </c>
      <c r="M108" s="14"/>
      <c r="N108" s="14"/>
      <c r="O108" s="15"/>
      <c r="P108" s="15"/>
      <c r="Q108" s="15"/>
      <c r="R108" s="15"/>
      <c r="S108" s="15"/>
      <c r="T108" s="15"/>
      <c r="U108" s="15"/>
      <c r="V108" s="15"/>
      <c r="W108" s="15"/>
    </row>
    <row r="109" spans="1:23" ht="45" x14ac:dyDescent="0.25">
      <c r="A109" s="14" t="s">
        <v>364</v>
      </c>
      <c r="B109" s="14" t="s">
        <v>68</v>
      </c>
      <c r="C109" s="14"/>
      <c r="D109" s="14" t="s">
        <v>288</v>
      </c>
      <c r="E109" s="14" t="s">
        <v>289</v>
      </c>
      <c r="F109" s="14" t="s">
        <v>68</v>
      </c>
      <c r="G109" s="14" t="s">
        <v>87</v>
      </c>
      <c r="H109" s="14" t="s">
        <v>68</v>
      </c>
      <c r="I109" s="14" t="s">
        <v>68</v>
      </c>
      <c r="J109" s="14" t="s">
        <v>225</v>
      </c>
      <c r="K109" s="14" t="s">
        <v>68</v>
      </c>
      <c r="L109" s="14" t="s">
        <v>68</v>
      </c>
      <c r="M109" s="14"/>
      <c r="N109" s="14"/>
      <c r="O109" s="15"/>
      <c r="P109" s="15"/>
      <c r="Q109" s="15"/>
      <c r="R109" s="15"/>
      <c r="S109" s="15"/>
      <c r="T109" s="15"/>
      <c r="U109" s="15"/>
      <c r="V109" s="15"/>
      <c r="W109" s="15"/>
    </row>
    <row r="110" spans="1:23" x14ac:dyDescent="0.25">
      <c r="A110" s="14" t="s">
        <v>365</v>
      </c>
      <c r="B110" s="14" t="s">
        <v>68</v>
      </c>
      <c r="C110" s="14"/>
      <c r="D110" s="14" t="s">
        <v>68</v>
      </c>
      <c r="E110" s="14" t="s">
        <v>68</v>
      </c>
      <c r="F110" s="14" t="s">
        <v>141</v>
      </c>
      <c r="G110" s="14" t="s">
        <v>68</v>
      </c>
      <c r="H110" s="14" t="s">
        <v>68</v>
      </c>
      <c r="I110" s="14" t="s">
        <v>68</v>
      </c>
      <c r="J110" s="14" t="s">
        <v>102</v>
      </c>
      <c r="K110" s="14" t="s">
        <v>68</v>
      </c>
      <c r="L110" s="14" t="s">
        <v>68</v>
      </c>
      <c r="M110" s="14"/>
      <c r="N110" s="14"/>
      <c r="O110" s="15"/>
      <c r="P110" s="15"/>
      <c r="Q110" s="15"/>
      <c r="R110" s="15"/>
      <c r="S110" s="15"/>
      <c r="T110" s="15"/>
      <c r="U110" s="15"/>
      <c r="V110" s="15"/>
      <c r="W110" s="15"/>
    </row>
    <row r="111" spans="1:23" ht="45" x14ac:dyDescent="0.25">
      <c r="A111" s="14" t="s">
        <v>366</v>
      </c>
      <c r="B111" s="14" t="s">
        <v>68</v>
      </c>
      <c r="C111" s="14"/>
      <c r="D111" s="14" t="s">
        <v>238</v>
      </c>
      <c r="E111" s="14" t="s">
        <v>239</v>
      </c>
      <c r="F111" s="14" t="s">
        <v>68</v>
      </c>
      <c r="G111" s="14" t="s">
        <v>68</v>
      </c>
      <c r="H111" s="14" t="s">
        <v>68</v>
      </c>
      <c r="I111" s="14" t="s">
        <v>68</v>
      </c>
      <c r="J111" s="14" t="s">
        <v>68</v>
      </c>
      <c r="K111" s="14" t="s">
        <v>68</v>
      </c>
      <c r="L111" s="14" t="s">
        <v>68</v>
      </c>
      <c r="M111" s="14"/>
      <c r="N111" s="14"/>
      <c r="O111" s="15"/>
      <c r="P111" s="15"/>
      <c r="Q111" s="15"/>
      <c r="R111" s="15"/>
      <c r="S111" s="15"/>
      <c r="T111" s="15"/>
      <c r="U111" s="15"/>
      <c r="V111" s="15"/>
      <c r="W111" s="15"/>
    </row>
    <row r="112" spans="1:23" ht="45" x14ac:dyDescent="0.25">
      <c r="A112" s="14" t="s">
        <v>367</v>
      </c>
      <c r="B112" s="14" t="s">
        <v>68</v>
      </c>
      <c r="C112" s="14"/>
      <c r="D112" s="14" t="s">
        <v>284</v>
      </c>
      <c r="E112" s="14" t="s">
        <v>285</v>
      </c>
      <c r="F112" s="14" t="s">
        <v>68</v>
      </c>
      <c r="G112" s="14" t="s">
        <v>68</v>
      </c>
      <c r="H112" s="14" t="s">
        <v>68</v>
      </c>
      <c r="I112" s="14" t="s">
        <v>68</v>
      </c>
      <c r="J112" s="14" t="s">
        <v>68</v>
      </c>
      <c r="K112" s="14" t="s">
        <v>68</v>
      </c>
      <c r="L112" s="14" t="s">
        <v>68</v>
      </c>
      <c r="M112" s="14"/>
      <c r="N112" s="14"/>
      <c r="O112" s="15"/>
      <c r="P112" s="15"/>
      <c r="Q112" s="15"/>
      <c r="R112" s="15"/>
      <c r="S112" s="15"/>
      <c r="T112" s="15"/>
      <c r="U112" s="15"/>
      <c r="V112" s="15"/>
      <c r="W112" s="15"/>
    </row>
    <row r="113" spans="1:23" ht="45" x14ac:dyDescent="0.25">
      <c r="A113" s="14" t="s">
        <v>368</v>
      </c>
      <c r="B113" s="14" t="s">
        <v>68</v>
      </c>
      <c r="C113" s="14"/>
      <c r="D113" s="14" t="s">
        <v>246</v>
      </c>
      <c r="E113" s="14" t="s">
        <v>247</v>
      </c>
      <c r="F113" s="14" t="s">
        <v>68</v>
      </c>
      <c r="G113" s="14" t="s">
        <v>369</v>
      </c>
      <c r="H113" s="14" t="s">
        <v>68</v>
      </c>
      <c r="I113" s="14" t="s">
        <v>68</v>
      </c>
      <c r="J113" s="14" t="s">
        <v>102</v>
      </c>
      <c r="K113" s="14" t="s">
        <v>68</v>
      </c>
      <c r="L113" s="14" t="s">
        <v>68</v>
      </c>
      <c r="M113" s="14"/>
      <c r="N113" s="14"/>
      <c r="O113" s="15"/>
      <c r="P113" s="15"/>
      <c r="Q113" s="15"/>
      <c r="R113" s="15"/>
      <c r="S113" s="15"/>
      <c r="T113" s="15"/>
      <c r="U113" s="15"/>
      <c r="V113" s="15"/>
      <c r="W113" s="15"/>
    </row>
    <row r="114" spans="1:23" ht="45" x14ac:dyDescent="0.25">
      <c r="A114" s="14" t="s">
        <v>370</v>
      </c>
      <c r="B114" s="14" t="s">
        <v>68</v>
      </c>
      <c r="C114" s="14"/>
      <c r="D114" s="14" t="s">
        <v>263</v>
      </c>
      <c r="E114" s="14" t="s">
        <v>264</v>
      </c>
      <c r="F114" s="14" t="s">
        <v>68</v>
      </c>
      <c r="G114" s="14" t="s">
        <v>94</v>
      </c>
      <c r="H114" s="14" t="s">
        <v>68</v>
      </c>
      <c r="I114" s="14" t="s">
        <v>68</v>
      </c>
      <c r="J114" s="14" t="s">
        <v>371</v>
      </c>
      <c r="K114" s="14" t="s">
        <v>68</v>
      </c>
      <c r="L114" s="14" t="s">
        <v>68</v>
      </c>
      <c r="M114" s="14"/>
      <c r="N114" s="14"/>
      <c r="O114" s="15"/>
      <c r="P114" s="15"/>
      <c r="Q114" s="15"/>
      <c r="R114" s="15"/>
      <c r="S114" s="15"/>
      <c r="T114" s="15"/>
      <c r="U114" s="15"/>
      <c r="V114" s="15"/>
      <c r="W114" s="15"/>
    </row>
    <row r="115" spans="1:23" ht="45" x14ac:dyDescent="0.25">
      <c r="A115" s="14" t="s">
        <v>372</v>
      </c>
      <c r="B115" s="14" t="s">
        <v>68</v>
      </c>
      <c r="C115" s="14"/>
      <c r="D115" s="14" t="s">
        <v>204</v>
      </c>
      <c r="E115" s="14" t="s">
        <v>205</v>
      </c>
      <c r="F115" s="14" t="s">
        <v>68</v>
      </c>
      <c r="G115" s="14" t="s">
        <v>68</v>
      </c>
      <c r="H115" s="14" t="s">
        <v>68</v>
      </c>
      <c r="I115" s="14" t="s">
        <v>68</v>
      </c>
      <c r="J115" s="14" t="s">
        <v>68</v>
      </c>
      <c r="K115" s="14" t="s">
        <v>68</v>
      </c>
      <c r="L115" s="14" t="s">
        <v>68</v>
      </c>
      <c r="M115" s="14"/>
      <c r="N115" s="14"/>
      <c r="O115" s="15"/>
      <c r="P115" s="15"/>
      <c r="Q115" s="15"/>
      <c r="R115" s="15"/>
      <c r="S115" s="15"/>
      <c r="T115" s="15"/>
      <c r="U115" s="15"/>
      <c r="V115" s="15"/>
      <c r="W115" s="15"/>
    </row>
    <row r="116" spans="1:23" ht="45" x14ac:dyDescent="0.25">
      <c r="A116" s="14" t="s">
        <v>373</v>
      </c>
      <c r="B116" s="14" t="s">
        <v>68</v>
      </c>
      <c r="C116" s="14"/>
      <c r="D116" s="14" t="s">
        <v>238</v>
      </c>
      <c r="E116" s="14" t="s">
        <v>239</v>
      </c>
      <c r="F116" s="14" t="s">
        <v>68</v>
      </c>
      <c r="G116" s="14" t="s">
        <v>68</v>
      </c>
      <c r="H116" s="14" t="s">
        <v>68</v>
      </c>
      <c r="I116" s="14" t="s">
        <v>68</v>
      </c>
      <c r="J116" s="14" t="s">
        <v>68</v>
      </c>
      <c r="K116" s="14" t="s">
        <v>68</v>
      </c>
      <c r="L116" s="14" t="s">
        <v>68</v>
      </c>
      <c r="M116" s="14"/>
      <c r="N116" s="14"/>
      <c r="O116" s="15"/>
      <c r="P116" s="15"/>
      <c r="Q116" s="15"/>
      <c r="R116" s="15"/>
      <c r="S116" s="15"/>
      <c r="T116" s="15"/>
      <c r="U116" s="15"/>
      <c r="V116" s="15"/>
      <c r="W116" s="15"/>
    </row>
    <row r="117" spans="1:23" ht="45" x14ac:dyDescent="0.25">
      <c r="A117" s="14" t="s">
        <v>374</v>
      </c>
      <c r="B117" s="14" t="s">
        <v>68</v>
      </c>
      <c r="C117" s="14"/>
      <c r="D117" s="14" t="s">
        <v>199</v>
      </c>
      <c r="E117" s="14" t="s">
        <v>68</v>
      </c>
      <c r="F117" s="14" t="s">
        <v>68</v>
      </c>
      <c r="G117" s="14" t="s">
        <v>81</v>
      </c>
      <c r="H117" s="14" t="s">
        <v>68</v>
      </c>
      <c r="I117" s="14" t="s">
        <v>68</v>
      </c>
      <c r="J117" s="14" t="s">
        <v>201</v>
      </c>
      <c r="K117" s="14" t="s">
        <v>68</v>
      </c>
      <c r="L117" s="14" t="s">
        <v>68</v>
      </c>
      <c r="M117" s="14"/>
      <c r="N117" s="14"/>
      <c r="O117" s="15"/>
      <c r="P117" s="15"/>
      <c r="Q117" s="15"/>
      <c r="R117" s="15"/>
      <c r="S117" s="15"/>
      <c r="T117" s="15"/>
      <c r="U117" s="15"/>
      <c r="V117" s="15"/>
      <c r="W117" s="15"/>
    </row>
    <row r="118" spans="1:23" ht="60" x14ac:dyDescent="0.25">
      <c r="A118" s="14" t="s">
        <v>375</v>
      </c>
      <c r="B118" s="14" t="s">
        <v>68</v>
      </c>
      <c r="C118" s="14"/>
      <c r="D118" s="14" t="s">
        <v>208</v>
      </c>
      <c r="E118" s="14" t="s">
        <v>209</v>
      </c>
      <c r="F118" s="14" t="s">
        <v>68</v>
      </c>
      <c r="G118" s="14" t="s">
        <v>148</v>
      </c>
      <c r="H118" s="14" t="s">
        <v>68</v>
      </c>
      <c r="I118" s="14" t="s">
        <v>68</v>
      </c>
      <c r="J118" s="14" t="s">
        <v>102</v>
      </c>
      <c r="K118" s="14" t="s">
        <v>68</v>
      </c>
      <c r="L118" s="14" t="s">
        <v>68</v>
      </c>
      <c r="M118" s="14"/>
      <c r="N118" s="14"/>
      <c r="O118" s="15"/>
      <c r="P118" s="15"/>
      <c r="Q118" s="15"/>
      <c r="R118" s="15"/>
      <c r="S118" s="15"/>
      <c r="T118" s="15"/>
      <c r="U118" s="15"/>
      <c r="V118" s="15"/>
      <c r="W118" s="15"/>
    </row>
    <row r="119" spans="1:23" ht="45" x14ac:dyDescent="0.25">
      <c r="A119" s="14" t="s">
        <v>376</v>
      </c>
      <c r="B119" s="14" t="s">
        <v>68</v>
      </c>
      <c r="C119" s="14"/>
      <c r="D119" s="14" t="s">
        <v>312</v>
      </c>
      <c r="E119" s="14" t="s">
        <v>205</v>
      </c>
      <c r="F119" s="14" t="s">
        <v>68</v>
      </c>
      <c r="G119" s="14" t="s">
        <v>68</v>
      </c>
      <c r="H119" s="14" t="s">
        <v>68</v>
      </c>
      <c r="I119" s="14" t="s">
        <v>68</v>
      </c>
      <c r="J119" s="14" t="s">
        <v>68</v>
      </c>
      <c r="K119" s="14" t="s">
        <v>68</v>
      </c>
      <c r="L119" s="14" t="s">
        <v>68</v>
      </c>
      <c r="M119" s="14"/>
      <c r="N119" s="14"/>
      <c r="O119" s="15"/>
      <c r="P119" s="15"/>
      <c r="Q119" s="15"/>
      <c r="R119" s="15"/>
      <c r="S119" s="15"/>
      <c r="T119" s="15"/>
      <c r="U119" s="15"/>
      <c r="V119" s="15"/>
      <c r="W119" s="15"/>
    </row>
    <row r="120" spans="1:23" ht="45" x14ac:dyDescent="0.25">
      <c r="A120" s="14" t="s">
        <v>377</v>
      </c>
      <c r="B120" s="14" t="s">
        <v>68</v>
      </c>
      <c r="C120" s="14"/>
      <c r="D120" s="14" t="s">
        <v>219</v>
      </c>
      <c r="E120" s="14" t="s">
        <v>220</v>
      </c>
      <c r="F120" s="14" t="s">
        <v>68</v>
      </c>
      <c r="G120" s="14" t="s">
        <v>125</v>
      </c>
      <c r="H120" s="14" t="s">
        <v>68</v>
      </c>
      <c r="I120" s="14" t="s">
        <v>68</v>
      </c>
      <c r="J120" s="14" t="s">
        <v>201</v>
      </c>
      <c r="K120" s="14" t="s">
        <v>68</v>
      </c>
      <c r="L120" s="14" t="s">
        <v>68</v>
      </c>
      <c r="M120" s="14"/>
      <c r="N120" s="14"/>
      <c r="O120" s="15"/>
      <c r="P120" s="15"/>
      <c r="Q120" s="15"/>
      <c r="R120" s="15"/>
      <c r="S120" s="15"/>
      <c r="T120" s="15"/>
      <c r="U120" s="15"/>
      <c r="V120" s="15"/>
      <c r="W120" s="15"/>
    </row>
    <row r="121" spans="1:23" ht="45" x14ac:dyDescent="0.25">
      <c r="A121" s="14" t="s">
        <v>378</v>
      </c>
      <c r="B121" s="14" t="s">
        <v>68</v>
      </c>
      <c r="C121" s="14"/>
      <c r="D121" s="14" t="s">
        <v>256</v>
      </c>
      <c r="E121" s="14" t="s">
        <v>223</v>
      </c>
      <c r="F121" s="14" t="s">
        <v>68</v>
      </c>
      <c r="G121" s="14" t="s">
        <v>68</v>
      </c>
      <c r="H121" s="14" t="s">
        <v>68</v>
      </c>
      <c r="I121" s="14" t="s">
        <v>68</v>
      </c>
      <c r="J121" s="14" t="s">
        <v>68</v>
      </c>
      <c r="K121" s="14" t="s">
        <v>68</v>
      </c>
      <c r="L121" s="14" t="s">
        <v>68</v>
      </c>
      <c r="M121" s="14"/>
      <c r="N121" s="14"/>
      <c r="O121" s="15"/>
      <c r="P121" s="15"/>
      <c r="Q121" s="15"/>
      <c r="R121" s="15"/>
      <c r="S121" s="15"/>
      <c r="T121" s="15"/>
      <c r="U121" s="15"/>
      <c r="V121" s="15"/>
      <c r="W121" s="15"/>
    </row>
    <row r="122" spans="1:23" ht="45" x14ac:dyDescent="0.25">
      <c r="A122" s="14" t="s">
        <v>379</v>
      </c>
      <c r="B122" s="14" t="s">
        <v>68</v>
      </c>
      <c r="C122" s="14"/>
      <c r="D122" s="14" t="s">
        <v>284</v>
      </c>
      <c r="E122" s="14" t="s">
        <v>285</v>
      </c>
      <c r="F122" s="14" t="s">
        <v>68</v>
      </c>
      <c r="G122" s="14" t="s">
        <v>68</v>
      </c>
      <c r="H122" s="14" t="s">
        <v>68</v>
      </c>
      <c r="I122" s="14" t="s">
        <v>68</v>
      </c>
      <c r="J122" s="14" t="s">
        <v>68</v>
      </c>
      <c r="K122" s="14" t="s">
        <v>68</v>
      </c>
      <c r="L122" s="14" t="s">
        <v>68</v>
      </c>
      <c r="M122" s="14"/>
      <c r="N122" s="14"/>
      <c r="O122" s="15"/>
      <c r="P122" s="15"/>
      <c r="Q122" s="15"/>
      <c r="R122" s="15"/>
      <c r="S122" s="15"/>
      <c r="T122" s="15"/>
      <c r="U122" s="15"/>
      <c r="V122" s="15"/>
      <c r="W122" s="15"/>
    </row>
    <row r="123" spans="1:23" ht="45" x14ac:dyDescent="0.25">
      <c r="A123" s="14" t="s">
        <v>380</v>
      </c>
      <c r="B123" s="14" t="s">
        <v>68</v>
      </c>
      <c r="C123" s="14"/>
      <c r="D123" s="14" t="s">
        <v>381</v>
      </c>
      <c r="E123" s="14" t="s">
        <v>382</v>
      </c>
      <c r="F123" s="14" t="s">
        <v>107</v>
      </c>
      <c r="G123" s="14" t="s">
        <v>383</v>
      </c>
      <c r="H123" s="14" t="s">
        <v>68</v>
      </c>
      <c r="I123" s="14" t="s">
        <v>68</v>
      </c>
      <c r="J123" s="14" t="s">
        <v>371</v>
      </c>
      <c r="K123" s="14" t="s">
        <v>68</v>
      </c>
      <c r="L123" s="14" t="s">
        <v>68</v>
      </c>
      <c r="M123" s="14"/>
      <c r="N123" s="14"/>
      <c r="O123" s="15"/>
      <c r="P123" s="15"/>
      <c r="Q123" s="15"/>
      <c r="R123" s="15"/>
      <c r="S123" s="15"/>
      <c r="T123" s="15"/>
      <c r="U123" s="15"/>
      <c r="V123" s="15"/>
      <c r="W123" s="15"/>
    </row>
    <row r="124" spans="1:23" ht="45" x14ac:dyDescent="0.25">
      <c r="A124" s="14" t="s">
        <v>384</v>
      </c>
      <c r="B124" s="14" t="s">
        <v>68</v>
      </c>
      <c r="C124" s="14"/>
      <c r="D124" s="14" t="s">
        <v>328</v>
      </c>
      <c r="E124" s="14" t="s">
        <v>296</v>
      </c>
      <c r="F124" s="14" t="s">
        <v>68</v>
      </c>
      <c r="G124" s="14" t="s">
        <v>68</v>
      </c>
      <c r="H124" s="14" t="s">
        <v>68</v>
      </c>
      <c r="I124" s="14" t="s">
        <v>68</v>
      </c>
      <c r="J124" s="14" t="s">
        <v>68</v>
      </c>
      <c r="K124" s="14" t="s">
        <v>68</v>
      </c>
      <c r="L124" s="14" t="s">
        <v>68</v>
      </c>
      <c r="M124" s="14"/>
      <c r="N124" s="14"/>
      <c r="O124" s="15"/>
      <c r="P124" s="15"/>
      <c r="Q124" s="15"/>
      <c r="R124" s="15"/>
      <c r="S124" s="15"/>
      <c r="T124" s="15"/>
      <c r="U124" s="15"/>
      <c r="V124" s="15"/>
      <c r="W124" s="15"/>
    </row>
    <row r="125" spans="1:23" ht="45" x14ac:dyDescent="0.25">
      <c r="A125" s="14" t="s">
        <v>385</v>
      </c>
      <c r="B125" s="14" t="s">
        <v>68</v>
      </c>
      <c r="C125" s="14"/>
      <c r="D125" s="14" t="s">
        <v>246</v>
      </c>
      <c r="E125" s="14" t="s">
        <v>247</v>
      </c>
      <c r="F125" s="14" t="s">
        <v>68</v>
      </c>
      <c r="G125" s="14" t="s">
        <v>88</v>
      </c>
      <c r="H125" s="14" t="s">
        <v>68</v>
      </c>
      <c r="I125" s="14" t="s">
        <v>68</v>
      </c>
      <c r="J125" s="14" t="s">
        <v>102</v>
      </c>
      <c r="K125" s="14" t="s">
        <v>68</v>
      </c>
      <c r="L125" s="14" t="s">
        <v>68</v>
      </c>
      <c r="M125" s="14"/>
      <c r="N125" s="14"/>
      <c r="O125" s="15"/>
      <c r="P125" s="15"/>
      <c r="Q125" s="15"/>
      <c r="R125" s="15"/>
      <c r="S125" s="15"/>
      <c r="T125" s="15"/>
      <c r="U125" s="15"/>
      <c r="V125" s="15"/>
      <c r="W125" s="15"/>
    </row>
    <row r="126" spans="1:23" ht="45" x14ac:dyDescent="0.25">
      <c r="A126" s="14" t="s">
        <v>386</v>
      </c>
      <c r="B126" s="14" t="s">
        <v>68</v>
      </c>
      <c r="C126" s="14"/>
      <c r="D126" s="14" t="s">
        <v>241</v>
      </c>
      <c r="E126" s="14" t="s">
        <v>236</v>
      </c>
      <c r="F126" s="14" t="s">
        <v>91</v>
      </c>
      <c r="G126" s="14" t="s">
        <v>68</v>
      </c>
      <c r="H126" s="14" t="s">
        <v>68</v>
      </c>
      <c r="I126" s="14" t="s">
        <v>68</v>
      </c>
      <c r="J126" s="14" t="s">
        <v>201</v>
      </c>
      <c r="K126" s="14" t="s">
        <v>68</v>
      </c>
      <c r="L126" s="14" t="s">
        <v>68</v>
      </c>
      <c r="M126" s="14"/>
      <c r="N126" s="14"/>
      <c r="O126" s="15"/>
      <c r="P126" s="15"/>
      <c r="Q126" s="15"/>
      <c r="R126" s="15"/>
      <c r="S126" s="15"/>
      <c r="T126" s="15"/>
      <c r="U126" s="15"/>
      <c r="V126" s="15"/>
      <c r="W126" s="15"/>
    </row>
    <row r="127" spans="1:23" ht="45" x14ac:dyDescent="0.25">
      <c r="A127" s="14" t="s">
        <v>387</v>
      </c>
      <c r="B127" s="14" t="s">
        <v>68</v>
      </c>
      <c r="C127" s="14"/>
      <c r="D127" s="14" t="s">
        <v>284</v>
      </c>
      <c r="E127" s="14" t="s">
        <v>285</v>
      </c>
      <c r="F127" s="14" t="s">
        <v>68</v>
      </c>
      <c r="G127" s="14" t="s">
        <v>68</v>
      </c>
      <c r="H127" s="14" t="s">
        <v>68</v>
      </c>
      <c r="I127" s="14" t="s">
        <v>68</v>
      </c>
      <c r="J127" s="14" t="s">
        <v>68</v>
      </c>
      <c r="K127" s="14" t="s">
        <v>68</v>
      </c>
      <c r="L127" s="14" t="s">
        <v>68</v>
      </c>
      <c r="M127" s="14"/>
      <c r="N127" s="14"/>
      <c r="O127" s="15"/>
      <c r="P127" s="15"/>
      <c r="Q127" s="15"/>
      <c r="R127" s="15"/>
      <c r="S127" s="15"/>
      <c r="T127" s="15"/>
      <c r="U127" s="15"/>
      <c r="V127" s="15"/>
      <c r="W127" s="15"/>
    </row>
    <row r="128" spans="1:23" ht="45" x14ac:dyDescent="0.25">
      <c r="A128" s="14" t="s">
        <v>388</v>
      </c>
      <c r="B128" s="14" t="s">
        <v>68</v>
      </c>
      <c r="C128" s="14"/>
      <c r="D128" s="14" t="s">
        <v>241</v>
      </c>
      <c r="E128" s="14" t="s">
        <v>236</v>
      </c>
      <c r="F128" s="14" t="s">
        <v>389</v>
      </c>
      <c r="G128" s="14" t="s">
        <v>68</v>
      </c>
      <c r="H128" s="14" t="s">
        <v>68</v>
      </c>
      <c r="I128" s="14" t="s">
        <v>68</v>
      </c>
      <c r="J128" s="14" t="s">
        <v>68</v>
      </c>
      <c r="K128" s="14" t="s">
        <v>68</v>
      </c>
      <c r="L128" s="14" t="s">
        <v>68</v>
      </c>
      <c r="M128" s="14"/>
      <c r="N128" s="14"/>
      <c r="O128" s="15"/>
      <c r="P128" s="15"/>
      <c r="Q128" s="15"/>
      <c r="R128" s="15"/>
      <c r="S128" s="15"/>
      <c r="T128" s="15"/>
      <c r="U128" s="15"/>
      <c r="V128" s="15"/>
      <c r="W128" s="15"/>
    </row>
    <row r="129" spans="1:23" ht="45" x14ac:dyDescent="0.25">
      <c r="A129" s="14" t="s">
        <v>390</v>
      </c>
      <c r="B129" s="14" t="s">
        <v>68</v>
      </c>
      <c r="C129" s="14"/>
      <c r="D129" s="14" t="s">
        <v>258</v>
      </c>
      <c r="E129" s="14" t="s">
        <v>227</v>
      </c>
      <c r="F129" s="14" t="s">
        <v>68</v>
      </c>
      <c r="G129" s="14" t="s">
        <v>68</v>
      </c>
      <c r="H129" s="14" t="s">
        <v>68</v>
      </c>
      <c r="I129" s="14" t="s">
        <v>68</v>
      </c>
      <c r="J129" s="14" t="s">
        <v>68</v>
      </c>
      <c r="K129" s="14" t="s">
        <v>68</v>
      </c>
      <c r="L129" s="14" t="s">
        <v>68</v>
      </c>
      <c r="M129" s="14"/>
      <c r="N129" s="14"/>
      <c r="O129" s="15"/>
      <c r="P129" s="15"/>
      <c r="Q129" s="15"/>
      <c r="R129" s="15"/>
      <c r="S129" s="15"/>
      <c r="T129" s="15"/>
      <c r="U129" s="15"/>
      <c r="V129" s="15"/>
      <c r="W129" s="15"/>
    </row>
    <row r="130" spans="1:23" ht="45" x14ac:dyDescent="0.25">
      <c r="A130" s="14" t="s">
        <v>391</v>
      </c>
      <c r="B130" s="14" t="s">
        <v>68</v>
      </c>
      <c r="C130" s="14"/>
      <c r="D130" s="14" t="s">
        <v>241</v>
      </c>
      <c r="E130" s="14" t="s">
        <v>236</v>
      </c>
      <c r="F130" s="14" t="s">
        <v>392</v>
      </c>
      <c r="G130" s="14" t="s">
        <v>68</v>
      </c>
      <c r="H130" s="14" t="s">
        <v>68</v>
      </c>
      <c r="I130" s="14" t="s">
        <v>68</v>
      </c>
      <c r="J130" s="14" t="s">
        <v>68</v>
      </c>
      <c r="K130" s="14" t="s">
        <v>68</v>
      </c>
      <c r="L130" s="14" t="s">
        <v>68</v>
      </c>
      <c r="M130" s="14"/>
      <c r="N130" s="14"/>
      <c r="O130" s="15"/>
      <c r="P130" s="15"/>
      <c r="Q130" s="15"/>
      <c r="R130" s="15"/>
      <c r="S130" s="15"/>
      <c r="T130" s="15"/>
      <c r="U130" s="15"/>
      <c r="V130" s="15"/>
      <c r="W130" s="15"/>
    </row>
    <row r="131" spans="1:23" ht="45" x14ac:dyDescent="0.25">
      <c r="A131" s="14" t="s">
        <v>393</v>
      </c>
      <c r="B131" s="14" t="s">
        <v>68</v>
      </c>
      <c r="C131" s="14"/>
      <c r="D131" s="14" t="s">
        <v>328</v>
      </c>
      <c r="E131" s="14" t="s">
        <v>296</v>
      </c>
      <c r="F131" s="14" t="s">
        <v>68</v>
      </c>
      <c r="G131" s="14" t="s">
        <v>68</v>
      </c>
      <c r="H131" s="14" t="s">
        <v>68</v>
      </c>
      <c r="I131" s="14" t="s">
        <v>68</v>
      </c>
      <c r="J131" s="14" t="s">
        <v>68</v>
      </c>
      <c r="K131" s="14" t="s">
        <v>68</v>
      </c>
      <c r="L131" s="14" t="s">
        <v>68</v>
      </c>
      <c r="M131" s="14"/>
      <c r="N131" s="14"/>
      <c r="O131" s="15"/>
      <c r="P131" s="15"/>
      <c r="Q131" s="15"/>
      <c r="R131" s="15"/>
      <c r="S131" s="15"/>
      <c r="T131" s="15"/>
      <c r="U131" s="15"/>
      <c r="V131" s="15"/>
      <c r="W131" s="15"/>
    </row>
    <row r="132" spans="1:23" ht="45" x14ac:dyDescent="0.25">
      <c r="A132" s="14" t="s">
        <v>394</v>
      </c>
      <c r="B132" s="14" t="s">
        <v>68</v>
      </c>
      <c r="C132" s="14"/>
      <c r="D132" s="14" t="s">
        <v>232</v>
      </c>
      <c r="E132" s="14" t="s">
        <v>209</v>
      </c>
      <c r="F132" s="14" t="s">
        <v>68</v>
      </c>
      <c r="G132" s="14" t="s">
        <v>68</v>
      </c>
      <c r="H132" s="14" t="s">
        <v>68</v>
      </c>
      <c r="I132" s="14" t="s">
        <v>68</v>
      </c>
      <c r="J132" s="14" t="s">
        <v>68</v>
      </c>
      <c r="K132" s="14" t="s">
        <v>68</v>
      </c>
      <c r="L132" s="14" t="s">
        <v>68</v>
      </c>
      <c r="M132" s="14"/>
      <c r="N132" s="14"/>
      <c r="O132" s="15"/>
      <c r="P132" s="15"/>
      <c r="Q132" s="15"/>
      <c r="R132" s="15"/>
      <c r="S132" s="15"/>
      <c r="T132" s="15"/>
      <c r="U132" s="15"/>
      <c r="V132" s="15"/>
      <c r="W132" s="15"/>
    </row>
    <row r="133" spans="1:23" ht="45" x14ac:dyDescent="0.25">
      <c r="A133" s="14" t="s">
        <v>395</v>
      </c>
      <c r="B133" s="14" t="s">
        <v>68</v>
      </c>
      <c r="C133" s="14"/>
      <c r="D133" s="14" t="s">
        <v>219</v>
      </c>
      <c r="E133" s="14" t="s">
        <v>220</v>
      </c>
      <c r="F133" s="14" t="s">
        <v>68</v>
      </c>
      <c r="G133" s="14" t="s">
        <v>125</v>
      </c>
      <c r="H133" s="14" t="s">
        <v>68</v>
      </c>
      <c r="I133" s="14" t="s">
        <v>68</v>
      </c>
      <c r="J133" s="14" t="s">
        <v>201</v>
      </c>
      <c r="K133" s="14" t="s">
        <v>68</v>
      </c>
      <c r="L133" s="14" t="s">
        <v>68</v>
      </c>
      <c r="M133" s="14"/>
      <c r="N133" s="14"/>
      <c r="O133" s="15"/>
      <c r="P133" s="15"/>
      <c r="Q133" s="15"/>
      <c r="R133" s="15"/>
      <c r="S133" s="15"/>
      <c r="T133" s="15"/>
      <c r="U133" s="15"/>
      <c r="V133" s="15"/>
      <c r="W133" s="15"/>
    </row>
    <row r="134" spans="1:23" ht="45" x14ac:dyDescent="0.25">
      <c r="A134" s="14" t="s">
        <v>396</v>
      </c>
      <c r="B134" s="14" t="s">
        <v>68</v>
      </c>
      <c r="C134" s="14"/>
      <c r="D134" s="14" t="s">
        <v>284</v>
      </c>
      <c r="E134" s="14" t="s">
        <v>285</v>
      </c>
      <c r="F134" s="14" t="s">
        <v>68</v>
      </c>
      <c r="G134" s="14" t="s">
        <v>68</v>
      </c>
      <c r="H134" s="14" t="s">
        <v>68</v>
      </c>
      <c r="I134" s="14" t="s">
        <v>68</v>
      </c>
      <c r="J134" s="14" t="s">
        <v>68</v>
      </c>
      <c r="K134" s="14" t="s">
        <v>68</v>
      </c>
      <c r="L134" s="14" t="s">
        <v>68</v>
      </c>
      <c r="M134" s="14"/>
      <c r="N134" s="14"/>
      <c r="O134" s="15"/>
      <c r="P134" s="15"/>
      <c r="Q134" s="15"/>
      <c r="R134" s="15"/>
      <c r="S134" s="15"/>
      <c r="T134" s="15"/>
      <c r="U134" s="15"/>
      <c r="V134" s="15"/>
      <c r="W134" s="15"/>
    </row>
    <row r="135" spans="1:23" ht="45" x14ac:dyDescent="0.25">
      <c r="A135" s="14" t="s">
        <v>397</v>
      </c>
      <c r="B135" s="14" t="s">
        <v>68</v>
      </c>
      <c r="C135" s="14"/>
      <c r="D135" s="14" t="s">
        <v>288</v>
      </c>
      <c r="E135" s="14" t="s">
        <v>291</v>
      </c>
      <c r="F135" s="14" t="s">
        <v>68</v>
      </c>
      <c r="G135" s="14" t="s">
        <v>68</v>
      </c>
      <c r="H135" s="14" t="s">
        <v>68</v>
      </c>
      <c r="I135" s="14" t="s">
        <v>68</v>
      </c>
      <c r="J135" s="14" t="s">
        <v>68</v>
      </c>
      <c r="K135" s="14" t="s">
        <v>68</v>
      </c>
      <c r="L135" s="14" t="s">
        <v>68</v>
      </c>
      <c r="M135" s="14"/>
      <c r="N135" s="14"/>
      <c r="O135" s="15"/>
      <c r="P135" s="15"/>
      <c r="Q135" s="15"/>
      <c r="R135" s="15"/>
      <c r="S135" s="15"/>
      <c r="T135" s="15"/>
      <c r="U135" s="15"/>
      <c r="V135" s="15"/>
      <c r="W135" s="15"/>
    </row>
    <row r="136" spans="1:23" ht="45" x14ac:dyDescent="0.25">
      <c r="A136" s="14" t="s">
        <v>398</v>
      </c>
      <c r="B136" s="14" t="s">
        <v>68</v>
      </c>
      <c r="C136" s="14"/>
      <c r="D136" s="14" t="s">
        <v>288</v>
      </c>
      <c r="E136" s="14" t="s">
        <v>291</v>
      </c>
      <c r="F136" s="14" t="s">
        <v>68</v>
      </c>
      <c r="G136" s="14" t="s">
        <v>68</v>
      </c>
      <c r="H136" s="14" t="s">
        <v>68</v>
      </c>
      <c r="I136" s="14" t="s">
        <v>68</v>
      </c>
      <c r="J136" s="14" t="s">
        <v>68</v>
      </c>
      <c r="K136" s="14" t="s">
        <v>68</v>
      </c>
      <c r="L136" s="14" t="s">
        <v>68</v>
      </c>
      <c r="M136" s="14"/>
      <c r="N136" s="14"/>
      <c r="O136" s="15"/>
      <c r="P136" s="15"/>
      <c r="Q136" s="15"/>
      <c r="R136" s="15"/>
      <c r="S136" s="15"/>
      <c r="T136" s="15"/>
      <c r="U136" s="15"/>
      <c r="V136" s="15"/>
      <c r="W136" s="15"/>
    </row>
    <row r="137" spans="1:23" x14ac:dyDescent="0.25">
      <c r="A137" s="14" t="s">
        <v>399</v>
      </c>
      <c r="B137" s="14" t="s">
        <v>68</v>
      </c>
      <c r="C137" s="14"/>
      <c r="D137" s="14" t="s">
        <v>68</v>
      </c>
      <c r="E137" s="14" t="s">
        <v>68</v>
      </c>
      <c r="F137" s="14" t="s">
        <v>138</v>
      </c>
      <c r="G137" s="14" t="s">
        <v>68</v>
      </c>
      <c r="H137" s="14" t="s">
        <v>68</v>
      </c>
      <c r="I137" s="14" t="s">
        <v>68</v>
      </c>
      <c r="J137" s="14" t="s">
        <v>102</v>
      </c>
      <c r="K137" s="14" t="s">
        <v>68</v>
      </c>
      <c r="L137" s="14" t="s">
        <v>68</v>
      </c>
      <c r="M137" s="14"/>
      <c r="N137" s="14"/>
      <c r="O137" s="15"/>
      <c r="P137" s="15"/>
      <c r="Q137" s="15"/>
      <c r="R137" s="15"/>
      <c r="S137" s="15"/>
      <c r="T137" s="15"/>
      <c r="U137" s="15"/>
      <c r="V137" s="15"/>
      <c r="W137" s="15"/>
    </row>
    <row r="138" spans="1:23" ht="45" x14ac:dyDescent="0.25">
      <c r="A138" s="14" t="s">
        <v>400</v>
      </c>
      <c r="B138" s="14" t="s">
        <v>68</v>
      </c>
      <c r="C138" s="14"/>
      <c r="D138" s="14" t="s">
        <v>238</v>
      </c>
      <c r="E138" s="14" t="s">
        <v>239</v>
      </c>
      <c r="F138" s="14" t="s">
        <v>68</v>
      </c>
      <c r="G138" s="14" t="s">
        <v>68</v>
      </c>
      <c r="H138" s="14" t="s">
        <v>68</v>
      </c>
      <c r="I138" s="14" t="s">
        <v>68</v>
      </c>
      <c r="J138" s="14" t="s">
        <v>68</v>
      </c>
      <c r="K138" s="14" t="s">
        <v>68</v>
      </c>
      <c r="L138" s="14" t="s">
        <v>68</v>
      </c>
      <c r="M138" s="14"/>
      <c r="N138" s="14"/>
      <c r="O138" s="15"/>
      <c r="P138" s="15"/>
      <c r="Q138" s="15"/>
      <c r="R138" s="15"/>
      <c r="S138" s="15"/>
      <c r="T138" s="15"/>
      <c r="U138" s="15"/>
      <c r="V138" s="15"/>
      <c r="W138" s="15"/>
    </row>
    <row r="139" spans="1:23" ht="45" x14ac:dyDescent="0.25">
      <c r="A139" s="14" t="s">
        <v>401</v>
      </c>
      <c r="B139" s="14" t="s">
        <v>68</v>
      </c>
      <c r="C139" s="14"/>
      <c r="D139" s="14" t="s">
        <v>288</v>
      </c>
      <c r="E139" s="14" t="s">
        <v>296</v>
      </c>
      <c r="F139" s="14" t="s">
        <v>68</v>
      </c>
      <c r="G139" s="14" t="s">
        <v>68</v>
      </c>
      <c r="H139" s="14" t="s">
        <v>68</v>
      </c>
      <c r="I139" s="14" t="s">
        <v>68</v>
      </c>
      <c r="J139" s="14" t="s">
        <v>68</v>
      </c>
      <c r="K139" s="14" t="s">
        <v>68</v>
      </c>
      <c r="L139" s="14" t="s">
        <v>68</v>
      </c>
      <c r="M139" s="14"/>
      <c r="N139" s="14"/>
      <c r="O139" s="15"/>
      <c r="P139" s="15"/>
      <c r="Q139" s="15"/>
      <c r="R139" s="15"/>
      <c r="S139" s="15"/>
      <c r="T139" s="15"/>
      <c r="U139" s="15"/>
      <c r="V139" s="15"/>
      <c r="W139" s="15"/>
    </row>
    <row r="140" spans="1:23" ht="45" x14ac:dyDescent="0.25">
      <c r="A140" s="14" t="s">
        <v>402</v>
      </c>
      <c r="B140" s="14" t="s">
        <v>68</v>
      </c>
      <c r="C140" s="14"/>
      <c r="D140" s="14" t="s">
        <v>256</v>
      </c>
      <c r="E140" s="14" t="s">
        <v>223</v>
      </c>
      <c r="F140" s="14" t="s">
        <v>68</v>
      </c>
      <c r="G140" s="14" t="s">
        <v>68</v>
      </c>
      <c r="H140" s="14" t="s">
        <v>68</v>
      </c>
      <c r="I140" s="14" t="s">
        <v>68</v>
      </c>
      <c r="J140" s="14" t="s">
        <v>68</v>
      </c>
      <c r="K140" s="14" t="s">
        <v>68</v>
      </c>
      <c r="L140" s="14" t="s">
        <v>68</v>
      </c>
      <c r="M140" s="14"/>
      <c r="N140" s="14"/>
      <c r="O140" s="15"/>
      <c r="P140" s="15"/>
      <c r="Q140" s="15"/>
      <c r="R140" s="15"/>
      <c r="S140" s="15"/>
      <c r="T140" s="15"/>
      <c r="U140" s="15"/>
      <c r="V140" s="15"/>
      <c r="W140" s="15"/>
    </row>
    <row r="141" spans="1:23" ht="60" x14ac:dyDescent="0.25">
      <c r="A141" s="14" t="s">
        <v>403</v>
      </c>
      <c r="B141" s="14" t="s">
        <v>68</v>
      </c>
      <c r="C141" s="14"/>
      <c r="D141" s="14" t="s">
        <v>314</v>
      </c>
      <c r="E141" s="14" t="s">
        <v>68</v>
      </c>
      <c r="F141" s="14" t="s">
        <v>68</v>
      </c>
      <c r="G141" s="14" t="s">
        <v>404</v>
      </c>
      <c r="H141" s="14" t="s">
        <v>68</v>
      </c>
      <c r="I141" s="14" t="s">
        <v>68</v>
      </c>
      <c r="J141" s="14" t="s">
        <v>102</v>
      </c>
      <c r="K141" s="14" t="s">
        <v>68</v>
      </c>
      <c r="L141" s="14" t="s">
        <v>68</v>
      </c>
      <c r="M141" s="14"/>
      <c r="N141" s="14"/>
      <c r="O141" s="15"/>
      <c r="P141" s="15"/>
      <c r="Q141" s="15"/>
      <c r="R141" s="15"/>
      <c r="S141" s="15"/>
      <c r="T141" s="15"/>
      <c r="U141" s="15"/>
      <c r="V141" s="15"/>
      <c r="W141" s="15"/>
    </row>
    <row r="142" spans="1:23" ht="60" x14ac:dyDescent="0.25">
      <c r="A142" s="14" t="s">
        <v>405</v>
      </c>
      <c r="B142" s="14" t="s">
        <v>68</v>
      </c>
      <c r="C142" s="14"/>
      <c r="D142" s="14" t="s">
        <v>235</v>
      </c>
      <c r="E142" s="14" t="s">
        <v>236</v>
      </c>
      <c r="F142" s="14" t="s">
        <v>74</v>
      </c>
      <c r="G142" s="14" t="s">
        <v>68</v>
      </c>
      <c r="H142" s="14" t="s">
        <v>68</v>
      </c>
      <c r="I142" s="14" t="s">
        <v>68</v>
      </c>
      <c r="J142" s="14" t="s">
        <v>74</v>
      </c>
      <c r="K142" s="14" t="s">
        <v>68</v>
      </c>
      <c r="L142" s="14" t="s">
        <v>68</v>
      </c>
      <c r="M142" s="14"/>
      <c r="N142" s="14"/>
      <c r="O142" s="15"/>
      <c r="P142" s="15"/>
      <c r="Q142" s="15"/>
      <c r="R142" s="15"/>
      <c r="S142" s="15"/>
      <c r="T142" s="15"/>
      <c r="U142" s="15"/>
      <c r="V142" s="15"/>
      <c r="W142" s="15"/>
    </row>
    <row r="143" spans="1:23" ht="45" x14ac:dyDescent="0.25">
      <c r="A143" s="14" t="s">
        <v>406</v>
      </c>
      <c r="B143" s="14" t="s">
        <v>68</v>
      </c>
      <c r="C143" s="14"/>
      <c r="D143" s="14" t="s">
        <v>241</v>
      </c>
      <c r="E143" s="14" t="s">
        <v>236</v>
      </c>
      <c r="F143" s="14" t="s">
        <v>91</v>
      </c>
      <c r="G143" s="14" t="s">
        <v>68</v>
      </c>
      <c r="H143" s="14" t="s">
        <v>68</v>
      </c>
      <c r="I143" s="14" t="s">
        <v>68</v>
      </c>
      <c r="J143" s="14" t="s">
        <v>201</v>
      </c>
      <c r="K143" s="14" t="s">
        <v>68</v>
      </c>
      <c r="L143" s="14" t="s">
        <v>68</v>
      </c>
      <c r="M143" s="14"/>
      <c r="N143" s="14"/>
      <c r="O143" s="15"/>
      <c r="P143" s="15"/>
      <c r="Q143" s="15"/>
      <c r="R143" s="15"/>
      <c r="S143" s="15"/>
      <c r="T143" s="15"/>
      <c r="U143" s="15"/>
      <c r="V143" s="15"/>
      <c r="W143" s="15"/>
    </row>
    <row r="144" spans="1:23" ht="60" x14ac:dyDescent="0.25">
      <c r="A144" s="14" t="s">
        <v>407</v>
      </c>
      <c r="B144" s="14" t="s">
        <v>68</v>
      </c>
      <c r="C144" s="14"/>
      <c r="D144" s="14" t="s">
        <v>215</v>
      </c>
      <c r="E144" s="14" t="s">
        <v>216</v>
      </c>
      <c r="F144" s="14" t="s">
        <v>68</v>
      </c>
      <c r="G144" s="14" t="s">
        <v>74</v>
      </c>
      <c r="H144" s="14" t="s">
        <v>68</v>
      </c>
      <c r="I144" s="14" t="s">
        <v>68</v>
      </c>
      <c r="J144" s="14" t="s">
        <v>74</v>
      </c>
      <c r="K144" s="14" t="s">
        <v>68</v>
      </c>
      <c r="L144" s="14" t="s">
        <v>68</v>
      </c>
      <c r="M144" s="14"/>
      <c r="N144" s="14"/>
      <c r="O144" s="15"/>
      <c r="P144" s="15"/>
      <c r="Q144" s="15"/>
      <c r="R144" s="15"/>
      <c r="S144" s="15"/>
      <c r="T144" s="15"/>
      <c r="U144" s="15"/>
      <c r="V144" s="15"/>
      <c r="W144" s="15"/>
    </row>
    <row r="145" spans="1:23" ht="45" x14ac:dyDescent="0.25">
      <c r="A145" s="14" t="s">
        <v>408</v>
      </c>
      <c r="B145" s="14" t="s">
        <v>68</v>
      </c>
      <c r="C145" s="14"/>
      <c r="D145" s="14" t="s">
        <v>246</v>
      </c>
      <c r="E145" s="14" t="s">
        <v>247</v>
      </c>
      <c r="F145" s="14" t="s">
        <v>68</v>
      </c>
      <c r="G145" s="14" t="s">
        <v>102</v>
      </c>
      <c r="H145" s="14" t="s">
        <v>68</v>
      </c>
      <c r="I145" s="14" t="s">
        <v>68</v>
      </c>
      <c r="J145" s="14" t="s">
        <v>102</v>
      </c>
      <c r="K145" s="14" t="s">
        <v>68</v>
      </c>
      <c r="L145" s="14" t="s">
        <v>68</v>
      </c>
      <c r="M145" s="14"/>
      <c r="N145" s="14"/>
      <c r="O145" s="15"/>
      <c r="P145" s="15"/>
      <c r="Q145" s="15"/>
      <c r="R145" s="15"/>
      <c r="S145" s="15"/>
      <c r="T145" s="15"/>
      <c r="U145" s="15"/>
      <c r="V145" s="15"/>
      <c r="W145" s="15"/>
    </row>
    <row r="146" spans="1:23" ht="60" x14ac:dyDescent="0.25">
      <c r="A146" s="14" t="s">
        <v>409</v>
      </c>
      <c r="B146" s="14" t="s">
        <v>68</v>
      </c>
      <c r="C146" s="14"/>
      <c r="D146" s="14" t="s">
        <v>208</v>
      </c>
      <c r="E146" s="14" t="s">
        <v>209</v>
      </c>
      <c r="F146" s="14" t="s">
        <v>68</v>
      </c>
      <c r="G146" s="14" t="s">
        <v>148</v>
      </c>
      <c r="H146" s="14" t="s">
        <v>68</v>
      </c>
      <c r="I146" s="14" t="s">
        <v>68</v>
      </c>
      <c r="J146" s="14" t="s">
        <v>102</v>
      </c>
      <c r="K146" s="14" t="s">
        <v>68</v>
      </c>
      <c r="L146" s="14" t="s">
        <v>68</v>
      </c>
      <c r="M146" s="14"/>
      <c r="N146" s="14"/>
      <c r="O146" s="15"/>
      <c r="P146" s="15"/>
      <c r="Q146" s="15"/>
      <c r="R146" s="15"/>
      <c r="S146" s="15"/>
      <c r="T146" s="15"/>
      <c r="U146" s="15"/>
      <c r="V146" s="15"/>
      <c r="W146" s="15"/>
    </row>
    <row r="147" spans="1:23" ht="45" x14ac:dyDescent="0.25">
      <c r="A147" s="14" t="s">
        <v>410</v>
      </c>
      <c r="B147" s="14" t="s">
        <v>68</v>
      </c>
      <c r="C147" s="14"/>
      <c r="D147" s="14" t="s">
        <v>288</v>
      </c>
      <c r="E147" s="14" t="s">
        <v>291</v>
      </c>
      <c r="F147" s="14" t="s">
        <v>68</v>
      </c>
      <c r="G147" s="14" t="s">
        <v>68</v>
      </c>
      <c r="H147" s="14" t="s">
        <v>68</v>
      </c>
      <c r="I147" s="14" t="s">
        <v>68</v>
      </c>
      <c r="J147" s="14" t="s">
        <v>68</v>
      </c>
      <c r="K147" s="14" t="s">
        <v>68</v>
      </c>
      <c r="L147" s="14" t="s">
        <v>68</v>
      </c>
      <c r="M147" s="14"/>
      <c r="N147" s="14"/>
      <c r="O147" s="15"/>
      <c r="P147" s="15"/>
      <c r="Q147" s="15"/>
      <c r="R147" s="15"/>
      <c r="S147" s="15"/>
      <c r="T147" s="15"/>
      <c r="U147" s="15"/>
      <c r="V147" s="15"/>
      <c r="W147" s="15"/>
    </row>
    <row r="148" spans="1:23" ht="45" x14ac:dyDescent="0.25">
      <c r="A148" s="14" t="s">
        <v>411</v>
      </c>
      <c r="B148" s="14" t="s">
        <v>68</v>
      </c>
      <c r="C148" s="14"/>
      <c r="D148" s="14" t="s">
        <v>263</v>
      </c>
      <c r="E148" s="14" t="s">
        <v>264</v>
      </c>
      <c r="F148" s="14" t="s">
        <v>68</v>
      </c>
      <c r="G148" s="14" t="s">
        <v>68</v>
      </c>
      <c r="H148" s="14" t="s">
        <v>68</v>
      </c>
      <c r="I148" s="14" t="s">
        <v>68</v>
      </c>
      <c r="J148" s="14" t="s">
        <v>68</v>
      </c>
      <c r="K148" s="14" t="s">
        <v>68</v>
      </c>
      <c r="L148" s="14" t="s">
        <v>68</v>
      </c>
      <c r="M148" s="14"/>
      <c r="N148" s="14"/>
      <c r="O148" s="15"/>
      <c r="P148" s="15"/>
      <c r="Q148" s="15"/>
      <c r="R148" s="15"/>
      <c r="S148" s="15"/>
      <c r="T148" s="15"/>
      <c r="U148" s="15"/>
      <c r="V148" s="15"/>
      <c r="W148" s="15"/>
    </row>
    <row r="149" spans="1:23" ht="45" x14ac:dyDescent="0.25">
      <c r="A149" s="14" t="s">
        <v>412</v>
      </c>
      <c r="B149" s="14" t="s">
        <v>68</v>
      </c>
      <c r="C149" s="14"/>
      <c r="D149" s="14" t="s">
        <v>232</v>
      </c>
      <c r="E149" s="14" t="s">
        <v>209</v>
      </c>
      <c r="F149" s="14" t="s">
        <v>68</v>
      </c>
      <c r="G149" s="14" t="s">
        <v>68</v>
      </c>
      <c r="H149" s="14" t="s">
        <v>68</v>
      </c>
      <c r="I149" s="14" t="s">
        <v>68</v>
      </c>
      <c r="J149" s="14" t="s">
        <v>68</v>
      </c>
      <c r="K149" s="14" t="s">
        <v>68</v>
      </c>
      <c r="L149" s="14" t="s">
        <v>68</v>
      </c>
      <c r="M149" s="14"/>
      <c r="N149" s="14"/>
      <c r="O149" s="15"/>
      <c r="P149" s="15"/>
      <c r="Q149" s="15"/>
      <c r="R149" s="15"/>
      <c r="S149" s="15"/>
      <c r="T149" s="15"/>
      <c r="U149" s="15"/>
      <c r="V149" s="15"/>
      <c r="W149" s="15"/>
    </row>
    <row r="150" spans="1:23" ht="45" x14ac:dyDescent="0.25">
      <c r="A150" s="14" t="s">
        <v>413</v>
      </c>
      <c r="B150" s="14" t="s">
        <v>68</v>
      </c>
      <c r="C150" s="14"/>
      <c r="D150" s="14" t="s">
        <v>222</v>
      </c>
      <c r="E150" s="14" t="s">
        <v>223</v>
      </c>
      <c r="F150" s="14" t="s">
        <v>68</v>
      </c>
      <c r="G150" s="14" t="s">
        <v>87</v>
      </c>
      <c r="H150" s="14" t="s">
        <v>68</v>
      </c>
      <c r="I150" s="14" t="s">
        <v>68</v>
      </c>
      <c r="J150" s="14" t="s">
        <v>225</v>
      </c>
      <c r="K150" s="14" t="s">
        <v>68</v>
      </c>
      <c r="L150" s="14" t="s">
        <v>68</v>
      </c>
      <c r="M150" s="14"/>
      <c r="N150" s="14"/>
      <c r="O150" s="15"/>
      <c r="P150" s="15"/>
      <c r="Q150" s="15"/>
      <c r="R150" s="15"/>
      <c r="S150" s="15"/>
      <c r="T150" s="15"/>
      <c r="U150" s="15"/>
      <c r="V150" s="15"/>
      <c r="W150" s="15"/>
    </row>
    <row r="151" spans="1:23" ht="45" x14ac:dyDescent="0.25">
      <c r="A151" s="14" t="s">
        <v>414</v>
      </c>
      <c r="B151" s="14" t="s">
        <v>68</v>
      </c>
      <c r="C151" s="14"/>
      <c r="D151" s="14" t="s">
        <v>284</v>
      </c>
      <c r="E151" s="14" t="s">
        <v>285</v>
      </c>
      <c r="F151" s="14" t="s">
        <v>68</v>
      </c>
      <c r="G151" s="14" t="s">
        <v>68</v>
      </c>
      <c r="H151" s="14" t="s">
        <v>68</v>
      </c>
      <c r="I151" s="14" t="s">
        <v>68</v>
      </c>
      <c r="J151" s="14" t="s">
        <v>68</v>
      </c>
      <c r="K151" s="14" t="s">
        <v>68</v>
      </c>
      <c r="L151" s="14" t="s">
        <v>68</v>
      </c>
      <c r="M151" s="14"/>
      <c r="N151" s="14"/>
      <c r="O151" s="15"/>
      <c r="P151" s="15"/>
      <c r="Q151" s="15"/>
      <c r="R151" s="15"/>
      <c r="S151" s="15"/>
      <c r="T151" s="15"/>
      <c r="U151" s="15"/>
      <c r="V151" s="15"/>
      <c r="W151" s="15"/>
    </row>
    <row r="152" spans="1:23" ht="45" x14ac:dyDescent="0.25">
      <c r="A152" s="14" t="s">
        <v>415</v>
      </c>
      <c r="B152" s="14" t="s">
        <v>68</v>
      </c>
      <c r="C152" s="14"/>
      <c r="D152" s="14" t="s">
        <v>256</v>
      </c>
      <c r="E152" s="14" t="s">
        <v>223</v>
      </c>
      <c r="F152" s="14" t="s">
        <v>68</v>
      </c>
      <c r="G152" s="14" t="s">
        <v>68</v>
      </c>
      <c r="H152" s="14" t="s">
        <v>68</v>
      </c>
      <c r="I152" s="14" t="s">
        <v>68</v>
      </c>
      <c r="J152" s="14" t="s">
        <v>68</v>
      </c>
      <c r="K152" s="14" t="s">
        <v>68</v>
      </c>
      <c r="L152" s="14" t="s">
        <v>68</v>
      </c>
      <c r="M152" s="14"/>
      <c r="N152" s="14"/>
      <c r="O152" s="15"/>
      <c r="P152" s="15"/>
      <c r="Q152" s="15"/>
      <c r="R152" s="15"/>
      <c r="S152" s="15"/>
      <c r="T152" s="15"/>
      <c r="U152" s="15"/>
      <c r="V152" s="15"/>
      <c r="W152" s="15"/>
    </row>
    <row r="153" spans="1:23" ht="45" x14ac:dyDescent="0.25">
      <c r="A153" s="14" t="s">
        <v>416</v>
      </c>
      <c r="B153" s="14" t="s">
        <v>68</v>
      </c>
      <c r="C153" s="14"/>
      <c r="D153" s="14" t="s">
        <v>328</v>
      </c>
      <c r="E153" s="14" t="s">
        <v>296</v>
      </c>
      <c r="F153" s="14" t="s">
        <v>68</v>
      </c>
      <c r="G153" s="14" t="s">
        <v>68</v>
      </c>
      <c r="H153" s="14" t="s">
        <v>68</v>
      </c>
      <c r="I153" s="14" t="s">
        <v>68</v>
      </c>
      <c r="J153" s="14" t="s">
        <v>68</v>
      </c>
      <c r="K153" s="14" t="s">
        <v>68</v>
      </c>
      <c r="L153" s="14" t="s">
        <v>68</v>
      </c>
      <c r="M153" s="14"/>
      <c r="N153" s="14"/>
      <c r="O153" s="15"/>
      <c r="P153" s="15"/>
      <c r="Q153" s="15"/>
      <c r="R153" s="15"/>
      <c r="S153" s="15"/>
      <c r="T153" s="15"/>
      <c r="U153" s="15"/>
      <c r="V153" s="15"/>
      <c r="W153" s="15"/>
    </row>
    <row r="154" spans="1:23" x14ac:dyDescent="0.25">
      <c r="A154" s="14" t="s">
        <v>417</v>
      </c>
      <c r="B154" s="14" t="s">
        <v>68</v>
      </c>
      <c r="C154" s="14"/>
      <c r="D154" s="14" t="s">
        <v>68</v>
      </c>
      <c r="E154" s="14" t="s">
        <v>68</v>
      </c>
      <c r="F154" s="14" t="s">
        <v>68</v>
      </c>
      <c r="G154" s="14" t="s">
        <v>68</v>
      </c>
      <c r="H154" s="14" t="s">
        <v>68</v>
      </c>
      <c r="I154" s="14" t="s">
        <v>68</v>
      </c>
      <c r="J154" s="14" t="s">
        <v>68</v>
      </c>
      <c r="K154" s="14" t="s">
        <v>68</v>
      </c>
      <c r="L154" s="14" t="s">
        <v>68</v>
      </c>
      <c r="M154" s="14"/>
      <c r="N154" s="14"/>
      <c r="O154" s="15"/>
      <c r="P154" s="15"/>
      <c r="Q154" s="15"/>
      <c r="R154" s="15"/>
      <c r="S154" s="15"/>
      <c r="T154" s="15"/>
      <c r="U154" s="15"/>
      <c r="V154" s="15"/>
      <c r="W154" s="15"/>
    </row>
    <row r="155" spans="1:23" ht="60" x14ac:dyDescent="0.25">
      <c r="A155" s="14" t="s">
        <v>418</v>
      </c>
      <c r="B155" s="14" t="s">
        <v>68</v>
      </c>
      <c r="C155" s="14"/>
      <c r="D155" s="14" t="s">
        <v>314</v>
      </c>
      <c r="E155" s="14" t="s">
        <v>68</v>
      </c>
      <c r="F155" s="14" t="s">
        <v>68</v>
      </c>
      <c r="G155" s="14" t="s">
        <v>68</v>
      </c>
      <c r="H155" s="14" t="s">
        <v>68</v>
      </c>
      <c r="I155" s="14" t="s">
        <v>68</v>
      </c>
      <c r="J155" s="14" t="s">
        <v>68</v>
      </c>
      <c r="K155" s="14" t="s">
        <v>68</v>
      </c>
      <c r="L155" s="14" t="s">
        <v>68</v>
      </c>
      <c r="M155" s="14"/>
      <c r="N155" s="14"/>
      <c r="O155" s="15"/>
      <c r="P155" s="15"/>
      <c r="Q155" s="15"/>
      <c r="R155" s="15"/>
      <c r="S155" s="15"/>
      <c r="T155" s="15"/>
      <c r="U155" s="15"/>
      <c r="V155" s="15"/>
      <c r="W155" s="15"/>
    </row>
    <row r="156" spans="1:23" ht="45" x14ac:dyDescent="0.25">
      <c r="A156" s="14" t="s">
        <v>419</v>
      </c>
      <c r="B156" s="14" t="s">
        <v>68</v>
      </c>
      <c r="C156" s="14"/>
      <c r="D156" s="14" t="s">
        <v>284</v>
      </c>
      <c r="E156" s="14" t="s">
        <v>285</v>
      </c>
      <c r="F156" s="14" t="s">
        <v>68</v>
      </c>
      <c r="G156" s="14" t="s">
        <v>68</v>
      </c>
      <c r="H156" s="14" t="s">
        <v>68</v>
      </c>
      <c r="I156" s="14" t="s">
        <v>68</v>
      </c>
      <c r="J156" s="14" t="s">
        <v>68</v>
      </c>
      <c r="K156" s="14" t="s">
        <v>68</v>
      </c>
      <c r="L156" s="14" t="s">
        <v>68</v>
      </c>
      <c r="M156" s="14"/>
      <c r="N156" s="14"/>
      <c r="O156" s="15"/>
      <c r="P156" s="15"/>
      <c r="Q156" s="15"/>
      <c r="R156" s="15"/>
      <c r="S156" s="15"/>
      <c r="T156" s="15"/>
      <c r="U156" s="15"/>
      <c r="V156" s="15"/>
      <c r="W156" s="15"/>
    </row>
    <row r="157" spans="1:23" ht="60" x14ac:dyDescent="0.25">
      <c r="A157" s="14" t="s">
        <v>420</v>
      </c>
      <c r="B157" s="14" t="s">
        <v>68</v>
      </c>
      <c r="C157" s="14"/>
      <c r="D157" s="14" t="s">
        <v>235</v>
      </c>
      <c r="E157" s="14" t="s">
        <v>236</v>
      </c>
      <c r="F157" s="14" t="s">
        <v>74</v>
      </c>
      <c r="G157" s="14" t="s">
        <v>68</v>
      </c>
      <c r="H157" s="14" t="s">
        <v>68</v>
      </c>
      <c r="I157" s="14" t="s">
        <v>68</v>
      </c>
      <c r="J157" s="14" t="s">
        <v>74</v>
      </c>
      <c r="K157" s="14" t="s">
        <v>68</v>
      </c>
      <c r="L157" s="14" t="s">
        <v>68</v>
      </c>
      <c r="M157" s="14"/>
      <c r="N157" s="14"/>
      <c r="O157" s="15"/>
      <c r="P157" s="15"/>
      <c r="Q157" s="15"/>
      <c r="R157" s="15"/>
      <c r="S157" s="15"/>
      <c r="T157" s="15"/>
      <c r="U157" s="15"/>
      <c r="V157" s="15"/>
      <c r="W157" s="15"/>
    </row>
    <row r="158" spans="1:23" ht="60" x14ac:dyDescent="0.25">
      <c r="A158" s="14" t="s">
        <v>421</v>
      </c>
      <c r="B158" s="14" t="s">
        <v>68</v>
      </c>
      <c r="C158" s="14"/>
      <c r="D158" s="14" t="s">
        <v>215</v>
      </c>
      <c r="E158" s="14" t="s">
        <v>216</v>
      </c>
      <c r="F158" s="14" t="s">
        <v>68</v>
      </c>
      <c r="G158" s="14" t="s">
        <v>74</v>
      </c>
      <c r="H158" s="14" t="s">
        <v>68</v>
      </c>
      <c r="I158" s="14" t="s">
        <v>68</v>
      </c>
      <c r="J158" s="14" t="s">
        <v>74</v>
      </c>
      <c r="K158" s="14" t="s">
        <v>68</v>
      </c>
      <c r="L158" s="14" t="s">
        <v>68</v>
      </c>
      <c r="M158" s="14"/>
      <c r="N158" s="14"/>
      <c r="O158" s="15"/>
      <c r="P158" s="15"/>
      <c r="Q158" s="15"/>
      <c r="R158" s="15"/>
      <c r="S158" s="15"/>
      <c r="T158" s="15"/>
      <c r="U158" s="15"/>
      <c r="V158" s="15"/>
      <c r="W158" s="15"/>
    </row>
    <row r="159" spans="1:23" ht="45" x14ac:dyDescent="0.25">
      <c r="A159" s="14" t="s">
        <v>422</v>
      </c>
      <c r="B159" s="14" t="s">
        <v>68</v>
      </c>
      <c r="C159" s="14"/>
      <c r="D159" s="14" t="s">
        <v>423</v>
      </c>
      <c r="E159" s="14" t="s">
        <v>424</v>
      </c>
      <c r="F159" s="14" t="s">
        <v>68</v>
      </c>
      <c r="G159" s="14" t="s">
        <v>404</v>
      </c>
      <c r="H159" s="14" t="s">
        <v>68</v>
      </c>
      <c r="I159" s="14" t="s">
        <v>68</v>
      </c>
      <c r="J159" s="14" t="s">
        <v>102</v>
      </c>
      <c r="K159" s="14" t="s">
        <v>68</v>
      </c>
      <c r="L159" s="14" t="s">
        <v>68</v>
      </c>
      <c r="M159" s="14"/>
      <c r="N159" s="14"/>
      <c r="O159" s="15"/>
      <c r="P159" s="15"/>
      <c r="Q159" s="15"/>
      <c r="R159" s="15"/>
      <c r="S159" s="15"/>
      <c r="T159" s="15"/>
      <c r="U159" s="15"/>
      <c r="V159" s="15"/>
      <c r="W159" s="15"/>
    </row>
    <row r="160" spans="1:23" ht="45" x14ac:dyDescent="0.25">
      <c r="A160" s="14" t="s">
        <v>425</v>
      </c>
      <c r="B160" s="14" t="s">
        <v>68</v>
      </c>
      <c r="C160" s="14"/>
      <c r="D160" s="14" t="s">
        <v>249</v>
      </c>
      <c r="E160" s="14" t="s">
        <v>250</v>
      </c>
      <c r="F160" s="14" t="s">
        <v>68</v>
      </c>
      <c r="G160" s="14" t="s">
        <v>68</v>
      </c>
      <c r="H160" s="14" t="s">
        <v>68</v>
      </c>
      <c r="I160" s="14" t="s">
        <v>68</v>
      </c>
      <c r="J160" s="14" t="s">
        <v>68</v>
      </c>
      <c r="K160" s="14" t="s">
        <v>68</v>
      </c>
      <c r="L160" s="14" t="s">
        <v>68</v>
      </c>
      <c r="M160" s="14"/>
      <c r="N160" s="14"/>
      <c r="O160" s="15"/>
      <c r="P160" s="15"/>
      <c r="Q160" s="15"/>
      <c r="R160" s="15"/>
      <c r="S160" s="15"/>
      <c r="T160" s="15"/>
      <c r="U160" s="15"/>
      <c r="V160" s="15"/>
      <c r="W160" s="15"/>
    </row>
    <row r="161" spans="1:23" ht="45" x14ac:dyDescent="0.25">
      <c r="A161" s="14" t="s">
        <v>426</v>
      </c>
      <c r="B161" s="14" t="s">
        <v>68</v>
      </c>
      <c r="C161" s="14"/>
      <c r="D161" s="14" t="s">
        <v>288</v>
      </c>
      <c r="E161" s="14" t="s">
        <v>296</v>
      </c>
      <c r="F161" s="14" t="s">
        <v>68</v>
      </c>
      <c r="G161" s="14" t="s">
        <v>68</v>
      </c>
      <c r="H161" s="14" t="s">
        <v>68</v>
      </c>
      <c r="I161" s="14" t="s">
        <v>68</v>
      </c>
      <c r="J161" s="14" t="s">
        <v>68</v>
      </c>
      <c r="K161" s="14" t="s">
        <v>68</v>
      </c>
      <c r="L161" s="14" t="s">
        <v>68</v>
      </c>
      <c r="M161" s="14"/>
      <c r="N161" s="14"/>
      <c r="O161" s="15"/>
      <c r="P161" s="15"/>
      <c r="Q161" s="15"/>
      <c r="R161" s="15"/>
      <c r="S161" s="15"/>
      <c r="T161" s="15"/>
      <c r="U161" s="15"/>
      <c r="V161" s="15"/>
      <c r="W161" s="15"/>
    </row>
    <row r="162" spans="1:23" ht="45" x14ac:dyDescent="0.25">
      <c r="A162" s="14" t="s">
        <v>427</v>
      </c>
      <c r="B162" s="14" t="s">
        <v>68</v>
      </c>
      <c r="C162" s="14"/>
      <c r="D162" s="14" t="s">
        <v>256</v>
      </c>
      <c r="E162" s="14" t="s">
        <v>223</v>
      </c>
      <c r="F162" s="14" t="s">
        <v>68</v>
      </c>
      <c r="G162" s="14" t="s">
        <v>68</v>
      </c>
      <c r="H162" s="14" t="s">
        <v>68</v>
      </c>
      <c r="I162" s="14" t="s">
        <v>68</v>
      </c>
      <c r="J162" s="14" t="s">
        <v>68</v>
      </c>
      <c r="K162" s="14" t="s">
        <v>68</v>
      </c>
      <c r="L162" s="14" t="s">
        <v>68</v>
      </c>
      <c r="M162" s="14"/>
      <c r="N162" s="14"/>
      <c r="O162" s="15"/>
      <c r="P162" s="15"/>
      <c r="Q162" s="15"/>
      <c r="R162" s="15"/>
      <c r="S162" s="15"/>
      <c r="T162" s="15"/>
      <c r="U162" s="15"/>
      <c r="V162" s="15"/>
      <c r="W162" s="15"/>
    </row>
    <row r="163" spans="1:23" ht="45" x14ac:dyDescent="0.25">
      <c r="A163" s="14" t="s">
        <v>428</v>
      </c>
      <c r="B163" s="14" t="s">
        <v>68</v>
      </c>
      <c r="C163" s="14"/>
      <c r="D163" s="14" t="s">
        <v>241</v>
      </c>
      <c r="E163" s="14" t="s">
        <v>236</v>
      </c>
      <c r="F163" s="14" t="s">
        <v>83</v>
      </c>
      <c r="G163" s="14" t="s">
        <v>68</v>
      </c>
      <c r="H163" s="14" t="s">
        <v>68</v>
      </c>
      <c r="I163" s="14" t="s">
        <v>68</v>
      </c>
      <c r="J163" s="14" t="s">
        <v>201</v>
      </c>
      <c r="K163" s="14" t="s">
        <v>68</v>
      </c>
      <c r="L163" s="14" t="s">
        <v>68</v>
      </c>
      <c r="M163" s="14"/>
      <c r="N163" s="14"/>
      <c r="O163" s="15"/>
      <c r="P163" s="15"/>
      <c r="Q163" s="15"/>
      <c r="R163" s="15"/>
      <c r="S163" s="15"/>
      <c r="T163" s="15"/>
      <c r="U163" s="15"/>
      <c r="V163" s="15"/>
      <c r="W163" s="15"/>
    </row>
    <row r="164" spans="1:23" ht="45" x14ac:dyDescent="0.25">
      <c r="A164" s="14" t="s">
        <v>429</v>
      </c>
      <c r="B164" s="14" t="s">
        <v>68</v>
      </c>
      <c r="C164" s="14"/>
      <c r="D164" s="14" t="s">
        <v>328</v>
      </c>
      <c r="E164" s="14" t="s">
        <v>296</v>
      </c>
      <c r="F164" s="14" t="s">
        <v>68</v>
      </c>
      <c r="G164" s="14" t="s">
        <v>68</v>
      </c>
      <c r="H164" s="14" t="s">
        <v>68</v>
      </c>
      <c r="I164" s="14" t="s">
        <v>68</v>
      </c>
      <c r="J164" s="14" t="s">
        <v>68</v>
      </c>
      <c r="K164" s="14" t="s">
        <v>68</v>
      </c>
      <c r="L164" s="14" t="s">
        <v>68</v>
      </c>
      <c r="M164" s="14"/>
      <c r="N164" s="14"/>
      <c r="O164" s="15"/>
      <c r="P164" s="15"/>
      <c r="Q164" s="15"/>
      <c r="R164" s="15"/>
      <c r="S164" s="15"/>
      <c r="T164" s="15"/>
      <c r="U164" s="15"/>
      <c r="V164" s="15"/>
      <c r="W164" s="15"/>
    </row>
    <row r="165" spans="1:23" ht="45" x14ac:dyDescent="0.25">
      <c r="A165" s="14" t="s">
        <v>430</v>
      </c>
      <c r="B165" s="14" t="s">
        <v>68</v>
      </c>
      <c r="C165" s="14"/>
      <c r="D165" s="14" t="s">
        <v>256</v>
      </c>
      <c r="E165" s="14" t="s">
        <v>223</v>
      </c>
      <c r="F165" s="14" t="s">
        <v>68</v>
      </c>
      <c r="G165" s="14" t="s">
        <v>68</v>
      </c>
      <c r="H165" s="14" t="s">
        <v>68</v>
      </c>
      <c r="I165" s="14" t="s">
        <v>68</v>
      </c>
      <c r="J165" s="14" t="s">
        <v>68</v>
      </c>
      <c r="K165" s="14" t="s">
        <v>68</v>
      </c>
      <c r="L165" s="14" t="s">
        <v>68</v>
      </c>
      <c r="M165" s="14"/>
      <c r="N165" s="14"/>
      <c r="O165" s="15"/>
      <c r="P165" s="15"/>
      <c r="Q165" s="15"/>
      <c r="R165" s="15"/>
      <c r="S165" s="15"/>
      <c r="T165" s="15"/>
      <c r="U165" s="15"/>
      <c r="V165" s="15"/>
      <c r="W165" s="15"/>
    </row>
    <row r="166" spans="1:23" ht="45" x14ac:dyDescent="0.25">
      <c r="A166" s="14" t="s">
        <v>431</v>
      </c>
      <c r="B166" s="14" t="s">
        <v>68</v>
      </c>
      <c r="C166" s="14"/>
      <c r="D166" s="14" t="s">
        <v>232</v>
      </c>
      <c r="E166" s="14" t="s">
        <v>209</v>
      </c>
      <c r="F166" s="14" t="s">
        <v>68</v>
      </c>
      <c r="G166" s="14" t="s">
        <v>68</v>
      </c>
      <c r="H166" s="14" t="s">
        <v>68</v>
      </c>
      <c r="I166" s="14" t="s">
        <v>68</v>
      </c>
      <c r="J166" s="14" t="s">
        <v>68</v>
      </c>
      <c r="K166" s="14" t="s">
        <v>68</v>
      </c>
      <c r="L166" s="14" t="s">
        <v>68</v>
      </c>
      <c r="M166" s="14"/>
      <c r="N166" s="14"/>
      <c r="O166" s="15"/>
      <c r="P166" s="15"/>
      <c r="Q166" s="15"/>
      <c r="R166" s="15"/>
      <c r="S166" s="15"/>
      <c r="T166" s="15"/>
      <c r="U166" s="15"/>
      <c r="V166" s="15"/>
      <c r="W166" s="15"/>
    </row>
    <row r="167" spans="1:23" ht="45" x14ac:dyDescent="0.25">
      <c r="A167" s="14" t="s">
        <v>432</v>
      </c>
      <c r="B167" s="14" t="s">
        <v>68</v>
      </c>
      <c r="C167" s="14"/>
      <c r="D167" s="14" t="s">
        <v>229</v>
      </c>
      <c r="E167" s="14" t="s">
        <v>230</v>
      </c>
      <c r="F167" s="14" t="s">
        <v>68</v>
      </c>
      <c r="G167" s="14" t="s">
        <v>169</v>
      </c>
      <c r="H167" s="14" t="s">
        <v>68</v>
      </c>
      <c r="I167" s="14" t="s">
        <v>68</v>
      </c>
      <c r="J167" s="14" t="s">
        <v>201</v>
      </c>
      <c r="K167" s="14" t="s">
        <v>68</v>
      </c>
      <c r="L167" s="14" t="s">
        <v>68</v>
      </c>
      <c r="M167" s="14"/>
      <c r="N167" s="14"/>
      <c r="O167" s="15"/>
      <c r="P167" s="15"/>
      <c r="Q167" s="15"/>
      <c r="R167" s="15"/>
      <c r="S167" s="15"/>
      <c r="T167" s="15"/>
      <c r="U167" s="15"/>
      <c r="V167" s="15"/>
      <c r="W167" s="15"/>
    </row>
    <row r="168" spans="1:23" ht="45" x14ac:dyDescent="0.25">
      <c r="A168" s="14" t="s">
        <v>433</v>
      </c>
      <c r="B168" s="14" t="s">
        <v>68</v>
      </c>
      <c r="C168" s="14"/>
      <c r="D168" s="14" t="s">
        <v>199</v>
      </c>
      <c r="E168" s="14" t="s">
        <v>68</v>
      </c>
      <c r="F168" s="14" t="s">
        <v>68</v>
      </c>
      <c r="G168" s="14" t="s">
        <v>78</v>
      </c>
      <c r="H168" s="14" t="s">
        <v>68</v>
      </c>
      <c r="I168" s="14" t="s">
        <v>68</v>
      </c>
      <c r="J168" s="14" t="s">
        <v>201</v>
      </c>
      <c r="K168" s="14" t="s">
        <v>68</v>
      </c>
      <c r="L168" s="14" t="s">
        <v>68</v>
      </c>
      <c r="M168" s="14"/>
      <c r="N168" s="14"/>
      <c r="O168" s="15"/>
      <c r="P168" s="15"/>
      <c r="Q168" s="15"/>
      <c r="R168" s="15"/>
      <c r="S168" s="15"/>
      <c r="T168" s="15"/>
      <c r="U168" s="15"/>
      <c r="V168" s="15"/>
      <c r="W168" s="15"/>
    </row>
    <row r="169" spans="1:23" ht="60" x14ac:dyDescent="0.25">
      <c r="A169" s="14" t="s">
        <v>434</v>
      </c>
      <c r="B169" s="14" t="s">
        <v>68</v>
      </c>
      <c r="C169" s="14"/>
      <c r="D169" s="14" t="s">
        <v>215</v>
      </c>
      <c r="E169" s="14" t="s">
        <v>216</v>
      </c>
      <c r="F169" s="14" t="s">
        <v>68</v>
      </c>
      <c r="G169" s="14" t="s">
        <v>74</v>
      </c>
      <c r="H169" s="14" t="s">
        <v>68</v>
      </c>
      <c r="I169" s="14" t="s">
        <v>68</v>
      </c>
      <c r="J169" s="14" t="s">
        <v>74</v>
      </c>
      <c r="K169" s="14" t="s">
        <v>68</v>
      </c>
      <c r="L169" s="14" t="s">
        <v>68</v>
      </c>
      <c r="M169" s="14"/>
      <c r="N169" s="14"/>
      <c r="O169" s="15"/>
      <c r="P169" s="15"/>
      <c r="Q169" s="15"/>
      <c r="R169" s="15"/>
      <c r="S169" s="15"/>
      <c r="T169" s="15"/>
      <c r="U169" s="15"/>
      <c r="V169" s="15"/>
      <c r="W169" s="15"/>
    </row>
    <row r="170" spans="1:23" x14ac:dyDescent="0.25">
      <c r="A170" s="14" t="s">
        <v>435</v>
      </c>
      <c r="B170" s="14" t="s">
        <v>68</v>
      </c>
      <c r="C170" s="14"/>
      <c r="D170" s="14" t="s">
        <v>68</v>
      </c>
      <c r="E170" s="14" t="s">
        <v>68</v>
      </c>
      <c r="F170" s="14" t="s">
        <v>88</v>
      </c>
      <c r="G170" s="14" t="s">
        <v>68</v>
      </c>
      <c r="H170" s="14" t="s">
        <v>68</v>
      </c>
      <c r="I170" s="14" t="s">
        <v>68</v>
      </c>
      <c r="J170" s="14" t="s">
        <v>102</v>
      </c>
      <c r="K170" s="14" t="s">
        <v>68</v>
      </c>
      <c r="L170" s="14" t="s">
        <v>68</v>
      </c>
      <c r="M170" s="14"/>
      <c r="N170" s="14"/>
      <c r="O170" s="15"/>
      <c r="P170" s="15"/>
      <c r="Q170" s="15"/>
      <c r="R170" s="15"/>
      <c r="S170" s="15"/>
      <c r="T170" s="15"/>
      <c r="U170" s="15"/>
      <c r="V170" s="15"/>
      <c r="W170" s="15"/>
    </row>
    <row r="171" spans="1:23" ht="45" x14ac:dyDescent="0.25">
      <c r="A171" s="14" t="s">
        <v>436</v>
      </c>
      <c r="B171" s="14" t="s">
        <v>68</v>
      </c>
      <c r="C171" s="14"/>
      <c r="D171" s="14" t="s">
        <v>284</v>
      </c>
      <c r="E171" s="14" t="s">
        <v>285</v>
      </c>
      <c r="F171" s="14" t="s">
        <v>68</v>
      </c>
      <c r="G171" s="14" t="s">
        <v>68</v>
      </c>
      <c r="H171" s="14" t="s">
        <v>68</v>
      </c>
      <c r="I171" s="14" t="s">
        <v>68</v>
      </c>
      <c r="J171" s="14" t="s">
        <v>68</v>
      </c>
      <c r="K171" s="14" t="s">
        <v>68</v>
      </c>
      <c r="L171" s="14" t="s">
        <v>68</v>
      </c>
      <c r="M171" s="14"/>
      <c r="N171" s="14"/>
      <c r="O171" s="15"/>
      <c r="P171" s="15"/>
      <c r="Q171" s="15"/>
      <c r="R171" s="15"/>
      <c r="S171" s="15"/>
      <c r="T171" s="15"/>
      <c r="U171" s="15"/>
      <c r="V171" s="15"/>
      <c r="W171" s="15"/>
    </row>
    <row r="172" spans="1:23" ht="45" x14ac:dyDescent="0.25">
      <c r="A172" s="14" t="s">
        <v>437</v>
      </c>
      <c r="B172" s="14" t="s">
        <v>68</v>
      </c>
      <c r="C172" s="14"/>
      <c r="D172" s="14" t="s">
        <v>211</v>
      </c>
      <c r="E172" s="14" t="s">
        <v>212</v>
      </c>
      <c r="F172" s="14" t="s">
        <v>169</v>
      </c>
      <c r="G172" s="14" t="s">
        <v>68</v>
      </c>
      <c r="H172" s="14" t="s">
        <v>68</v>
      </c>
      <c r="I172" s="14" t="s">
        <v>68</v>
      </c>
      <c r="J172" s="14" t="s">
        <v>201</v>
      </c>
      <c r="K172" s="14" t="s">
        <v>68</v>
      </c>
      <c r="L172" s="14" t="s">
        <v>68</v>
      </c>
      <c r="M172" s="14"/>
      <c r="N172" s="14"/>
      <c r="O172" s="15"/>
      <c r="P172" s="15"/>
      <c r="Q172" s="15"/>
      <c r="R172" s="15"/>
      <c r="S172" s="15"/>
      <c r="T172" s="15"/>
      <c r="U172" s="15"/>
      <c r="V172" s="15"/>
      <c r="W172" s="15"/>
    </row>
    <row r="173" spans="1:23" ht="45" x14ac:dyDescent="0.25">
      <c r="A173" s="14" t="s">
        <v>438</v>
      </c>
      <c r="B173" s="14" t="s">
        <v>68</v>
      </c>
      <c r="C173" s="14"/>
      <c r="D173" s="14" t="s">
        <v>232</v>
      </c>
      <c r="E173" s="14" t="s">
        <v>209</v>
      </c>
      <c r="F173" s="14" t="s">
        <v>68</v>
      </c>
      <c r="G173" s="14" t="s">
        <v>68</v>
      </c>
      <c r="H173" s="14" t="s">
        <v>68</v>
      </c>
      <c r="I173" s="14" t="s">
        <v>68</v>
      </c>
      <c r="J173" s="14" t="s">
        <v>68</v>
      </c>
      <c r="K173" s="14" t="s">
        <v>68</v>
      </c>
      <c r="L173" s="14" t="s">
        <v>68</v>
      </c>
      <c r="M173" s="14"/>
      <c r="N173" s="14"/>
      <c r="O173" s="15"/>
      <c r="P173" s="15"/>
      <c r="Q173" s="15"/>
      <c r="R173" s="15"/>
      <c r="S173" s="15"/>
      <c r="T173" s="15"/>
      <c r="U173" s="15"/>
      <c r="V173" s="15"/>
      <c r="W173" s="15"/>
    </row>
    <row r="174" spans="1:23" ht="45" x14ac:dyDescent="0.25">
      <c r="A174" s="14" t="s">
        <v>439</v>
      </c>
      <c r="B174" s="14" t="s">
        <v>68</v>
      </c>
      <c r="C174" s="14"/>
      <c r="D174" s="14" t="s">
        <v>246</v>
      </c>
      <c r="E174" s="14" t="s">
        <v>247</v>
      </c>
      <c r="F174" s="14" t="s">
        <v>68</v>
      </c>
      <c r="G174" s="14" t="s">
        <v>102</v>
      </c>
      <c r="H174" s="14" t="s">
        <v>68</v>
      </c>
      <c r="I174" s="14" t="s">
        <v>68</v>
      </c>
      <c r="J174" s="14" t="s">
        <v>102</v>
      </c>
      <c r="K174" s="14" t="s">
        <v>68</v>
      </c>
      <c r="L174" s="14" t="s">
        <v>68</v>
      </c>
      <c r="M174" s="14"/>
      <c r="N174" s="14"/>
      <c r="O174" s="15"/>
      <c r="P174" s="15"/>
      <c r="Q174" s="15"/>
      <c r="R174" s="15"/>
      <c r="S174" s="15"/>
      <c r="T174" s="15"/>
      <c r="U174" s="15"/>
      <c r="V174" s="15"/>
      <c r="W174" s="15"/>
    </row>
    <row r="175" spans="1:23" x14ac:dyDescent="0.25">
      <c r="A175" s="14" t="s">
        <v>440</v>
      </c>
      <c r="B175" s="14" t="s">
        <v>68</v>
      </c>
      <c r="C175" s="14"/>
      <c r="D175" s="14" t="s">
        <v>68</v>
      </c>
      <c r="E175" s="14" t="s">
        <v>68</v>
      </c>
      <c r="F175" s="14" t="s">
        <v>68</v>
      </c>
      <c r="G175" s="14" t="s">
        <v>68</v>
      </c>
      <c r="H175" s="14" t="s">
        <v>68</v>
      </c>
      <c r="I175" s="14" t="s">
        <v>68</v>
      </c>
      <c r="J175" s="14" t="s">
        <v>68</v>
      </c>
      <c r="K175" s="14" t="s">
        <v>68</v>
      </c>
      <c r="L175" s="14" t="s">
        <v>68</v>
      </c>
      <c r="M175" s="14"/>
      <c r="N175" s="14"/>
      <c r="O175" s="15"/>
      <c r="P175" s="15"/>
      <c r="Q175" s="15"/>
      <c r="R175" s="15"/>
      <c r="S175" s="15"/>
      <c r="T175" s="15"/>
      <c r="U175" s="15"/>
      <c r="V175" s="15"/>
      <c r="W175" s="15"/>
    </row>
    <row r="176" spans="1:23" ht="45" x14ac:dyDescent="0.25">
      <c r="A176" s="14" t="s">
        <v>441</v>
      </c>
      <c r="B176" s="14" t="s">
        <v>68</v>
      </c>
      <c r="C176" s="14"/>
      <c r="D176" s="14" t="s">
        <v>312</v>
      </c>
      <c r="E176" s="14" t="s">
        <v>205</v>
      </c>
      <c r="F176" s="14" t="s">
        <v>68</v>
      </c>
      <c r="G176" s="14" t="s">
        <v>68</v>
      </c>
      <c r="H176" s="14" t="s">
        <v>68</v>
      </c>
      <c r="I176" s="14" t="s">
        <v>68</v>
      </c>
      <c r="J176" s="14" t="s">
        <v>68</v>
      </c>
      <c r="K176" s="14" t="s">
        <v>68</v>
      </c>
      <c r="L176" s="14" t="s">
        <v>68</v>
      </c>
      <c r="M176" s="14"/>
      <c r="N176" s="14"/>
      <c r="O176" s="15"/>
      <c r="P176" s="15"/>
      <c r="Q176" s="15"/>
      <c r="R176" s="15"/>
      <c r="S176" s="15"/>
      <c r="T176" s="15"/>
      <c r="U176" s="15"/>
      <c r="V176" s="15"/>
      <c r="W176" s="15"/>
    </row>
    <row r="177" spans="1:23" x14ac:dyDescent="0.25">
      <c r="A177" s="14" t="s">
        <v>442</v>
      </c>
      <c r="B177" s="14" t="s">
        <v>68</v>
      </c>
      <c r="C177" s="14"/>
      <c r="D177" s="14" t="s">
        <v>68</v>
      </c>
      <c r="E177" s="14" t="s">
        <v>68</v>
      </c>
      <c r="F177" s="14" t="s">
        <v>88</v>
      </c>
      <c r="G177" s="14" t="s">
        <v>68</v>
      </c>
      <c r="H177" s="14" t="s">
        <v>68</v>
      </c>
      <c r="I177" s="14" t="s">
        <v>68</v>
      </c>
      <c r="J177" s="14" t="s">
        <v>102</v>
      </c>
      <c r="K177" s="14" t="s">
        <v>68</v>
      </c>
      <c r="L177" s="14" t="s">
        <v>68</v>
      </c>
      <c r="M177" s="14"/>
      <c r="N177" s="14"/>
      <c r="O177" s="15"/>
      <c r="P177" s="15"/>
      <c r="Q177" s="15"/>
      <c r="R177" s="15"/>
      <c r="S177" s="15"/>
      <c r="T177" s="15"/>
      <c r="U177" s="15"/>
      <c r="V177" s="15"/>
      <c r="W177" s="15"/>
    </row>
    <row r="178" spans="1:23" ht="45" x14ac:dyDescent="0.25">
      <c r="A178" s="14" t="s">
        <v>443</v>
      </c>
      <c r="B178" s="14" t="s">
        <v>68</v>
      </c>
      <c r="C178" s="14"/>
      <c r="D178" s="14" t="s">
        <v>238</v>
      </c>
      <c r="E178" s="14" t="s">
        <v>239</v>
      </c>
      <c r="F178" s="14" t="s">
        <v>68</v>
      </c>
      <c r="G178" s="14" t="s">
        <v>68</v>
      </c>
      <c r="H178" s="14" t="s">
        <v>68</v>
      </c>
      <c r="I178" s="14" t="s">
        <v>68</v>
      </c>
      <c r="J178" s="14" t="s">
        <v>68</v>
      </c>
      <c r="K178" s="14" t="s">
        <v>68</v>
      </c>
      <c r="L178" s="14" t="s">
        <v>68</v>
      </c>
      <c r="M178" s="14"/>
      <c r="N178" s="14"/>
      <c r="O178" s="15"/>
      <c r="P178" s="15"/>
      <c r="Q178" s="15"/>
      <c r="R178" s="15"/>
      <c r="S178" s="15"/>
      <c r="T178" s="15"/>
      <c r="U178" s="15"/>
      <c r="V178" s="15"/>
      <c r="W178" s="15"/>
    </row>
    <row r="179" spans="1:23" ht="45" x14ac:dyDescent="0.25">
      <c r="A179" s="14" t="s">
        <v>444</v>
      </c>
      <c r="B179" s="14" t="s">
        <v>68</v>
      </c>
      <c r="C179" s="14"/>
      <c r="D179" s="14" t="s">
        <v>246</v>
      </c>
      <c r="E179" s="14" t="s">
        <v>247</v>
      </c>
      <c r="F179" s="14" t="s">
        <v>68</v>
      </c>
      <c r="G179" s="14" t="s">
        <v>102</v>
      </c>
      <c r="H179" s="14" t="s">
        <v>68</v>
      </c>
      <c r="I179" s="14" t="s">
        <v>68</v>
      </c>
      <c r="J179" s="14" t="s">
        <v>102</v>
      </c>
      <c r="K179" s="14" t="s">
        <v>68</v>
      </c>
      <c r="L179" s="14" t="s">
        <v>68</v>
      </c>
      <c r="M179" s="14"/>
      <c r="N179" s="14"/>
      <c r="O179" s="15"/>
      <c r="P179" s="15"/>
      <c r="Q179" s="15"/>
      <c r="R179" s="15"/>
      <c r="S179" s="15"/>
      <c r="T179" s="15"/>
      <c r="U179" s="15"/>
      <c r="V179" s="15"/>
      <c r="W179" s="15"/>
    </row>
    <row r="180" spans="1:23" ht="45" x14ac:dyDescent="0.25">
      <c r="A180" s="14" t="s">
        <v>445</v>
      </c>
      <c r="B180" s="14" t="s">
        <v>68</v>
      </c>
      <c r="C180" s="14"/>
      <c r="D180" s="14" t="s">
        <v>320</v>
      </c>
      <c r="E180" s="14" t="s">
        <v>233</v>
      </c>
      <c r="F180" s="14" t="s">
        <v>68</v>
      </c>
      <c r="G180" s="14" t="s">
        <v>68</v>
      </c>
      <c r="H180" s="14" t="s">
        <v>68</v>
      </c>
      <c r="I180" s="14" t="s">
        <v>68</v>
      </c>
      <c r="J180" s="14" t="s">
        <v>68</v>
      </c>
      <c r="K180" s="14" t="s">
        <v>68</v>
      </c>
      <c r="L180" s="14" t="s">
        <v>68</v>
      </c>
      <c r="M180" s="14"/>
      <c r="N180" s="14"/>
      <c r="O180" s="15"/>
      <c r="P180" s="15"/>
      <c r="Q180" s="15"/>
      <c r="R180" s="15"/>
      <c r="S180" s="15"/>
      <c r="T180" s="15"/>
      <c r="U180" s="15"/>
      <c r="V180" s="15"/>
      <c r="W180" s="15"/>
    </row>
    <row r="181" spans="1:23" ht="45" x14ac:dyDescent="0.25">
      <c r="A181" s="14" t="s">
        <v>446</v>
      </c>
      <c r="B181" s="14" t="s">
        <v>68</v>
      </c>
      <c r="C181" s="14"/>
      <c r="D181" s="14" t="s">
        <v>246</v>
      </c>
      <c r="E181" s="14" t="s">
        <v>247</v>
      </c>
      <c r="F181" s="14" t="s">
        <v>68</v>
      </c>
      <c r="G181" s="14" t="s">
        <v>102</v>
      </c>
      <c r="H181" s="14" t="s">
        <v>68</v>
      </c>
      <c r="I181" s="14" t="s">
        <v>68</v>
      </c>
      <c r="J181" s="14" t="s">
        <v>102</v>
      </c>
      <c r="K181" s="14" t="s">
        <v>68</v>
      </c>
      <c r="L181" s="14" t="s">
        <v>68</v>
      </c>
      <c r="M181" s="14"/>
      <c r="N181" s="14"/>
      <c r="O181" s="15"/>
      <c r="P181" s="15"/>
      <c r="Q181" s="15"/>
      <c r="R181" s="15"/>
      <c r="S181" s="15"/>
      <c r="T181" s="15"/>
      <c r="U181" s="15"/>
      <c r="V181" s="15"/>
      <c r="W181" s="15"/>
    </row>
    <row r="182" spans="1:23" ht="45" x14ac:dyDescent="0.25">
      <c r="A182" s="14" t="s">
        <v>447</v>
      </c>
      <c r="B182" s="14" t="s">
        <v>68</v>
      </c>
      <c r="C182" s="14"/>
      <c r="D182" s="14" t="s">
        <v>288</v>
      </c>
      <c r="E182" s="14" t="s">
        <v>291</v>
      </c>
      <c r="F182" s="14" t="s">
        <v>68</v>
      </c>
      <c r="G182" s="14" t="s">
        <v>87</v>
      </c>
      <c r="H182" s="14" t="s">
        <v>68</v>
      </c>
      <c r="I182" s="14" t="s">
        <v>68</v>
      </c>
      <c r="J182" s="14" t="s">
        <v>225</v>
      </c>
      <c r="K182" s="14" t="s">
        <v>68</v>
      </c>
      <c r="L182" s="14" t="s">
        <v>68</v>
      </c>
      <c r="M182" s="14"/>
      <c r="N182" s="14"/>
      <c r="O182" s="15"/>
      <c r="P182" s="15"/>
      <c r="Q182" s="15"/>
      <c r="R182" s="15"/>
      <c r="S182" s="15"/>
      <c r="T182" s="15"/>
      <c r="U182" s="15"/>
      <c r="V182" s="15"/>
      <c r="W182" s="15"/>
    </row>
    <row r="183" spans="1:23" x14ac:dyDescent="0.25">
      <c r="A183" s="14" t="s">
        <v>448</v>
      </c>
      <c r="B183" s="14" t="s">
        <v>68</v>
      </c>
      <c r="C183" s="14"/>
      <c r="D183" s="14" t="s">
        <v>68</v>
      </c>
      <c r="E183" s="14" t="s">
        <v>68</v>
      </c>
      <c r="F183" s="14" t="s">
        <v>404</v>
      </c>
      <c r="G183" s="14" t="s">
        <v>68</v>
      </c>
      <c r="H183" s="14" t="s">
        <v>68</v>
      </c>
      <c r="I183" s="14" t="s">
        <v>68</v>
      </c>
      <c r="J183" s="14" t="s">
        <v>102</v>
      </c>
      <c r="K183" s="14" t="s">
        <v>68</v>
      </c>
      <c r="L183" s="14" t="s">
        <v>68</v>
      </c>
      <c r="M183" s="14"/>
      <c r="N183" s="14"/>
      <c r="O183" s="15"/>
      <c r="P183" s="15"/>
      <c r="Q183" s="15"/>
      <c r="R183" s="15"/>
      <c r="S183" s="15"/>
      <c r="T183" s="15"/>
      <c r="U183" s="15"/>
      <c r="V183" s="15"/>
      <c r="W183" s="15"/>
    </row>
    <row r="184" spans="1:23" ht="45" x14ac:dyDescent="0.25">
      <c r="A184" s="14" t="s">
        <v>449</v>
      </c>
      <c r="B184" s="14" t="s">
        <v>68</v>
      </c>
      <c r="C184" s="14"/>
      <c r="D184" s="14" t="s">
        <v>423</v>
      </c>
      <c r="E184" s="14" t="s">
        <v>424</v>
      </c>
      <c r="F184" s="14" t="s">
        <v>68</v>
      </c>
      <c r="G184" s="14" t="s">
        <v>159</v>
      </c>
      <c r="H184" s="14" t="s">
        <v>68</v>
      </c>
      <c r="I184" s="14" t="s">
        <v>68</v>
      </c>
      <c r="J184" s="14" t="s">
        <v>102</v>
      </c>
      <c r="K184" s="14" t="s">
        <v>68</v>
      </c>
      <c r="L184" s="14" t="s">
        <v>68</v>
      </c>
      <c r="M184" s="14"/>
      <c r="N184" s="14"/>
      <c r="O184" s="15"/>
      <c r="P184" s="15"/>
      <c r="Q184" s="15"/>
      <c r="R184" s="15"/>
      <c r="S184" s="15"/>
      <c r="T184" s="15"/>
      <c r="U184" s="15"/>
      <c r="V184" s="15"/>
      <c r="W184" s="15"/>
    </row>
    <row r="185" spans="1:23" ht="45" x14ac:dyDescent="0.25">
      <c r="A185" s="14" t="s">
        <v>450</v>
      </c>
      <c r="B185" s="14" t="s">
        <v>68</v>
      </c>
      <c r="C185" s="14"/>
      <c r="D185" s="14" t="s">
        <v>328</v>
      </c>
      <c r="E185" s="14" t="s">
        <v>296</v>
      </c>
      <c r="F185" s="14" t="s">
        <v>68</v>
      </c>
      <c r="G185" s="14" t="s">
        <v>68</v>
      </c>
      <c r="H185" s="14" t="s">
        <v>68</v>
      </c>
      <c r="I185" s="14" t="s">
        <v>68</v>
      </c>
      <c r="J185" s="14" t="s">
        <v>68</v>
      </c>
      <c r="K185" s="14" t="s">
        <v>68</v>
      </c>
      <c r="L185" s="14" t="s">
        <v>68</v>
      </c>
      <c r="M185" s="14"/>
      <c r="N185" s="14"/>
      <c r="O185" s="15"/>
      <c r="P185" s="15"/>
      <c r="Q185" s="15"/>
      <c r="R185" s="15"/>
      <c r="S185" s="15"/>
      <c r="T185" s="15"/>
      <c r="U185" s="15"/>
      <c r="V185" s="15"/>
      <c r="W185" s="15"/>
    </row>
    <row r="186" spans="1:23" ht="45" x14ac:dyDescent="0.25">
      <c r="A186" s="14" t="s">
        <v>451</v>
      </c>
      <c r="B186" s="14" t="s">
        <v>68</v>
      </c>
      <c r="C186" s="14"/>
      <c r="D186" s="14" t="s">
        <v>211</v>
      </c>
      <c r="E186" s="14" t="s">
        <v>212</v>
      </c>
      <c r="F186" s="14" t="s">
        <v>452</v>
      </c>
      <c r="G186" s="14" t="s">
        <v>68</v>
      </c>
      <c r="H186" s="14" t="s">
        <v>68</v>
      </c>
      <c r="I186" s="14" t="s">
        <v>68</v>
      </c>
      <c r="J186" s="14" t="s">
        <v>201</v>
      </c>
      <c r="K186" s="14" t="s">
        <v>68</v>
      </c>
      <c r="L186" s="14" t="s">
        <v>68</v>
      </c>
      <c r="M186" s="14"/>
      <c r="N186" s="14"/>
      <c r="O186" s="15"/>
      <c r="P186" s="15"/>
      <c r="Q186" s="15"/>
      <c r="R186" s="15"/>
      <c r="S186" s="15"/>
      <c r="T186" s="15"/>
      <c r="U186" s="15"/>
      <c r="V186" s="15"/>
      <c r="W186" s="15"/>
    </row>
    <row r="187" spans="1:23" ht="45" x14ac:dyDescent="0.25">
      <c r="A187" s="14" t="s">
        <v>453</v>
      </c>
      <c r="B187" s="14" t="s">
        <v>68</v>
      </c>
      <c r="C187" s="14"/>
      <c r="D187" s="14" t="s">
        <v>204</v>
      </c>
      <c r="E187" s="14" t="s">
        <v>205</v>
      </c>
      <c r="F187" s="14" t="s">
        <v>68</v>
      </c>
      <c r="G187" s="14" t="s">
        <v>68</v>
      </c>
      <c r="H187" s="14" t="s">
        <v>68</v>
      </c>
      <c r="I187" s="14" t="s">
        <v>68</v>
      </c>
      <c r="J187" s="14" t="s">
        <v>68</v>
      </c>
      <c r="K187" s="14" t="s">
        <v>68</v>
      </c>
      <c r="L187" s="14" t="s">
        <v>68</v>
      </c>
      <c r="M187" s="14"/>
      <c r="N187" s="14"/>
      <c r="O187" s="15"/>
      <c r="P187" s="15"/>
      <c r="Q187" s="15"/>
      <c r="R187" s="15"/>
      <c r="S187" s="15"/>
      <c r="T187" s="15"/>
      <c r="U187" s="15"/>
      <c r="V187" s="15"/>
      <c r="W187" s="15"/>
    </row>
    <row r="188" spans="1:23" ht="45" x14ac:dyDescent="0.25">
      <c r="A188" s="14" t="s">
        <v>454</v>
      </c>
      <c r="B188" s="14" t="s">
        <v>68</v>
      </c>
      <c r="C188" s="14"/>
      <c r="D188" s="14" t="s">
        <v>328</v>
      </c>
      <c r="E188" s="14" t="s">
        <v>296</v>
      </c>
      <c r="F188" s="14" t="s">
        <v>68</v>
      </c>
      <c r="G188" s="14" t="s">
        <v>68</v>
      </c>
      <c r="H188" s="14" t="s">
        <v>68</v>
      </c>
      <c r="I188" s="14" t="s">
        <v>68</v>
      </c>
      <c r="J188" s="14" t="s">
        <v>68</v>
      </c>
      <c r="K188" s="14" t="s">
        <v>68</v>
      </c>
      <c r="L188" s="14" t="s">
        <v>68</v>
      </c>
      <c r="M188" s="14"/>
      <c r="N188" s="14"/>
      <c r="O188" s="15"/>
      <c r="P188" s="15"/>
      <c r="Q188" s="15"/>
      <c r="R188" s="15"/>
      <c r="S188" s="15"/>
      <c r="T188" s="15"/>
      <c r="U188" s="15"/>
      <c r="V188" s="15"/>
      <c r="W188" s="15"/>
    </row>
    <row r="189" spans="1:23" ht="60" x14ac:dyDescent="0.25">
      <c r="A189" s="14" t="s">
        <v>455</v>
      </c>
      <c r="B189" s="14" t="s">
        <v>68</v>
      </c>
      <c r="C189" s="14"/>
      <c r="D189" s="14" t="s">
        <v>208</v>
      </c>
      <c r="E189" s="14" t="s">
        <v>209</v>
      </c>
      <c r="F189" s="14" t="s">
        <v>68</v>
      </c>
      <c r="G189" s="14" t="s">
        <v>148</v>
      </c>
      <c r="H189" s="14" t="s">
        <v>68</v>
      </c>
      <c r="I189" s="14" t="s">
        <v>68</v>
      </c>
      <c r="J189" s="14" t="s">
        <v>102</v>
      </c>
      <c r="K189" s="14" t="s">
        <v>68</v>
      </c>
      <c r="L189" s="14" t="s">
        <v>68</v>
      </c>
      <c r="M189" s="14"/>
      <c r="N189" s="14"/>
      <c r="O189" s="15"/>
      <c r="P189" s="15"/>
      <c r="Q189" s="15"/>
      <c r="R189" s="15"/>
      <c r="S189" s="15"/>
      <c r="T189" s="15"/>
      <c r="U189" s="15"/>
      <c r="V189" s="15"/>
      <c r="W189" s="15"/>
    </row>
    <row r="190" spans="1:23" ht="45" x14ac:dyDescent="0.25">
      <c r="A190" s="14" t="s">
        <v>456</v>
      </c>
      <c r="B190" s="14" t="s">
        <v>68</v>
      </c>
      <c r="C190" s="14"/>
      <c r="D190" s="14" t="s">
        <v>199</v>
      </c>
      <c r="E190" s="14" t="s">
        <v>68</v>
      </c>
      <c r="F190" s="14" t="s">
        <v>68</v>
      </c>
      <c r="G190" s="14" t="s">
        <v>78</v>
      </c>
      <c r="H190" s="14" t="s">
        <v>68</v>
      </c>
      <c r="I190" s="14" t="s">
        <v>68</v>
      </c>
      <c r="J190" s="14" t="s">
        <v>201</v>
      </c>
      <c r="K190" s="14" t="s">
        <v>68</v>
      </c>
      <c r="L190" s="14" t="s">
        <v>68</v>
      </c>
      <c r="M190" s="14"/>
      <c r="N190" s="14"/>
      <c r="O190" s="15"/>
      <c r="P190" s="15"/>
      <c r="Q190" s="15"/>
      <c r="R190" s="15"/>
      <c r="S190" s="15"/>
      <c r="T190" s="15"/>
      <c r="U190" s="15"/>
      <c r="V190" s="15"/>
      <c r="W190" s="15"/>
    </row>
    <row r="191" spans="1:23" ht="60" x14ac:dyDescent="0.25">
      <c r="A191" s="14" t="s">
        <v>457</v>
      </c>
      <c r="B191" s="14" t="s">
        <v>68</v>
      </c>
      <c r="C191" s="14"/>
      <c r="D191" s="14" t="s">
        <v>215</v>
      </c>
      <c r="E191" s="14" t="s">
        <v>250</v>
      </c>
      <c r="F191" s="14" t="s">
        <v>68</v>
      </c>
      <c r="G191" s="14" t="s">
        <v>74</v>
      </c>
      <c r="H191" s="14" t="s">
        <v>68</v>
      </c>
      <c r="I191" s="14" t="s">
        <v>68</v>
      </c>
      <c r="J191" s="14" t="s">
        <v>74</v>
      </c>
      <c r="K191" s="14" t="s">
        <v>68</v>
      </c>
      <c r="L191" s="14" t="s">
        <v>68</v>
      </c>
      <c r="M191" s="14"/>
      <c r="N191" s="14"/>
      <c r="O191" s="15"/>
      <c r="P191" s="15"/>
      <c r="Q191" s="15"/>
      <c r="R191" s="15"/>
      <c r="S191" s="15"/>
      <c r="T191" s="15"/>
      <c r="U191" s="15"/>
      <c r="V191" s="15"/>
      <c r="W191" s="15"/>
    </row>
    <row r="192" spans="1:23" ht="45" x14ac:dyDescent="0.25">
      <c r="A192" s="14" t="s">
        <v>458</v>
      </c>
      <c r="B192" s="14" t="s">
        <v>68</v>
      </c>
      <c r="C192" s="14"/>
      <c r="D192" s="14" t="s">
        <v>246</v>
      </c>
      <c r="E192" s="14" t="s">
        <v>247</v>
      </c>
      <c r="F192" s="14" t="s">
        <v>68</v>
      </c>
      <c r="G192" s="14" t="s">
        <v>369</v>
      </c>
      <c r="H192" s="14" t="s">
        <v>68</v>
      </c>
      <c r="I192" s="14" t="s">
        <v>68</v>
      </c>
      <c r="J192" s="14" t="s">
        <v>102</v>
      </c>
      <c r="K192" s="14" t="s">
        <v>68</v>
      </c>
      <c r="L192" s="14" t="s">
        <v>68</v>
      </c>
      <c r="M192" s="14"/>
      <c r="N192" s="14"/>
      <c r="O192" s="15"/>
      <c r="P192" s="15"/>
      <c r="Q192" s="15"/>
      <c r="R192" s="15"/>
      <c r="S192" s="15"/>
      <c r="T192" s="15"/>
      <c r="U192" s="15"/>
      <c r="V192" s="15"/>
      <c r="W192" s="15"/>
    </row>
    <row r="193" spans="1:23" ht="45" x14ac:dyDescent="0.25">
      <c r="A193" s="14" t="s">
        <v>459</v>
      </c>
      <c r="B193" s="14" t="s">
        <v>68</v>
      </c>
      <c r="C193" s="14"/>
      <c r="D193" s="14" t="s">
        <v>246</v>
      </c>
      <c r="E193" s="14" t="s">
        <v>247</v>
      </c>
      <c r="F193" s="14" t="s">
        <v>68</v>
      </c>
      <c r="G193" s="14" t="s">
        <v>68</v>
      </c>
      <c r="H193" s="14" t="s">
        <v>68</v>
      </c>
      <c r="I193" s="14" t="s">
        <v>68</v>
      </c>
      <c r="J193" s="14" t="s">
        <v>68</v>
      </c>
      <c r="K193" s="14" t="s">
        <v>68</v>
      </c>
      <c r="L193" s="14" t="s">
        <v>68</v>
      </c>
      <c r="M193" s="14"/>
      <c r="N193" s="14"/>
      <c r="O193" s="15"/>
      <c r="P193" s="15"/>
      <c r="Q193" s="15"/>
      <c r="R193" s="15"/>
      <c r="S193" s="15"/>
      <c r="T193" s="15"/>
      <c r="U193" s="15"/>
      <c r="V193" s="15"/>
      <c r="W193" s="15"/>
    </row>
    <row r="194" spans="1:23" ht="45" x14ac:dyDescent="0.25">
      <c r="A194" s="14" t="s">
        <v>460</v>
      </c>
      <c r="B194" s="14" t="s">
        <v>68</v>
      </c>
      <c r="C194" s="14"/>
      <c r="D194" s="14" t="s">
        <v>249</v>
      </c>
      <c r="E194" s="14" t="s">
        <v>250</v>
      </c>
      <c r="F194" s="14" t="s">
        <v>68</v>
      </c>
      <c r="G194" s="14" t="s">
        <v>68</v>
      </c>
      <c r="H194" s="14" t="s">
        <v>68</v>
      </c>
      <c r="I194" s="14" t="s">
        <v>68</v>
      </c>
      <c r="J194" s="14" t="s">
        <v>68</v>
      </c>
      <c r="K194" s="14" t="s">
        <v>68</v>
      </c>
      <c r="L194" s="14" t="s">
        <v>68</v>
      </c>
      <c r="M194" s="14"/>
      <c r="N194" s="14"/>
      <c r="O194" s="15"/>
      <c r="P194" s="15"/>
      <c r="Q194" s="15"/>
      <c r="R194" s="15"/>
      <c r="S194" s="15"/>
      <c r="T194" s="15"/>
      <c r="U194" s="15"/>
      <c r="V194" s="15"/>
      <c r="W194" s="15"/>
    </row>
    <row r="195" spans="1:23" ht="45" x14ac:dyDescent="0.25">
      <c r="A195" s="14" t="s">
        <v>461</v>
      </c>
      <c r="B195" s="14" t="s">
        <v>68</v>
      </c>
      <c r="C195" s="14"/>
      <c r="D195" s="14" t="s">
        <v>246</v>
      </c>
      <c r="E195" s="14" t="s">
        <v>247</v>
      </c>
      <c r="F195" s="14" t="s">
        <v>68</v>
      </c>
      <c r="G195" s="14" t="s">
        <v>102</v>
      </c>
      <c r="H195" s="14" t="s">
        <v>68</v>
      </c>
      <c r="I195" s="14" t="s">
        <v>68</v>
      </c>
      <c r="J195" s="14" t="s">
        <v>102</v>
      </c>
      <c r="K195" s="14" t="s">
        <v>68</v>
      </c>
      <c r="L195" s="14" t="s">
        <v>68</v>
      </c>
      <c r="M195" s="14"/>
      <c r="N195" s="14"/>
      <c r="O195" s="15"/>
      <c r="P195" s="15"/>
      <c r="Q195" s="15"/>
      <c r="R195" s="15"/>
      <c r="S195" s="15"/>
      <c r="T195" s="15"/>
      <c r="U195" s="15"/>
      <c r="V195" s="15"/>
      <c r="W195" s="15"/>
    </row>
    <row r="196" spans="1:23" x14ac:dyDescent="0.25">
      <c r="A196" s="14" t="s">
        <v>462</v>
      </c>
      <c r="B196" s="14" t="s">
        <v>68</v>
      </c>
      <c r="C196" s="14"/>
      <c r="D196" s="14" t="s">
        <v>68</v>
      </c>
      <c r="E196" s="14" t="s">
        <v>68</v>
      </c>
      <c r="F196" s="14" t="s">
        <v>88</v>
      </c>
      <c r="G196" s="14" t="s">
        <v>68</v>
      </c>
      <c r="H196" s="14" t="s">
        <v>68</v>
      </c>
      <c r="I196" s="14" t="s">
        <v>68</v>
      </c>
      <c r="J196" s="14" t="s">
        <v>102</v>
      </c>
      <c r="K196" s="14" t="s">
        <v>68</v>
      </c>
      <c r="L196" s="14" t="s">
        <v>68</v>
      </c>
      <c r="M196" s="14"/>
      <c r="N196" s="14"/>
      <c r="O196" s="15"/>
      <c r="P196" s="15"/>
      <c r="Q196" s="15"/>
      <c r="R196" s="15"/>
      <c r="S196" s="15"/>
      <c r="T196" s="15"/>
      <c r="U196" s="15"/>
      <c r="V196" s="15"/>
      <c r="W196" s="15"/>
    </row>
    <row r="197" spans="1:23" x14ac:dyDescent="0.25">
      <c r="A197" s="14" t="s">
        <v>463</v>
      </c>
      <c r="B197" s="14" t="s">
        <v>68</v>
      </c>
      <c r="C197" s="14"/>
      <c r="D197" s="14" t="s">
        <v>68</v>
      </c>
      <c r="E197" s="14" t="s">
        <v>68</v>
      </c>
      <c r="F197" s="14" t="s">
        <v>88</v>
      </c>
      <c r="G197" s="14" t="s">
        <v>68</v>
      </c>
      <c r="H197" s="14" t="s">
        <v>68</v>
      </c>
      <c r="I197" s="14" t="s">
        <v>68</v>
      </c>
      <c r="J197" s="14" t="s">
        <v>102</v>
      </c>
      <c r="K197" s="14" t="s">
        <v>68</v>
      </c>
      <c r="L197" s="14" t="s">
        <v>68</v>
      </c>
      <c r="M197" s="14"/>
      <c r="N197" s="14"/>
      <c r="O197" s="15"/>
      <c r="P197" s="15"/>
      <c r="Q197" s="15"/>
      <c r="R197" s="15"/>
      <c r="S197" s="15"/>
      <c r="T197" s="15"/>
      <c r="U197" s="15"/>
      <c r="V197" s="15"/>
      <c r="W197" s="15"/>
    </row>
    <row r="198" spans="1:23" ht="45" x14ac:dyDescent="0.25">
      <c r="A198" s="14" t="s">
        <v>464</v>
      </c>
      <c r="B198" s="14" t="s">
        <v>68</v>
      </c>
      <c r="C198" s="14"/>
      <c r="D198" s="14" t="s">
        <v>312</v>
      </c>
      <c r="E198" s="14" t="s">
        <v>205</v>
      </c>
      <c r="F198" s="14" t="s">
        <v>68</v>
      </c>
      <c r="G198" s="14" t="s">
        <v>68</v>
      </c>
      <c r="H198" s="14" t="s">
        <v>68</v>
      </c>
      <c r="I198" s="14" t="s">
        <v>68</v>
      </c>
      <c r="J198" s="14" t="s">
        <v>68</v>
      </c>
      <c r="K198" s="14" t="s">
        <v>68</v>
      </c>
      <c r="L198" s="14" t="s">
        <v>68</v>
      </c>
      <c r="M198" s="14"/>
      <c r="N198" s="14"/>
      <c r="O198" s="15"/>
      <c r="P198" s="15"/>
      <c r="Q198" s="15"/>
      <c r="R198" s="15"/>
      <c r="S198" s="15"/>
      <c r="T198" s="15"/>
      <c r="U198" s="15"/>
      <c r="V198" s="15"/>
      <c r="W198" s="15"/>
    </row>
    <row r="199" spans="1:23" x14ac:dyDescent="0.25">
      <c r="A199" s="14" t="s">
        <v>465</v>
      </c>
      <c r="B199" s="14" t="s">
        <v>68</v>
      </c>
      <c r="C199" s="14"/>
      <c r="D199" s="14" t="s">
        <v>68</v>
      </c>
      <c r="E199" s="14" t="s">
        <v>291</v>
      </c>
      <c r="F199" s="14" t="s">
        <v>68</v>
      </c>
      <c r="G199" s="14" t="s">
        <v>74</v>
      </c>
      <c r="H199" s="14" t="s">
        <v>68</v>
      </c>
      <c r="I199" s="14" t="s">
        <v>68</v>
      </c>
      <c r="J199" s="14" t="s">
        <v>74</v>
      </c>
      <c r="K199" s="14" t="s">
        <v>68</v>
      </c>
      <c r="L199" s="14" t="s">
        <v>68</v>
      </c>
      <c r="M199" s="14"/>
      <c r="N199" s="14"/>
      <c r="O199" s="15"/>
      <c r="P199" s="15"/>
      <c r="Q199" s="15"/>
      <c r="R199" s="15"/>
      <c r="S199" s="15"/>
      <c r="T199" s="15"/>
      <c r="U199" s="15"/>
      <c r="V199" s="15"/>
      <c r="W199" s="15"/>
    </row>
    <row r="200" spans="1:23" ht="45" x14ac:dyDescent="0.25">
      <c r="A200" s="14" t="s">
        <v>466</v>
      </c>
      <c r="B200" s="14" t="s">
        <v>68</v>
      </c>
      <c r="C200" s="14"/>
      <c r="D200" s="14" t="s">
        <v>381</v>
      </c>
      <c r="E200" s="14" t="s">
        <v>280</v>
      </c>
      <c r="F200" s="14" t="s">
        <v>68</v>
      </c>
      <c r="G200" s="14" t="s">
        <v>68</v>
      </c>
      <c r="H200" s="14" t="s">
        <v>68</v>
      </c>
      <c r="I200" s="14" t="s">
        <v>68</v>
      </c>
      <c r="J200" s="14" t="s">
        <v>68</v>
      </c>
      <c r="K200" s="14" t="s">
        <v>68</v>
      </c>
      <c r="L200" s="14" t="s">
        <v>68</v>
      </c>
      <c r="M200" s="14"/>
      <c r="N200" s="14"/>
      <c r="O200" s="15"/>
      <c r="P200" s="15"/>
      <c r="Q200" s="15"/>
      <c r="R200" s="15"/>
      <c r="S200" s="15"/>
      <c r="T200" s="15"/>
      <c r="U200" s="15"/>
      <c r="V200" s="15"/>
      <c r="W200" s="15"/>
    </row>
    <row r="201" spans="1:23" ht="45" x14ac:dyDescent="0.25">
      <c r="A201" s="14" t="s">
        <v>467</v>
      </c>
      <c r="B201" s="14" t="s">
        <v>68</v>
      </c>
      <c r="C201" s="14"/>
      <c r="D201" s="14" t="s">
        <v>199</v>
      </c>
      <c r="E201" s="14" t="s">
        <v>68</v>
      </c>
      <c r="F201" s="14" t="s">
        <v>68</v>
      </c>
      <c r="G201" s="14" t="s">
        <v>68</v>
      </c>
      <c r="H201" s="14" t="s">
        <v>68</v>
      </c>
      <c r="I201" s="14" t="s">
        <v>68</v>
      </c>
      <c r="J201" s="14" t="s">
        <v>68</v>
      </c>
      <c r="K201" s="14" t="s">
        <v>68</v>
      </c>
      <c r="L201" s="14" t="s">
        <v>68</v>
      </c>
      <c r="M201" s="14"/>
      <c r="N201" s="14"/>
      <c r="O201" s="15"/>
      <c r="P201" s="15"/>
      <c r="Q201" s="15"/>
      <c r="R201" s="15"/>
      <c r="S201" s="15"/>
      <c r="T201" s="15"/>
      <c r="U201" s="15"/>
      <c r="V201" s="15"/>
      <c r="W201" s="15"/>
    </row>
    <row r="202" spans="1:23" ht="60" x14ac:dyDescent="0.25">
      <c r="A202" s="14" t="s">
        <v>468</v>
      </c>
      <c r="B202" s="14" t="s">
        <v>68</v>
      </c>
      <c r="C202" s="14"/>
      <c r="D202" s="14" t="s">
        <v>235</v>
      </c>
      <c r="E202" s="14" t="s">
        <v>236</v>
      </c>
      <c r="F202" s="14" t="s">
        <v>74</v>
      </c>
      <c r="G202" s="14" t="s">
        <v>68</v>
      </c>
      <c r="H202" s="14" t="s">
        <v>68</v>
      </c>
      <c r="I202" s="14" t="s">
        <v>68</v>
      </c>
      <c r="J202" s="14" t="s">
        <v>74</v>
      </c>
      <c r="K202" s="14" t="s">
        <v>68</v>
      </c>
      <c r="L202" s="14" t="s">
        <v>68</v>
      </c>
      <c r="M202" s="14"/>
      <c r="N202" s="14"/>
      <c r="O202" s="15"/>
      <c r="P202" s="15"/>
      <c r="Q202" s="15"/>
      <c r="R202" s="15"/>
      <c r="S202" s="15"/>
      <c r="T202" s="15"/>
      <c r="U202" s="15"/>
      <c r="V202" s="15"/>
      <c r="W202" s="15"/>
    </row>
    <row r="203" spans="1:23" ht="45" x14ac:dyDescent="0.25">
      <c r="A203" s="14" t="s">
        <v>469</v>
      </c>
      <c r="B203" s="14" t="s">
        <v>68</v>
      </c>
      <c r="C203" s="14"/>
      <c r="D203" s="14" t="s">
        <v>312</v>
      </c>
      <c r="E203" s="14" t="s">
        <v>205</v>
      </c>
      <c r="F203" s="14" t="s">
        <v>68</v>
      </c>
      <c r="G203" s="14" t="s">
        <v>68</v>
      </c>
      <c r="H203" s="14" t="s">
        <v>68</v>
      </c>
      <c r="I203" s="14" t="s">
        <v>68</v>
      </c>
      <c r="J203" s="14" t="s">
        <v>68</v>
      </c>
      <c r="K203" s="14" t="s">
        <v>68</v>
      </c>
      <c r="L203" s="14" t="s">
        <v>68</v>
      </c>
      <c r="M203" s="14"/>
      <c r="N203" s="14"/>
      <c r="O203" s="15"/>
      <c r="P203" s="15"/>
      <c r="Q203" s="15"/>
      <c r="R203" s="15"/>
      <c r="S203" s="15"/>
      <c r="T203" s="15"/>
      <c r="U203" s="15"/>
      <c r="V203" s="15"/>
      <c r="W203" s="15"/>
    </row>
    <row r="204" spans="1:23" ht="45" x14ac:dyDescent="0.25">
      <c r="A204" s="14" t="s">
        <v>470</v>
      </c>
      <c r="B204" s="14" t="s">
        <v>68</v>
      </c>
      <c r="C204" s="14"/>
      <c r="D204" s="14" t="s">
        <v>325</v>
      </c>
      <c r="E204" s="14" t="s">
        <v>326</v>
      </c>
      <c r="F204" s="14" t="s">
        <v>68</v>
      </c>
      <c r="G204" s="14" t="s">
        <v>68</v>
      </c>
      <c r="H204" s="14" t="s">
        <v>68</v>
      </c>
      <c r="I204" s="14" t="s">
        <v>68</v>
      </c>
      <c r="J204" s="14" t="s">
        <v>68</v>
      </c>
      <c r="K204" s="14" t="s">
        <v>68</v>
      </c>
      <c r="L204" s="14" t="s">
        <v>68</v>
      </c>
      <c r="M204" s="14"/>
      <c r="N204" s="14"/>
      <c r="O204" s="15"/>
      <c r="P204" s="15"/>
      <c r="Q204" s="15"/>
      <c r="R204" s="15"/>
      <c r="S204" s="15"/>
      <c r="T204" s="15"/>
      <c r="U204" s="15"/>
      <c r="V204" s="15"/>
      <c r="W204" s="15"/>
    </row>
    <row r="205" spans="1:23" x14ac:dyDescent="0.25">
      <c r="A205" s="14" t="s">
        <v>471</v>
      </c>
      <c r="B205" s="14" t="s">
        <v>68</v>
      </c>
      <c r="C205" s="14"/>
      <c r="D205" s="14" t="s">
        <v>68</v>
      </c>
      <c r="E205" s="14" t="s">
        <v>68</v>
      </c>
      <c r="F205" s="14" t="s">
        <v>68</v>
      </c>
      <c r="G205" s="14" t="s">
        <v>68</v>
      </c>
      <c r="H205" s="14" t="s">
        <v>68</v>
      </c>
      <c r="I205" s="14" t="s">
        <v>68</v>
      </c>
      <c r="J205" s="14" t="s">
        <v>68</v>
      </c>
      <c r="K205" s="14" t="s">
        <v>68</v>
      </c>
      <c r="L205" s="14" t="s">
        <v>68</v>
      </c>
      <c r="M205" s="14"/>
      <c r="N205" s="14"/>
      <c r="O205" s="15"/>
      <c r="P205" s="15"/>
      <c r="Q205" s="15"/>
      <c r="R205" s="15"/>
      <c r="S205" s="15"/>
      <c r="T205" s="15"/>
      <c r="U205" s="15"/>
      <c r="V205" s="15"/>
      <c r="W205" s="15"/>
    </row>
    <row r="206" spans="1:23" ht="60" x14ac:dyDescent="0.25">
      <c r="A206" s="14" t="s">
        <v>472</v>
      </c>
      <c r="B206" s="14" t="s">
        <v>68</v>
      </c>
      <c r="C206" s="14"/>
      <c r="D206" s="14" t="s">
        <v>314</v>
      </c>
      <c r="E206" s="14" t="s">
        <v>68</v>
      </c>
      <c r="F206" s="14" t="s">
        <v>68</v>
      </c>
      <c r="G206" s="14" t="s">
        <v>361</v>
      </c>
      <c r="H206" s="14" t="s">
        <v>68</v>
      </c>
      <c r="I206" s="14" t="s">
        <v>68</v>
      </c>
      <c r="J206" s="14" t="s">
        <v>102</v>
      </c>
      <c r="K206" s="14" t="s">
        <v>68</v>
      </c>
      <c r="L206" s="14" t="s">
        <v>68</v>
      </c>
      <c r="M206" s="14"/>
      <c r="N206" s="14"/>
      <c r="O206" s="15"/>
      <c r="P206" s="15"/>
      <c r="Q206" s="15"/>
      <c r="R206" s="15"/>
      <c r="S206" s="15"/>
      <c r="T206" s="15"/>
      <c r="U206" s="15"/>
      <c r="V206" s="15"/>
      <c r="W206" s="15"/>
    </row>
    <row r="207" spans="1:23" ht="45" x14ac:dyDescent="0.25">
      <c r="A207" s="14" t="s">
        <v>473</v>
      </c>
      <c r="B207" s="14" t="s">
        <v>68</v>
      </c>
      <c r="C207" s="14"/>
      <c r="D207" s="14" t="s">
        <v>288</v>
      </c>
      <c r="E207" s="14" t="s">
        <v>289</v>
      </c>
      <c r="F207" s="14" t="s">
        <v>68</v>
      </c>
      <c r="G207" s="14" t="s">
        <v>87</v>
      </c>
      <c r="H207" s="14" t="s">
        <v>68</v>
      </c>
      <c r="I207" s="14" t="s">
        <v>68</v>
      </c>
      <c r="J207" s="14" t="s">
        <v>225</v>
      </c>
      <c r="K207" s="14" t="s">
        <v>68</v>
      </c>
      <c r="L207" s="14" t="s">
        <v>68</v>
      </c>
      <c r="M207" s="14"/>
      <c r="N207" s="14"/>
      <c r="O207" s="15"/>
      <c r="P207" s="15"/>
      <c r="Q207" s="15"/>
      <c r="R207" s="15"/>
      <c r="S207" s="15"/>
      <c r="T207" s="15"/>
      <c r="U207" s="15"/>
      <c r="V207" s="15"/>
      <c r="W207" s="15"/>
    </row>
    <row r="208" spans="1:23" ht="60" x14ac:dyDescent="0.25">
      <c r="A208" s="14" t="s">
        <v>474</v>
      </c>
      <c r="B208" s="14" t="s">
        <v>68</v>
      </c>
      <c r="C208" s="14"/>
      <c r="D208" s="14" t="s">
        <v>208</v>
      </c>
      <c r="E208" s="14" t="s">
        <v>209</v>
      </c>
      <c r="F208" s="14" t="s">
        <v>68</v>
      </c>
      <c r="G208" s="14" t="s">
        <v>148</v>
      </c>
      <c r="H208" s="14" t="s">
        <v>68</v>
      </c>
      <c r="I208" s="14" t="s">
        <v>68</v>
      </c>
      <c r="J208" s="14" t="s">
        <v>102</v>
      </c>
      <c r="K208" s="14" t="s">
        <v>68</v>
      </c>
      <c r="L208" s="14" t="s">
        <v>68</v>
      </c>
      <c r="M208" s="14"/>
      <c r="N208" s="14"/>
      <c r="O208" s="15"/>
      <c r="P208" s="15"/>
      <c r="Q208" s="15"/>
      <c r="R208" s="15"/>
      <c r="S208" s="15"/>
      <c r="T208" s="15"/>
      <c r="U208" s="15"/>
      <c r="V208" s="15"/>
      <c r="W208" s="15"/>
    </row>
    <row r="209" spans="1:23" ht="45" x14ac:dyDescent="0.25">
      <c r="A209" s="14" t="s">
        <v>475</v>
      </c>
      <c r="B209" s="14" t="s">
        <v>68</v>
      </c>
      <c r="C209" s="14"/>
      <c r="D209" s="14" t="s">
        <v>284</v>
      </c>
      <c r="E209" s="14" t="s">
        <v>285</v>
      </c>
      <c r="F209" s="14" t="s">
        <v>68</v>
      </c>
      <c r="G209" s="14" t="s">
        <v>68</v>
      </c>
      <c r="H209" s="14" t="s">
        <v>68</v>
      </c>
      <c r="I209" s="14" t="s">
        <v>68</v>
      </c>
      <c r="J209" s="14" t="s">
        <v>68</v>
      </c>
      <c r="K209" s="14" t="s">
        <v>68</v>
      </c>
      <c r="L209" s="14" t="s">
        <v>68</v>
      </c>
      <c r="M209" s="14"/>
      <c r="N209" s="14"/>
      <c r="O209" s="15"/>
      <c r="P209" s="15"/>
      <c r="Q209" s="15"/>
      <c r="R209" s="15"/>
      <c r="S209" s="15"/>
      <c r="T209" s="15"/>
      <c r="U209" s="15"/>
      <c r="V209" s="15"/>
      <c r="W209" s="15"/>
    </row>
    <row r="210" spans="1:23" ht="45" x14ac:dyDescent="0.25">
      <c r="A210" s="14" t="s">
        <v>476</v>
      </c>
      <c r="B210" s="14" t="s">
        <v>68</v>
      </c>
      <c r="C210" s="14"/>
      <c r="D210" s="14" t="s">
        <v>204</v>
      </c>
      <c r="E210" s="14" t="s">
        <v>205</v>
      </c>
      <c r="F210" s="14" t="s">
        <v>68</v>
      </c>
      <c r="G210" s="14" t="s">
        <v>68</v>
      </c>
      <c r="H210" s="14" t="s">
        <v>68</v>
      </c>
      <c r="I210" s="14" t="s">
        <v>68</v>
      </c>
      <c r="J210" s="14" t="s">
        <v>68</v>
      </c>
      <c r="K210" s="14" t="s">
        <v>68</v>
      </c>
      <c r="L210" s="14" t="s">
        <v>68</v>
      </c>
      <c r="M210" s="14"/>
      <c r="N210" s="14"/>
      <c r="O210" s="15"/>
      <c r="P210" s="15"/>
      <c r="Q210" s="15"/>
      <c r="R210" s="15"/>
      <c r="S210" s="15"/>
      <c r="T210" s="15"/>
      <c r="U210" s="15"/>
      <c r="V210" s="15"/>
      <c r="W210" s="15"/>
    </row>
    <row r="211" spans="1:23" ht="45" x14ac:dyDescent="0.25">
      <c r="A211" s="14" t="s">
        <v>477</v>
      </c>
      <c r="B211" s="14" t="s">
        <v>68</v>
      </c>
      <c r="C211" s="14"/>
      <c r="D211" s="14" t="s">
        <v>199</v>
      </c>
      <c r="E211" s="14" t="s">
        <v>68</v>
      </c>
      <c r="F211" s="14" t="s">
        <v>68</v>
      </c>
      <c r="G211" s="14" t="s">
        <v>78</v>
      </c>
      <c r="H211" s="14" t="s">
        <v>68</v>
      </c>
      <c r="I211" s="14" t="s">
        <v>68</v>
      </c>
      <c r="J211" s="14" t="s">
        <v>201</v>
      </c>
      <c r="K211" s="14" t="s">
        <v>68</v>
      </c>
      <c r="L211" s="14" t="s">
        <v>68</v>
      </c>
      <c r="M211" s="14"/>
      <c r="N211" s="14"/>
      <c r="O211" s="15"/>
      <c r="P211" s="15"/>
      <c r="Q211" s="15"/>
      <c r="R211" s="15"/>
      <c r="S211" s="15"/>
      <c r="T211" s="15"/>
      <c r="U211" s="15"/>
      <c r="V211" s="15"/>
      <c r="W211" s="15"/>
    </row>
    <row r="212" spans="1:23" ht="45" x14ac:dyDescent="0.25">
      <c r="A212" s="14" t="s">
        <v>478</v>
      </c>
      <c r="B212" s="14" t="s">
        <v>68</v>
      </c>
      <c r="C212" s="14"/>
      <c r="D212" s="14" t="s">
        <v>263</v>
      </c>
      <c r="E212" s="14" t="s">
        <v>264</v>
      </c>
      <c r="F212" s="14" t="s">
        <v>68</v>
      </c>
      <c r="G212" s="14" t="s">
        <v>84</v>
      </c>
      <c r="H212" s="14" t="s">
        <v>68</v>
      </c>
      <c r="I212" s="14" t="s">
        <v>68</v>
      </c>
      <c r="J212" s="14" t="s">
        <v>371</v>
      </c>
      <c r="K212" s="14" t="s">
        <v>68</v>
      </c>
      <c r="L212" s="14" t="s">
        <v>68</v>
      </c>
      <c r="M212" s="14"/>
      <c r="N212" s="14"/>
      <c r="O212" s="15"/>
      <c r="P212" s="15"/>
      <c r="Q212" s="15"/>
      <c r="R212" s="15"/>
      <c r="S212" s="15"/>
      <c r="T212" s="15"/>
      <c r="U212" s="15"/>
      <c r="V212" s="15"/>
      <c r="W212" s="15"/>
    </row>
    <row r="213" spans="1:23" ht="45" x14ac:dyDescent="0.25">
      <c r="A213" s="14" t="s">
        <v>479</v>
      </c>
      <c r="B213" s="14" t="s">
        <v>68</v>
      </c>
      <c r="C213" s="14"/>
      <c r="D213" s="14" t="s">
        <v>328</v>
      </c>
      <c r="E213" s="14" t="s">
        <v>296</v>
      </c>
      <c r="F213" s="14" t="s">
        <v>68</v>
      </c>
      <c r="G213" s="14" t="s">
        <v>68</v>
      </c>
      <c r="H213" s="14" t="s">
        <v>68</v>
      </c>
      <c r="I213" s="14" t="s">
        <v>68</v>
      </c>
      <c r="J213" s="14" t="s">
        <v>68</v>
      </c>
      <c r="K213" s="14" t="s">
        <v>68</v>
      </c>
      <c r="L213" s="14" t="s">
        <v>68</v>
      </c>
      <c r="M213" s="14"/>
      <c r="N213" s="14"/>
      <c r="O213" s="15"/>
      <c r="P213" s="15"/>
      <c r="Q213" s="15"/>
      <c r="R213" s="15"/>
      <c r="S213" s="15"/>
      <c r="T213" s="15"/>
      <c r="U213" s="15"/>
      <c r="V213" s="15"/>
      <c r="W213" s="15"/>
    </row>
    <row r="214" spans="1:23" ht="45" x14ac:dyDescent="0.25">
      <c r="A214" s="14" t="s">
        <v>480</v>
      </c>
      <c r="B214" s="14" t="s">
        <v>68</v>
      </c>
      <c r="C214" s="14"/>
      <c r="D214" s="14" t="s">
        <v>241</v>
      </c>
      <c r="E214" s="14" t="s">
        <v>236</v>
      </c>
      <c r="F214" s="14" t="s">
        <v>73</v>
      </c>
      <c r="G214" s="14" t="s">
        <v>68</v>
      </c>
      <c r="H214" s="14" t="s">
        <v>68</v>
      </c>
      <c r="I214" s="14" t="s">
        <v>68</v>
      </c>
      <c r="J214" s="14" t="s">
        <v>201</v>
      </c>
      <c r="K214" s="14" t="s">
        <v>68</v>
      </c>
      <c r="L214" s="14" t="s">
        <v>68</v>
      </c>
      <c r="M214" s="14"/>
      <c r="N214" s="14"/>
      <c r="O214" s="15"/>
      <c r="P214" s="15"/>
      <c r="Q214" s="15"/>
      <c r="R214" s="15"/>
      <c r="S214" s="15"/>
      <c r="T214" s="15"/>
      <c r="U214" s="15"/>
      <c r="V214" s="15"/>
      <c r="W214" s="15"/>
    </row>
    <row r="215" spans="1:23" ht="60" x14ac:dyDescent="0.25">
      <c r="A215" s="14" t="s">
        <v>481</v>
      </c>
      <c r="B215" s="14" t="s">
        <v>68</v>
      </c>
      <c r="C215" s="14"/>
      <c r="D215" s="14" t="s">
        <v>235</v>
      </c>
      <c r="E215" s="14" t="s">
        <v>236</v>
      </c>
      <c r="F215" s="14" t="s">
        <v>74</v>
      </c>
      <c r="G215" s="14" t="s">
        <v>68</v>
      </c>
      <c r="H215" s="14" t="s">
        <v>68</v>
      </c>
      <c r="I215" s="14" t="s">
        <v>68</v>
      </c>
      <c r="J215" s="14" t="s">
        <v>74</v>
      </c>
      <c r="K215" s="14" t="s">
        <v>68</v>
      </c>
      <c r="L215" s="14" t="s">
        <v>68</v>
      </c>
      <c r="M215" s="14"/>
      <c r="N215" s="14"/>
      <c r="O215" s="15"/>
      <c r="P215" s="15"/>
      <c r="Q215" s="15"/>
      <c r="R215" s="15"/>
      <c r="S215" s="15"/>
      <c r="T215" s="15"/>
      <c r="U215" s="15"/>
      <c r="V215" s="15"/>
      <c r="W215" s="15"/>
    </row>
    <row r="216" spans="1:23" ht="45" x14ac:dyDescent="0.25">
      <c r="A216" s="14" t="s">
        <v>482</v>
      </c>
      <c r="B216" s="14" t="s">
        <v>68</v>
      </c>
      <c r="C216" s="14"/>
      <c r="D216" s="14" t="s">
        <v>241</v>
      </c>
      <c r="E216" s="14" t="s">
        <v>236</v>
      </c>
      <c r="F216" s="14" t="s">
        <v>83</v>
      </c>
      <c r="G216" s="14" t="s">
        <v>68</v>
      </c>
      <c r="H216" s="14" t="s">
        <v>68</v>
      </c>
      <c r="I216" s="14" t="s">
        <v>68</v>
      </c>
      <c r="J216" s="14" t="s">
        <v>201</v>
      </c>
      <c r="K216" s="14" t="s">
        <v>68</v>
      </c>
      <c r="L216" s="14" t="s">
        <v>68</v>
      </c>
      <c r="M216" s="14"/>
      <c r="N216" s="14"/>
      <c r="O216" s="15"/>
      <c r="P216" s="15"/>
      <c r="Q216" s="15"/>
      <c r="R216" s="15"/>
      <c r="S216" s="15"/>
      <c r="T216" s="15"/>
      <c r="U216" s="15"/>
      <c r="V216" s="15"/>
      <c r="W216" s="15"/>
    </row>
    <row r="217" spans="1:23" ht="45" x14ac:dyDescent="0.25">
      <c r="A217" s="14" t="s">
        <v>483</v>
      </c>
      <c r="B217" s="14" t="s">
        <v>68</v>
      </c>
      <c r="C217" s="14"/>
      <c r="D217" s="14" t="s">
        <v>238</v>
      </c>
      <c r="E217" s="14" t="s">
        <v>239</v>
      </c>
      <c r="F217" s="14" t="s">
        <v>68</v>
      </c>
      <c r="G217" s="14" t="s">
        <v>68</v>
      </c>
      <c r="H217" s="14" t="s">
        <v>68</v>
      </c>
      <c r="I217" s="14" t="s">
        <v>68</v>
      </c>
      <c r="J217" s="14" t="s">
        <v>68</v>
      </c>
      <c r="K217" s="14" t="s">
        <v>68</v>
      </c>
      <c r="L217" s="14" t="s">
        <v>68</v>
      </c>
      <c r="M217" s="14"/>
      <c r="N217" s="14"/>
      <c r="O217" s="15"/>
      <c r="P217" s="15"/>
      <c r="Q217" s="15"/>
      <c r="R217" s="15"/>
      <c r="S217" s="15"/>
      <c r="T217" s="15"/>
      <c r="U217" s="15"/>
      <c r="V217" s="15"/>
      <c r="W217" s="15"/>
    </row>
    <row r="218" spans="1:23" x14ac:dyDescent="0.25">
      <c r="A218" s="14" t="s">
        <v>484</v>
      </c>
      <c r="B218" s="14" t="s">
        <v>68</v>
      </c>
      <c r="C218" s="14"/>
      <c r="D218" s="14" t="s">
        <v>68</v>
      </c>
      <c r="E218" s="14" t="s">
        <v>68</v>
      </c>
      <c r="F218" s="14" t="s">
        <v>102</v>
      </c>
      <c r="G218" s="14" t="s">
        <v>68</v>
      </c>
      <c r="H218" s="14" t="s">
        <v>68</v>
      </c>
      <c r="I218" s="14" t="s">
        <v>68</v>
      </c>
      <c r="J218" s="14" t="s">
        <v>102</v>
      </c>
      <c r="K218" s="14" t="s">
        <v>68</v>
      </c>
      <c r="L218" s="14" t="s">
        <v>68</v>
      </c>
      <c r="M218" s="14"/>
      <c r="N218" s="14"/>
      <c r="O218" s="15"/>
      <c r="P218" s="15"/>
      <c r="Q218" s="15"/>
      <c r="R218" s="15"/>
      <c r="S218" s="15"/>
      <c r="T218" s="15"/>
      <c r="U218" s="15"/>
      <c r="V218" s="15"/>
      <c r="W218" s="15"/>
    </row>
    <row r="219" spans="1:23" ht="45" x14ac:dyDescent="0.25">
      <c r="A219" s="14" t="s">
        <v>485</v>
      </c>
      <c r="B219" s="14" t="s">
        <v>68</v>
      </c>
      <c r="C219" s="14"/>
      <c r="D219" s="14" t="s">
        <v>199</v>
      </c>
      <c r="E219" s="14" t="s">
        <v>68</v>
      </c>
      <c r="F219" s="14" t="s">
        <v>68</v>
      </c>
      <c r="G219" s="14" t="s">
        <v>78</v>
      </c>
      <c r="H219" s="14" t="s">
        <v>68</v>
      </c>
      <c r="I219" s="14" t="s">
        <v>68</v>
      </c>
      <c r="J219" s="14" t="s">
        <v>201</v>
      </c>
      <c r="K219" s="14" t="s">
        <v>68</v>
      </c>
      <c r="L219" s="14" t="s">
        <v>68</v>
      </c>
      <c r="M219" s="14"/>
      <c r="N219" s="14"/>
      <c r="O219" s="15"/>
      <c r="P219" s="15"/>
      <c r="Q219" s="15"/>
      <c r="R219" s="15"/>
      <c r="S219" s="15"/>
      <c r="T219" s="15"/>
      <c r="U219" s="15"/>
      <c r="V219" s="15"/>
      <c r="W219" s="15"/>
    </row>
    <row r="220" spans="1:23" ht="45" x14ac:dyDescent="0.25">
      <c r="A220" s="14" t="s">
        <v>486</v>
      </c>
      <c r="B220" s="14" t="s">
        <v>68</v>
      </c>
      <c r="C220" s="14"/>
      <c r="D220" s="14" t="s">
        <v>232</v>
      </c>
      <c r="E220" s="14" t="s">
        <v>209</v>
      </c>
      <c r="F220" s="14" t="s">
        <v>68</v>
      </c>
      <c r="G220" s="14" t="s">
        <v>68</v>
      </c>
      <c r="H220" s="14" t="s">
        <v>68</v>
      </c>
      <c r="I220" s="14" t="s">
        <v>68</v>
      </c>
      <c r="J220" s="14" t="s">
        <v>68</v>
      </c>
      <c r="K220" s="14" t="s">
        <v>68</v>
      </c>
      <c r="L220" s="14" t="s">
        <v>68</v>
      </c>
      <c r="M220" s="14"/>
      <c r="N220" s="14"/>
      <c r="O220" s="15"/>
      <c r="P220" s="15"/>
      <c r="Q220" s="15"/>
      <c r="R220" s="15"/>
      <c r="S220" s="15"/>
      <c r="T220" s="15"/>
      <c r="U220" s="15"/>
      <c r="V220" s="15"/>
      <c r="W220" s="15"/>
    </row>
    <row r="221" spans="1:23" ht="60" x14ac:dyDescent="0.25">
      <c r="A221" s="14" t="s">
        <v>487</v>
      </c>
      <c r="B221" s="14" t="s">
        <v>68</v>
      </c>
      <c r="C221" s="14"/>
      <c r="D221" s="14" t="s">
        <v>208</v>
      </c>
      <c r="E221" s="14" t="s">
        <v>209</v>
      </c>
      <c r="F221" s="14" t="s">
        <v>68</v>
      </c>
      <c r="G221" s="14" t="s">
        <v>68</v>
      </c>
      <c r="H221" s="14" t="s">
        <v>68</v>
      </c>
      <c r="I221" s="14" t="s">
        <v>68</v>
      </c>
      <c r="J221" s="14" t="s">
        <v>68</v>
      </c>
      <c r="K221" s="14" t="s">
        <v>68</v>
      </c>
      <c r="L221" s="14" t="s">
        <v>68</v>
      </c>
      <c r="M221" s="14"/>
      <c r="N221" s="14"/>
      <c r="O221" s="15"/>
      <c r="P221" s="15"/>
      <c r="Q221" s="15"/>
      <c r="R221" s="15"/>
      <c r="S221" s="15"/>
      <c r="T221" s="15"/>
      <c r="U221" s="15"/>
      <c r="V221" s="15"/>
      <c r="W221" s="15"/>
    </row>
    <row r="222" spans="1:23" ht="45" x14ac:dyDescent="0.25">
      <c r="A222" s="14" t="s">
        <v>488</v>
      </c>
      <c r="B222" s="14" t="s">
        <v>68</v>
      </c>
      <c r="C222" s="14"/>
      <c r="D222" s="14" t="s">
        <v>263</v>
      </c>
      <c r="E222" s="14" t="s">
        <v>264</v>
      </c>
      <c r="F222" s="14" t="s">
        <v>68</v>
      </c>
      <c r="G222" s="14" t="s">
        <v>94</v>
      </c>
      <c r="H222" s="14" t="s">
        <v>68</v>
      </c>
      <c r="I222" s="14" t="s">
        <v>68</v>
      </c>
      <c r="J222" s="14" t="s">
        <v>371</v>
      </c>
      <c r="K222" s="14" t="s">
        <v>68</v>
      </c>
      <c r="L222" s="14" t="s">
        <v>68</v>
      </c>
      <c r="M222" s="14"/>
      <c r="N222" s="14"/>
      <c r="O222" s="15"/>
      <c r="P222" s="15"/>
      <c r="Q222" s="15"/>
      <c r="R222" s="15"/>
      <c r="S222" s="15"/>
      <c r="T222" s="15"/>
      <c r="U222" s="15"/>
      <c r="V222" s="15"/>
      <c r="W222" s="15"/>
    </row>
    <row r="223" spans="1:23" ht="45" x14ac:dyDescent="0.25">
      <c r="A223" s="14" t="s">
        <v>489</v>
      </c>
      <c r="B223" s="14" t="s">
        <v>68</v>
      </c>
      <c r="C223" s="14"/>
      <c r="D223" s="14" t="s">
        <v>211</v>
      </c>
      <c r="E223" s="14" t="s">
        <v>212</v>
      </c>
      <c r="F223" s="14" t="s">
        <v>213</v>
      </c>
      <c r="G223" s="14" t="s">
        <v>68</v>
      </c>
      <c r="H223" s="14" t="s">
        <v>68</v>
      </c>
      <c r="I223" s="14" t="s">
        <v>68</v>
      </c>
      <c r="J223" s="14" t="s">
        <v>201</v>
      </c>
      <c r="K223" s="14" t="s">
        <v>68</v>
      </c>
      <c r="L223" s="14" t="s">
        <v>68</v>
      </c>
      <c r="M223" s="14"/>
      <c r="N223" s="14"/>
      <c r="O223" s="15"/>
      <c r="P223" s="15"/>
      <c r="Q223" s="15"/>
      <c r="R223" s="15"/>
      <c r="S223" s="15"/>
      <c r="T223" s="15"/>
      <c r="U223" s="15"/>
      <c r="V223" s="15"/>
      <c r="W223" s="15"/>
    </row>
    <row r="224" spans="1:23" ht="45" x14ac:dyDescent="0.25">
      <c r="A224" s="14" t="s">
        <v>490</v>
      </c>
      <c r="B224" s="14" t="s">
        <v>68</v>
      </c>
      <c r="C224" s="14"/>
      <c r="D224" s="14" t="s">
        <v>241</v>
      </c>
      <c r="E224" s="14" t="s">
        <v>236</v>
      </c>
      <c r="F224" s="14" t="s">
        <v>93</v>
      </c>
      <c r="G224" s="14" t="s">
        <v>68</v>
      </c>
      <c r="H224" s="14" t="s">
        <v>68</v>
      </c>
      <c r="I224" s="14" t="s">
        <v>68</v>
      </c>
      <c r="J224" s="14" t="s">
        <v>201</v>
      </c>
      <c r="K224" s="14" t="s">
        <v>68</v>
      </c>
      <c r="L224" s="14" t="s">
        <v>68</v>
      </c>
      <c r="M224" s="14"/>
      <c r="N224" s="14"/>
      <c r="O224" s="15"/>
      <c r="P224" s="15"/>
      <c r="Q224" s="15"/>
      <c r="R224" s="15"/>
      <c r="S224" s="15"/>
      <c r="T224" s="15"/>
      <c r="U224" s="15"/>
      <c r="V224" s="15"/>
      <c r="W224" s="15"/>
    </row>
    <row r="225" spans="1:23" ht="45" x14ac:dyDescent="0.25">
      <c r="A225" s="14" t="s">
        <v>491</v>
      </c>
      <c r="B225" s="14" t="s">
        <v>68</v>
      </c>
      <c r="C225" s="14"/>
      <c r="D225" s="14" t="s">
        <v>238</v>
      </c>
      <c r="E225" s="14" t="s">
        <v>239</v>
      </c>
      <c r="F225" s="14" t="s">
        <v>68</v>
      </c>
      <c r="G225" s="14" t="s">
        <v>68</v>
      </c>
      <c r="H225" s="14" t="s">
        <v>68</v>
      </c>
      <c r="I225" s="14" t="s">
        <v>68</v>
      </c>
      <c r="J225" s="14" t="s">
        <v>68</v>
      </c>
      <c r="K225" s="14" t="s">
        <v>68</v>
      </c>
      <c r="L225" s="14" t="s">
        <v>68</v>
      </c>
      <c r="M225" s="14"/>
      <c r="N225" s="14"/>
      <c r="O225" s="15"/>
      <c r="P225" s="15"/>
      <c r="Q225" s="15"/>
      <c r="R225" s="15"/>
      <c r="S225" s="15"/>
      <c r="T225" s="15"/>
      <c r="U225" s="15"/>
      <c r="V225" s="15"/>
      <c r="W225" s="15"/>
    </row>
    <row r="226" spans="1:23" ht="45" x14ac:dyDescent="0.25">
      <c r="A226" s="14" t="s">
        <v>492</v>
      </c>
      <c r="B226" s="14" t="s">
        <v>68</v>
      </c>
      <c r="C226" s="14"/>
      <c r="D226" s="14" t="s">
        <v>199</v>
      </c>
      <c r="E226" s="14" t="s">
        <v>68</v>
      </c>
      <c r="F226" s="14" t="s">
        <v>68</v>
      </c>
      <c r="G226" s="14" t="s">
        <v>78</v>
      </c>
      <c r="H226" s="14" t="s">
        <v>68</v>
      </c>
      <c r="I226" s="14" t="s">
        <v>68</v>
      </c>
      <c r="J226" s="14" t="s">
        <v>201</v>
      </c>
      <c r="K226" s="14" t="s">
        <v>68</v>
      </c>
      <c r="L226" s="14" t="s">
        <v>68</v>
      </c>
      <c r="M226" s="14"/>
      <c r="N226" s="14"/>
      <c r="O226" s="15"/>
      <c r="P226" s="15"/>
      <c r="Q226" s="15"/>
      <c r="R226" s="15"/>
      <c r="S226" s="15"/>
      <c r="T226" s="15"/>
      <c r="U226" s="15"/>
      <c r="V226" s="15"/>
      <c r="W226" s="15"/>
    </row>
    <row r="227" spans="1:23" ht="45" x14ac:dyDescent="0.25">
      <c r="A227" s="14" t="s">
        <v>493</v>
      </c>
      <c r="B227" s="14" t="s">
        <v>68</v>
      </c>
      <c r="C227" s="14"/>
      <c r="D227" s="14" t="s">
        <v>284</v>
      </c>
      <c r="E227" s="14" t="s">
        <v>68</v>
      </c>
      <c r="F227" s="14" t="s">
        <v>68</v>
      </c>
      <c r="G227" s="14" t="s">
        <v>68</v>
      </c>
      <c r="H227" s="14" t="s">
        <v>68</v>
      </c>
      <c r="I227" s="14" t="s">
        <v>68</v>
      </c>
      <c r="J227" s="14" t="s">
        <v>68</v>
      </c>
      <c r="K227" s="14" t="s">
        <v>68</v>
      </c>
      <c r="L227" s="14" t="s">
        <v>68</v>
      </c>
      <c r="M227" s="14"/>
      <c r="N227" s="14"/>
      <c r="O227" s="15"/>
      <c r="P227" s="15"/>
      <c r="Q227" s="15"/>
      <c r="R227" s="15"/>
      <c r="S227" s="15"/>
      <c r="T227" s="15"/>
      <c r="U227" s="15"/>
      <c r="V227" s="15"/>
      <c r="W227" s="15"/>
    </row>
    <row r="228" spans="1:23" ht="45" x14ac:dyDescent="0.25">
      <c r="A228" s="14" t="s">
        <v>494</v>
      </c>
      <c r="B228" s="14" t="s">
        <v>68</v>
      </c>
      <c r="C228" s="14"/>
      <c r="D228" s="14" t="s">
        <v>288</v>
      </c>
      <c r="E228" s="14" t="s">
        <v>296</v>
      </c>
      <c r="F228" s="14" t="s">
        <v>68</v>
      </c>
      <c r="G228" s="14" t="s">
        <v>68</v>
      </c>
      <c r="H228" s="14" t="s">
        <v>68</v>
      </c>
      <c r="I228" s="14" t="s">
        <v>68</v>
      </c>
      <c r="J228" s="14" t="s">
        <v>68</v>
      </c>
      <c r="K228" s="14" t="s">
        <v>68</v>
      </c>
      <c r="L228" s="14" t="s">
        <v>68</v>
      </c>
      <c r="M228" s="14"/>
      <c r="N228" s="14"/>
      <c r="O228" s="15"/>
      <c r="P228" s="15"/>
      <c r="Q228" s="15"/>
      <c r="R228" s="15"/>
      <c r="S228" s="15"/>
      <c r="T228" s="15"/>
      <c r="U228" s="15"/>
      <c r="V228" s="15"/>
      <c r="W228" s="15"/>
    </row>
    <row r="229" spans="1:23" ht="60" x14ac:dyDescent="0.25">
      <c r="A229" s="14" t="s">
        <v>495</v>
      </c>
      <c r="B229" s="14" t="s">
        <v>68</v>
      </c>
      <c r="C229" s="14"/>
      <c r="D229" s="14" t="s">
        <v>215</v>
      </c>
      <c r="E229" s="14" t="s">
        <v>216</v>
      </c>
      <c r="F229" s="14" t="s">
        <v>68</v>
      </c>
      <c r="G229" s="14" t="s">
        <v>74</v>
      </c>
      <c r="H229" s="14" t="s">
        <v>68</v>
      </c>
      <c r="I229" s="14" t="s">
        <v>68</v>
      </c>
      <c r="J229" s="14" t="s">
        <v>74</v>
      </c>
      <c r="K229" s="14" t="s">
        <v>68</v>
      </c>
      <c r="L229" s="14" t="s">
        <v>68</v>
      </c>
      <c r="M229" s="14"/>
      <c r="N229" s="14"/>
      <c r="O229" s="15"/>
      <c r="P229" s="15"/>
      <c r="Q229" s="15"/>
      <c r="R229" s="15"/>
      <c r="S229" s="15"/>
      <c r="T229" s="15"/>
      <c r="U229" s="15"/>
      <c r="V229" s="15"/>
      <c r="W229" s="15"/>
    </row>
    <row r="230" spans="1:23" x14ac:dyDescent="0.25">
      <c r="A230" s="14" t="s">
        <v>496</v>
      </c>
      <c r="B230" s="14" t="s">
        <v>68</v>
      </c>
      <c r="C230" s="14"/>
      <c r="D230" s="14" t="s">
        <v>68</v>
      </c>
      <c r="E230" s="14" t="s">
        <v>68</v>
      </c>
      <c r="F230" s="14" t="s">
        <v>68</v>
      </c>
      <c r="G230" s="14" t="s">
        <v>68</v>
      </c>
      <c r="H230" s="14" t="s">
        <v>68</v>
      </c>
      <c r="I230" s="14" t="s">
        <v>68</v>
      </c>
      <c r="J230" s="14" t="s">
        <v>68</v>
      </c>
      <c r="K230" s="14" t="s">
        <v>68</v>
      </c>
      <c r="L230" s="14" t="s">
        <v>68</v>
      </c>
      <c r="M230" s="14"/>
      <c r="N230" s="14"/>
      <c r="O230" s="15"/>
      <c r="P230" s="15"/>
      <c r="Q230" s="15"/>
      <c r="R230" s="15"/>
      <c r="S230" s="15"/>
      <c r="T230" s="15"/>
      <c r="U230" s="15"/>
      <c r="V230" s="15"/>
      <c r="W230" s="15"/>
    </row>
    <row r="231" spans="1:23" ht="45" x14ac:dyDescent="0.25">
      <c r="A231" s="14" t="s">
        <v>497</v>
      </c>
      <c r="B231" s="14" t="s">
        <v>68</v>
      </c>
      <c r="C231" s="14"/>
      <c r="D231" s="14" t="s">
        <v>241</v>
      </c>
      <c r="E231" s="14" t="s">
        <v>236</v>
      </c>
      <c r="F231" s="14" t="s">
        <v>83</v>
      </c>
      <c r="G231" s="14" t="s">
        <v>68</v>
      </c>
      <c r="H231" s="14" t="s">
        <v>68</v>
      </c>
      <c r="I231" s="14" t="s">
        <v>68</v>
      </c>
      <c r="J231" s="14" t="s">
        <v>201</v>
      </c>
      <c r="K231" s="14" t="s">
        <v>68</v>
      </c>
      <c r="L231" s="14" t="s">
        <v>68</v>
      </c>
      <c r="M231" s="14"/>
      <c r="N231" s="14"/>
      <c r="O231" s="15"/>
      <c r="P231" s="15"/>
      <c r="Q231" s="15"/>
      <c r="R231" s="15"/>
      <c r="S231" s="15"/>
      <c r="T231" s="15"/>
      <c r="U231" s="15"/>
      <c r="V231" s="15"/>
      <c r="W231" s="15"/>
    </row>
    <row r="232" spans="1:23" ht="45" x14ac:dyDescent="0.25">
      <c r="A232" s="14" t="s">
        <v>498</v>
      </c>
      <c r="B232" s="14" t="s">
        <v>68</v>
      </c>
      <c r="C232" s="14"/>
      <c r="D232" s="14" t="s">
        <v>241</v>
      </c>
      <c r="E232" s="14" t="s">
        <v>236</v>
      </c>
      <c r="F232" s="14" t="s">
        <v>91</v>
      </c>
      <c r="G232" s="14" t="s">
        <v>68</v>
      </c>
      <c r="H232" s="14" t="s">
        <v>68</v>
      </c>
      <c r="I232" s="14" t="s">
        <v>68</v>
      </c>
      <c r="J232" s="14" t="s">
        <v>201</v>
      </c>
      <c r="K232" s="14" t="s">
        <v>68</v>
      </c>
      <c r="L232" s="14" t="s">
        <v>68</v>
      </c>
      <c r="M232" s="14"/>
      <c r="N232" s="14"/>
      <c r="O232" s="15"/>
      <c r="P232" s="15"/>
      <c r="Q232" s="15"/>
      <c r="R232" s="15"/>
      <c r="S232" s="15"/>
      <c r="T232" s="15"/>
      <c r="U232" s="15"/>
      <c r="V232" s="15"/>
      <c r="W232" s="15"/>
    </row>
    <row r="233" spans="1:23" ht="45" x14ac:dyDescent="0.25">
      <c r="A233" s="14" t="s">
        <v>499</v>
      </c>
      <c r="B233" s="14" t="s">
        <v>68</v>
      </c>
      <c r="C233" s="14"/>
      <c r="D233" s="14" t="s">
        <v>288</v>
      </c>
      <c r="E233" s="14" t="s">
        <v>296</v>
      </c>
      <c r="F233" s="14" t="s">
        <v>68</v>
      </c>
      <c r="G233" s="14" t="s">
        <v>68</v>
      </c>
      <c r="H233" s="14" t="s">
        <v>68</v>
      </c>
      <c r="I233" s="14" t="s">
        <v>68</v>
      </c>
      <c r="J233" s="14" t="s">
        <v>68</v>
      </c>
      <c r="K233" s="14" t="s">
        <v>68</v>
      </c>
      <c r="L233" s="14" t="s">
        <v>68</v>
      </c>
      <c r="M233" s="14"/>
      <c r="N233" s="14"/>
      <c r="O233" s="15"/>
      <c r="P233" s="15"/>
      <c r="Q233" s="15"/>
      <c r="R233" s="15"/>
      <c r="S233" s="15"/>
      <c r="T233" s="15"/>
      <c r="U233" s="15"/>
      <c r="V233" s="15"/>
      <c r="W233" s="15"/>
    </row>
    <row r="234" spans="1:23" ht="45" x14ac:dyDescent="0.25">
      <c r="A234" s="14" t="s">
        <v>500</v>
      </c>
      <c r="B234" s="14" t="s">
        <v>68</v>
      </c>
      <c r="C234" s="14"/>
      <c r="D234" s="14" t="s">
        <v>328</v>
      </c>
      <c r="E234" s="14" t="s">
        <v>296</v>
      </c>
      <c r="F234" s="14" t="s">
        <v>68</v>
      </c>
      <c r="G234" s="14" t="s">
        <v>68</v>
      </c>
      <c r="H234" s="14" t="s">
        <v>68</v>
      </c>
      <c r="I234" s="14" t="s">
        <v>68</v>
      </c>
      <c r="J234" s="14" t="s">
        <v>68</v>
      </c>
      <c r="K234" s="14" t="s">
        <v>68</v>
      </c>
      <c r="L234" s="14" t="s">
        <v>68</v>
      </c>
      <c r="M234" s="14"/>
      <c r="N234" s="14"/>
      <c r="O234" s="15"/>
      <c r="P234" s="15"/>
      <c r="Q234" s="15"/>
      <c r="R234" s="15"/>
      <c r="S234" s="15"/>
      <c r="T234" s="15"/>
      <c r="U234" s="15"/>
      <c r="V234" s="15"/>
      <c r="W234" s="15"/>
    </row>
    <row r="235" spans="1:23" ht="45" x14ac:dyDescent="0.25">
      <c r="A235" s="14" t="s">
        <v>501</v>
      </c>
      <c r="B235" s="14" t="s">
        <v>68</v>
      </c>
      <c r="C235" s="14"/>
      <c r="D235" s="14" t="s">
        <v>312</v>
      </c>
      <c r="E235" s="14" t="s">
        <v>205</v>
      </c>
      <c r="F235" s="14" t="s">
        <v>68</v>
      </c>
      <c r="G235" s="14" t="s">
        <v>68</v>
      </c>
      <c r="H235" s="14" t="s">
        <v>68</v>
      </c>
      <c r="I235" s="14" t="s">
        <v>68</v>
      </c>
      <c r="J235" s="14" t="s">
        <v>68</v>
      </c>
      <c r="K235" s="14" t="s">
        <v>68</v>
      </c>
      <c r="L235" s="14" t="s">
        <v>68</v>
      </c>
      <c r="M235" s="14"/>
      <c r="N235" s="14"/>
      <c r="O235" s="15"/>
      <c r="P235" s="15"/>
      <c r="Q235" s="15"/>
      <c r="R235" s="15"/>
      <c r="S235" s="15"/>
      <c r="T235" s="15"/>
      <c r="U235" s="15"/>
      <c r="V235" s="15"/>
      <c r="W235" s="15"/>
    </row>
    <row r="236" spans="1:23" ht="45" x14ac:dyDescent="0.25">
      <c r="A236" s="14" t="s">
        <v>502</v>
      </c>
      <c r="B236" s="14" t="s">
        <v>68</v>
      </c>
      <c r="C236" s="14"/>
      <c r="D236" s="14" t="s">
        <v>238</v>
      </c>
      <c r="E236" s="14" t="s">
        <v>239</v>
      </c>
      <c r="F236" s="14" t="s">
        <v>68</v>
      </c>
      <c r="G236" s="14" t="s">
        <v>68</v>
      </c>
      <c r="H236" s="14" t="s">
        <v>68</v>
      </c>
      <c r="I236" s="14" t="s">
        <v>68</v>
      </c>
      <c r="J236" s="14" t="s">
        <v>68</v>
      </c>
      <c r="K236" s="14" t="s">
        <v>68</v>
      </c>
      <c r="L236" s="14" t="s">
        <v>68</v>
      </c>
      <c r="M236" s="14"/>
      <c r="N236" s="14"/>
      <c r="O236" s="15"/>
      <c r="P236" s="15"/>
      <c r="Q236" s="15"/>
      <c r="R236" s="15"/>
      <c r="S236" s="15"/>
      <c r="T236" s="15"/>
      <c r="U236" s="15"/>
      <c r="V236" s="15"/>
      <c r="W236" s="15"/>
    </row>
    <row r="237" spans="1:23" x14ac:dyDescent="0.25">
      <c r="A237" s="14" t="s">
        <v>503</v>
      </c>
      <c r="B237" s="14" t="s">
        <v>68</v>
      </c>
      <c r="C237" s="14"/>
      <c r="D237" s="14" t="s">
        <v>68</v>
      </c>
      <c r="E237" s="14" t="s">
        <v>68</v>
      </c>
      <c r="F237" s="14" t="s">
        <v>159</v>
      </c>
      <c r="G237" s="14" t="s">
        <v>68</v>
      </c>
      <c r="H237" s="14" t="s">
        <v>68</v>
      </c>
      <c r="I237" s="14" t="s">
        <v>68</v>
      </c>
      <c r="J237" s="14" t="s">
        <v>102</v>
      </c>
      <c r="K237" s="14" t="s">
        <v>68</v>
      </c>
      <c r="L237" s="14" t="s">
        <v>68</v>
      </c>
      <c r="M237" s="14"/>
      <c r="N237" s="14"/>
      <c r="O237" s="15"/>
      <c r="P237" s="15"/>
      <c r="Q237" s="15"/>
      <c r="R237" s="15"/>
      <c r="S237" s="15"/>
      <c r="T237" s="15"/>
      <c r="U237" s="15"/>
      <c r="V237" s="15"/>
      <c r="W237" s="15"/>
    </row>
    <row r="238" spans="1:23" ht="60" x14ac:dyDescent="0.25">
      <c r="A238" s="14" t="s">
        <v>504</v>
      </c>
      <c r="B238" s="14" t="s">
        <v>68</v>
      </c>
      <c r="C238" s="14"/>
      <c r="D238" s="14" t="s">
        <v>215</v>
      </c>
      <c r="E238" s="14" t="s">
        <v>216</v>
      </c>
      <c r="F238" s="14" t="s">
        <v>505</v>
      </c>
      <c r="G238" s="14" t="s">
        <v>68</v>
      </c>
      <c r="H238" s="14" t="s">
        <v>68</v>
      </c>
      <c r="I238" s="14" t="s">
        <v>68</v>
      </c>
      <c r="J238" s="14" t="s">
        <v>74</v>
      </c>
      <c r="K238" s="14" t="s">
        <v>68</v>
      </c>
      <c r="L238" s="14" t="s">
        <v>68</v>
      </c>
      <c r="M238" s="14"/>
      <c r="N238" s="14"/>
      <c r="O238" s="15"/>
      <c r="P238" s="15"/>
      <c r="Q238" s="15"/>
      <c r="R238" s="15"/>
      <c r="S238" s="15"/>
      <c r="T238" s="15"/>
      <c r="U238" s="15"/>
      <c r="V238" s="15"/>
      <c r="W238" s="15"/>
    </row>
    <row r="239" spans="1:23" ht="45" x14ac:dyDescent="0.25">
      <c r="A239" s="14" t="s">
        <v>506</v>
      </c>
      <c r="B239" s="14" t="s">
        <v>68</v>
      </c>
      <c r="C239" s="14"/>
      <c r="D239" s="14" t="s">
        <v>229</v>
      </c>
      <c r="E239" s="14" t="s">
        <v>230</v>
      </c>
      <c r="F239" s="14" t="s">
        <v>68</v>
      </c>
      <c r="G239" s="14" t="s">
        <v>68</v>
      </c>
      <c r="H239" s="14" t="s">
        <v>68</v>
      </c>
      <c r="I239" s="14" t="s">
        <v>68</v>
      </c>
      <c r="J239" s="14" t="s">
        <v>68</v>
      </c>
      <c r="K239" s="14" t="s">
        <v>68</v>
      </c>
      <c r="L239" s="14" t="s">
        <v>68</v>
      </c>
      <c r="M239" s="14"/>
      <c r="N239" s="14"/>
      <c r="O239" s="15"/>
      <c r="P239" s="15"/>
      <c r="Q239" s="15"/>
      <c r="R239" s="15"/>
      <c r="S239" s="15"/>
      <c r="T239" s="15"/>
      <c r="U239" s="15"/>
      <c r="V239" s="15"/>
      <c r="W239" s="15"/>
    </row>
    <row r="240" spans="1:23" ht="45" x14ac:dyDescent="0.25">
      <c r="A240" s="14" t="s">
        <v>507</v>
      </c>
      <c r="B240" s="14" t="s">
        <v>68</v>
      </c>
      <c r="C240" s="14"/>
      <c r="D240" s="14" t="s">
        <v>232</v>
      </c>
      <c r="E240" s="14" t="s">
        <v>209</v>
      </c>
      <c r="F240" s="14" t="s">
        <v>68</v>
      </c>
      <c r="G240" s="14" t="s">
        <v>68</v>
      </c>
      <c r="H240" s="14" t="s">
        <v>68</v>
      </c>
      <c r="I240" s="14" t="s">
        <v>68</v>
      </c>
      <c r="J240" s="14" t="s">
        <v>68</v>
      </c>
      <c r="K240" s="14" t="s">
        <v>68</v>
      </c>
      <c r="L240" s="14" t="s">
        <v>68</v>
      </c>
      <c r="M240" s="14"/>
      <c r="N240" s="14"/>
      <c r="O240" s="15"/>
      <c r="P240" s="15"/>
      <c r="Q240" s="15"/>
      <c r="R240" s="15"/>
      <c r="S240" s="15"/>
      <c r="T240" s="15"/>
      <c r="U240" s="15"/>
      <c r="V240" s="15"/>
      <c r="W240" s="15"/>
    </row>
    <row r="241" spans="1:23" ht="60" x14ac:dyDescent="0.25">
      <c r="A241" s="14" t="s">
        <v>508</v>
      </c>
      <c r="B241" s="14" t="s">
        <v>68</v>
      </c>
      <c r="C241" s="14"/>
      <c r="D241" s="14" t="s">
        <v>208</v>
      </c>
      <c r="E241" s="14" t="s">
        <v>209</v>
      </c>
      <c r="F241" s="14" t="s">
        <v>68</v>
      </c>
      <c r="G241" s="14" t="s">
        <v>148</v>
      </c>
      <c r="H241" s="14" t="s">
        <v>68</v>
      </c>
      <c r="I241" s="14" t="s">
        <v>68</v>
      </c>
      <c r="J241" s="14" t="s">
        <v>102</v>
      </c>
      <c r="K241" s="14" t="s">
        <v>68</v>
      </c>
      <c r="L241" s="14" t="s">
        <v>68</v>
      </c>
      <c r="M241" s="14"/>
      <c r="N241" s="14"/>
      <c r="O241" s="15"/>
      <c r="P241" s="15"/>
      <c r="Q241" s="15"/>
      <c r="R241" s="15"/>
      <c r="S241" s="15"/>
      <c r="T241" s="15"/>
      <c r="U241" s="15"/>
      <c r="V241" s="15"/>
      <c r="W241" s="15"/>
    </row>
    <row r="242" spans="1:23" x14ac:dyDescent="0.25">
      <c r="A242" s="14" t="s">
        <v>509</v>
      </c>
      <c r="B242" s="14" t="s">
        <v>68</v>
      </c>
      <c r="C242" s="14"/>
      <c r="D242" s="14" t="s">
        <v>68</v>
      </c>
      <c r="E242" s="14" t="s">
        <v>68</v>
      </c>
      <c r="F242" s="14" t="s">
        <v>88</v>
      </c>
      <c r="G242" s="14" t="s">
        <v>68</v>
      </c>
      <c r="H242" s="14" t="s">
        <v>68</v>
      </c>
      <c r="I242" s="14" t="s">
        <v>68</v>
      </c>
      <c r="J242" s="14" t="s">
        <v>102</v>
      </c>
      <c r="K242" s="14" t="s">
        <v>68</v>
      </c>
      <c r="L242" s="14" t="s">
        <v>68</v>
      </c>
      <c r="M242" s="14"/>
      <c r="N242" s="14"/>
      <c r="O242" s="15"/>
      <c r="P242" s="15"/>
      <c r="Q242" s="15"/>
      <c r="R242" s="15"/>
      <c r="S242" s="15"/>
      <c r="T242" s="15"/>
      <c r="U242" s="15"/>
      <c r="V242" s="15"/>
      <c r="W242" s="15"/>
    </row>
    <row r="243" spans="1:23" ht="45" x14ac:dyDescent="0.25">
      <c r="A243" s="14" t="s">
        <v>510</v>
      </c>
      <c r="B243" s="14" t="s">
        <v>68</v>
      </c>
      <c r="C243" s="14"/>
      <c r="D243" s="14" t="s">
        <v>284</v>
      </c>
      <c r="E243" s="14" t="s">
        <v>285</v>
      </c>
      <c r="F243" s="14" t="s">
        <v>68</v>
      </c>
      <c r="G243" s="14" t="s">
        <v>68</v>
      </c>
      <c r="H243" s="14" t="s">
        <v>68</v>
      </c>
      <c r="I243" s="14" t="s">
        <v>68</v>
      </c>
      <c r="J243" s="14" t="s">
        <v>68</v>
      </c>
      <c r="K243" s="14" t="s">
        <v>68</v>
      </c>
      <c r="L243" s="14" t="s">
        <v>68</v>
      </c>
      <c r="M243" s="14"/>
      <c r="N243" s="14"/>
      <c r="O243" s="15"/>
      <c r="P243" s="15"/>
      <c r="Q243" s="15"/>
      <c r="R243" s="15"/>
      <c r="S243" s="15"/>
      <c r="T243" s="15"/>
      <c r="U243" s="15"/>
      <c r="V243" s="15"/>
      <c r="W243" s="15"/>
    </row>
    <row r="244" spans="1:23" ht="45" x14ac:dyDescent="0.25">
      <c r="A244" s="14" t="s">
        <v>511</v>
      </c>
      <c r="B244" s="14" t="s">
        <v>68</v>
      </c>
      <c r="C244" s="14"/>
      <c r="D244" s="14" t="s">
        <v>263</v>
      </c>
      <c r="E244" s="14" t="s">
        <v>264</v>
      </c>
      <c r="F244" s="14" t="s">
        <v>68</v>
      </c>
      <c r="G244" s="14" t="s">
        <v>171</v>
      </c>
      <c r="H244" s="14" t="s">
        <v>68</v>
      </c>
      <c r="I244" s="14" t="s">
        <v>68</v>
      </c>
      <c r="J244" s="14" t="s">
        <v>371</v>
      </c>
      <c r="K244" s="14" t="s">
        <v>68</v>
      </c>
      <c r="L244" s="14" t="s">
        <v>68</v>
      </c>
      <c r="M244" s="14"/>
      <c r="N244" s="14"/>
      <c r="O244" s="15"/>
      <c r="P244" s="15"/>
      <c r="Q244" s="15"/>
      <c r="R244" s="15"/>
      <c r="S244" s="15"/>
      <c r="T244" s="15"/>
      <c r="U244" s="15"/>
      <c r="V244" s="15"/>
      <c r="W244" s="15"/>
    </row>
    <row r="245" spans="1:23" ht="45" x14ac:dyDescent="0.25">
      <c r="A245" s="14" t="s">
        <v>512</v>
      </c>
      <c r="B245" s="14" t="s">
        <v>68</v>
      </c>
      <c r="C245" s="14"/>
      <c r="D245" s="14" t="s">
        <v>238</v>
      </c>
      <c r="E245" s="14" t="s">
        <v>239</v>
      </c>
      <c r="F245" s="14" t="s">
        <v>68</v>
      </c>
      <c r="G245" s="14" t="s">
        <v>68</v>
      </c>
      <c r="H245" s="14" t="s">
        <v>68</v>
      </c>
      <c r="I245" s="14" t="s">
        <v>68</v>
      </c>
      <c r="J245" s="14" t="s">
        <v>68</v>
      </c>
      <c r="K245" s="14" t="s">
        <v>68</v>
      </c>
      <c r="L245" s="14" t="s">
        <v>68</v>
      </c>
      <c r="M245" s="14"/>
      <c r="N245" s="14"/>
      <c r="O245" s="15"/>
      <c r="P245" s="15"/>
      <c r="Q245" s="15"/>
      <c r="R245" s="15"/>
      <c r="S245" s="15"/>
      <c r="T245" s="15"/>
      <c r="U245" s="15"/>
      <c r="V245" s="15"/>
      <c r="W245" s="15"/>
    </row>
    <row r="246" spans="1:23" ht="45" x14ac:dyDescent="0.25">
      <c r="A246" s="14" t="s">
        <v>513</v>
      </c>
      <c r="B246" s="14" t="s">
        <v>68</v>
      </c>
      <c r="C246" s="14"/>
      <c r="D246" s="14" t="s">
        <v>256</v>
      </c>
      <c r="E246" s="14" t="s">
        <v>223</v>
      </c>
      <c r="F246" s="14" t="s">
        <v>68</v>
      </c>
      <c r="G246" s="14" t="s">
        <v>68</v>
      </c>
      <c r="H246" s="14" t="s">
        <v>68</v>
      </c>
      <c r="I246" s="14" t="s">
        <v>68</v>
      </c>
      <c r="J246" s="14" t="s">
        <v>68</v>
      </c>
      <c r="K246" s="14" t="s">
        <v>68</v>
      </c>
      <c r="L246" s="14" t="s">
        <v>68</v>
      </c>
      <c r="M246" s="14"/>
      <c r="N246" s="14"/>
      <c r="O246" s="15"/>
      <c r="P246" s="15"/>
      <c r="Q246" s="15"/>
      <c r="R246" s="15"/>
      <c r="S246" s="15"/>
      <c r="T246" s="15"/>
      <c r="U246" s="15"/>
      <c r="V246" s="15"/>
      <c r="W246" s="15"/>
    </row>
    <row r="247" spans="1:23" ht="45" x14ac:dyDescent="0.25">
      <c r="A247" s="14" t="s">
        <v>514</v>
      </c>
      <c r="B247" s="14" t="s">
        <v>68</v>
      </c>
      <c r="C247" s="14"/>
      <c r="D247" s="14" t="s">
        <v>515</v>
      </c>
      <c r="E247" s="14" t="s">
        <v>516</v>
      </c>
      <c r="F247" s="14" t="s">
        <v>68</v>
      </c>
      <c r="G247" s="14" t="s">
        <v>68</v>
      </c>
      <c r="H247" s="14" t="s">
        <v>68</v>
      </c>
      <c r="I247" s="14" t="s">
        <v>68</v>
      </c>
      <c r="J247" s="14" t="s">
        <v>68</v>
      </c>
      <c r="K247" s="14" t="s">
        <v>68</v>
      </c>
      <c r="L247" s="14" t="s">
        <v>68</v>
      </c>
      <c r="M247" s="14"/>
      <c r="N247" s="14"/>
      <c r="O247" s="15"/>
      <c r="P247" s="15"/>
      <c r="Q247" s="15"/>
      <c r="R247" s="15"/>
      <c r="S247" s="15"/>
      <c r="T247" s="15"/>
      <c r="U247" s="15"/>
      <c r="V247" s="15"/>
      <c r="W247" s="15"/>
    </row>
    <row r="248" spans="1:23" ht="45" x14ac:dyDescent="0.25">
      <c r="A248" s="14" t="s">
        <v>517</v>
      </c>
      <c r="B248" s="14" t="s">
        <v>68</v>
      </c>
      <c r="C248" s="14"/>
      <c r="D248" s="14" t="s">
        <v>328</v>
      </c>
      <c r="E248" s="14" t="s">
        <v>296</v>
      </c>
      <c r="F248" s="14" t="s">
        <v>68</v>
      </c>
      <c r="G248" s="14" t="s">
        <v>68</v>
      </c>
      <c r="H248" s="14" t="s">
        <v>68</v>
      </c>
      <c r="I248" s="14" t="s">
        <v>68</v>
      </c>
      <c r="J248" s="14" t="s">
        <v>68</v>
      </c>
      <c r="K248" s="14" t="s">
        <v>68</v>
      </c>
      <c r="L248" s="14" t="s">
        <v>68</v>
      </c>
      <c r="M248" s="14"/>
      <c r="N248" s="14"/>
      <c r="O248" s="15"/>
      <c r="P248" s="15"/>
      <c r="Q248" s="15"/>
      <c r="R248" s="15"/>
      <c r="S248" s="15"/>
      <c r="T248" s="15"/>
      <c r="U248" s="15"/>
      <c r="V248" s="15"/>
      <c r="W248" s="15"/>
    </row>
    <row r="249" spans="1:23" ht="45" x14ac:dyDescent="0.25">
      <c r="A249" s="14" t="s">
        <v>518</v>
      </c>
      <c r="B249" s="14" t="s">
        <v>68</v>
      </c>
      <c r="C249" s="14"/>
      <c r="D249" s="14" t="s">
        <v>288</v>
      </c>
      <c r="E249" s="14" t="s">
        <v>291</v>
      </c>
      <c r="F249" s="14" t="s">
        <v>68</v>
      </c>
      <c r="G249" s="14" t="s">
        <v>68</v>
      </c>
      <c r="H249" s="14" t="s">
        <v>68</v>
      </c>
      <c r="I249" s="14" t="s">
        <v>68</v>
      </c>
      <c r="J249" s="14" t="s">
        <v>68</v>
      </c>
      <c r="K249" s="14" t="s">
        <v>68</v>
      </c>
      <c r="L249" s="14" t="s">
        <v>68</v>
      </c>
      <c r="M249" s="14"/>
      <c r="N249" s="14"/>
      <c r="O249" s="15"/>
      <c r="P249" s="15"/>
      <c r="Q249" s="15"/>
      <c r="R249" s="15"/>
      <c r="S249" s="15"/>
      <c r="T249" s="15"/>
      <c r="U249" s="15"/>
      <c r="V249" s="15"/>
      <c r="W249" s="15"/>
    </row>
    <row r="250" spans="1:23" x14ac:dyDescent="0.25">
      <c r="A250" s="14" t="s">
        <v>519</v>
      </c>
      <c r="B250" s="14" t="s">
        <v>68</v>
      </c>
      <c r="C250" s="14"/>
      <c r="D250" s="14" t="s">
        <v>68</v>
      </c>
      <c r="E250" s="14" t="s">
        <v>68</v>
      </c>
      <c r="F250" s="14" t="s">
        <v>88</v>
      </c>
      <c r="G250" s="14" t="s">
        <v>68</v>
      </c>
      <c r="H250" s="14" t="s">
        <v>68</v>
      </c>
      <c r="I250" s="14" t="s">
        <v>68</v>
      </c>
      <c r="J250" s="14" t="s">
        <v>102</v>
      </c>
      <c r="K250" s="14" t="s">
        <v>68</v>
      </c>
      <c r="L250" s="14" t="s">
        <v>68</v>
      </c>
      <c r="M250" s="14"/>
      <c r="N250" s="14"/>
      <c r="O250" s="15"/>
      <c r="P250" s="15"/>
      <c r="Q250" s="15"/>
      <c r="R250" s="15"/>
      <c r="S250" s="15"/>
      <c r="T250" s="15"/>
      <c r="U250" s="15"/>
      <c r="V250" s="15"/>
      <c r="W250" s="15"/>
    </row>
    <row r="251" spans="1:23" ht="45" x14ac:dyDescent="0.25">
      <c r="A251" s="14" t="s">
        <v>520</v>
      </c>
      <c r="B251" s="14" t="s">
        <v>68</v>
      </c>
      <c r="C251" s="14"/>
      <c r="D251" s="14" t="s">
        <v>249</v>
      </c>
      <c r="E251" s="14" t="s">
        <v>250</v>
      </c>
      <c r="F251" s="14" t="s">
        <v>68</v>
      </c>
      <c r="G251" s="14" t="s">
        <v>521</v>
      </c>
      <c r="H251" s="14" t="s">
        <v>68</v>
      </c>
      <c r="I251" s="14" t="s">
        <v>68</v>
      </c>
      <c r="J251" s="14" t="s">
        <v>68</v>
      </c>
      <c r="K251" s="14" t="s">
        <v>68</v>
      </c>
      <c r="L251" s="14" t="s">
        <v>68</v>
      </c>
      <c r="M251" s="14"/>
      <c r="N251" s="14"/>
      <c r="O251" s="15"/>
      <c r="P251" s="15"/>
      <c r="Q251" s="15"/>
      <c r="R251" s="15"/>
      <c r="S251" s="15"/>
      <c r="T251" s="15"/>
      <c r="U251" s="15"/>
      <c r="V251" s="15"/>
      <c r="W251" s="15"/>
    </row>
    <row r="252" spans="1:23" ht="45" x14ac:dyDescent="0.25">
      <c r="A252" s="14" t="s">
        <v>522</v>
      </c>
      <c r="B252" s="14" t="s">
        <v>68</v>
      </c>
      <c r="C252" s="14"/>
      <c r="D252" s="14" t="s">
        <v>312</v>
      </c>
      <c r="E252" s="14" t="s">
        <v>205</v>
      </c>
      <c r="F252" s="14" t="s">
        <v>68</v>
      </c>
      <c r="G252" s="14" t="s">
        <v>68</v>
      </c>
      <c r="H252" s="14" t="s">
        <v>68</v>
      </c>
      <c r="I252" s="14" t="s">
        <v>68</v>
      </c>
      <c r="J252" s="14" t="s">
        <v>68</v>
      </c>
      <c r="K252" s="14" t="s">
        <v>68</v>
      </c>
      <c r="L252" s="14" t="s">
        <v>68</v>
      </c>
      <c r="M252" s="14"/>
      <c r="N252" s="14"/>
      <c r="O252" s="15"/>
      <c r="P252" s="15"/>
      <c r="Q252" s="15"/>
      <c r="R252" s="15"/>
      <c r="S252" s="15"/>
      <c r="T252" s="15"/>
      <c r="U252" s="15"/>
      <c r="V252" s="15"/>
      <c r="W252" s="15"/>
    </row>
    <row r="253" spans="1:23" ht="45" x14ac:dyDescent="0.25">
      <c r="A253" s="14" t="s">
        <v>523</v>
      </c>
      <c r="B253" s="14" t="s">
        <v>68</v>
      </c>
      <c r="C253" s="14"/>
      <c r="D253" s="14" t="s">
        <v>232</v>
      </c>
      <c r="E253" s="14" t="s">
        <v>209</v>
      </c>
      <c r="F253" s="14" t="s">
        <v>68</v>
      </c>
      <c r="G253" s="14" t="s">
        <v>68</v>
      </c>
      <c r="H253" s="14" t="s">
        <v>68</v>
      </c>
      <c r="I253" s="14" t="s">
        <v>68</v>
      </c>
      <c r="J253" s="14" t="s">
        <v>68</v>
      </c>
      <c r="K253" s="14" t="s">
        <v>68</v>
      </c>
      <c r="L253" s="14" t="s">
        <v>68</v>
      </c>
      <c r="M253" s="14"/>
      <c r="N253" s="14"/>
      <c r="O253" s="15"/>
      <c r="P253" s="15"/>
      <c r="Q253" s="15"/>
      <c r="R253" s="15"/>
      <c r="S253" s="15"/>
      <c r="T253" s="15"/>
      <c r="U253" s="15"/>
      <c r="V253" s="15"/>
      <c r="W253" s="15"/>
    </row>
    <row r="254" spans="1:23" x14ac:dyDescent="0.25">
      <c r="A254" s="14" t="s">
        <v>524</v>
      </c>
      <c r="B254" s="14" t="s">
        <v>68</v>
      </c>
      <c r="C254" s="14"/>
      <c r="D254" s="14" t="s">
        <v>68</v>
      </c>
      <c r="E254" s="14" t="s">
        <v>291</v>
      </c>
      <c r="F254" s="14" t="s">
        <v>68</v>
      </c>
      <c r="G254" s="14" t="s">
        <v>74</v>
      </c>
      <c r="H254" s="14" t="s">
        <v>68</v>
      </c>
      <c r="I254" s="14" t="s">
        <v>68</v>
      </c>
      <c r="J254" s="14" t="s">
        <v>74</v>
      </c>
      <c r="K254" s="14" t="s">
        <v>68</v>
      </c>
      <c r="L254" s="14" t="s">
        <v>68</v>
      </c>
      <c r="M254" s="14"/>
      <c r="N254" s="14"/>
      <c r="O254" s="15"/>
      <c r="P254" s="15"/>
      <c r="Q254" s="15"/>
      <c r="R254" s="15"/>
      <c r="S254" s="15"/>
      <c r="T254" s="15"/>
      <c r="U254" s="15"/>
      <c r="V254" s="15"/>
      <c r="W254" s="15"/>
    </row>
    <row r="255" spans="1:23" ht="45" x14ac:dyDescent="0.25">
      <c r="A255" s="14" t="s">
        <v>525</v>
      </c>
      <c r="B255" s="14" t="s">
        <v>68</v>
      </c>
      <c r="C255" s="14"/>
      <c r="D255" s="14" t="s">
        <v>288</v>
      </c>
      <c r="E255" s="14" t="s">
        <v>291</v>
      </c>
      <c r="F255" s="14" t="s">
        <v>68</v>
      </c>
      <c r="G255" s="14" t="s">
        <v>87</v>
      </c>
      <c r="H255" s="14" t="s">
        <v>68</v>
      </c>
      <c r="I255" s="14" t="s">
        <v>68</v>
      </c>
      <c r="J255" s="14" t="s">
        <v>225</v>
      </c>
      <c r="K255" s="14" t="s">
        <v>68</v>
      </c>
      <c r="L255" s="14" t="s">
        <v>68</v>
      </c>
      <c r="M255" s="14"/>
      <c r="N255" s="14"/>
      <c r="O255" s="15"/>
      <c r="P255" s="15"/>
      <c r="Q255" s="15"/>
      <c r="R255" s="15"/>
      <c r="S255" s="15"/>
      <c r="T255" s="15"/>
      <c r="U255" s="15"/>
      <c r="V255" s="15"/>
      <c r="W255" s="15"/>
    </row>
    <row r="256" spans="1:23" ht="45" x14ac:dyDescent="0.25">
      <c r="A256" s="14" t="s">
        <v>526</v>
      </c>
      <c r="B256" s="14" t="s">
        <v>68</v>
      </c>
      <c r="C256" s="14"/>
      <c r="D256" s="14" t="s">
        <v>246</v>
      </c>
      <c r="E256" s="14" t="s">
        <v>247</v>
      </c>
      <c r="F256" s="14" t="s">
        <v>68</v>
      </c>
      <c r="G256" s="14" t="s">
        <v>88</v>
      </c>
      <c r="H256" s="14" t="s">
        <v>68</v>
      </c>
      <c r="I256" s="14" t="s">
        <v>68</v>
      </c>
      <c r="J256" s="14" t="s">
        <v>102</v>
      </c>
      <c r="K256" s="14" t="s">
        <v>68</v>
      </c>
      <c r="L256" s="14" t="s">
        <v>68</v>
      </c>
      <c r="M256" s="14"/>
      <c r="N256" s="14"/>
      <c r="O256" s="15"/>
      <c r="P256" s="15"/>
      <c r="Q256" s="15"/>
      <c r="R256" s="15"/>
      <c r="S256" s="15"/>
      <c r="T256" s="15"/>
      <c r="U256" s="15"/>
      <c r="V256" s="15"/>
      <c r="W256" s="15"/>
    </row>
    <row r="257" spans="1:23" ht="45" x14ac:dyDescent="0.25">
      <c r="A257" s="14" t="s">
        <v>527</v>
      </c>
      <c r="B257" s="14" t="s">
        <v>68</v>
      </c>
      <c r="C257" s="14"/>
      <c r="D257" s="14" t="s">
        <v>288</v>
      </c>
      <c r="E257" s="14" t="s">
        <v>296</v>
      </c>
      <c r="F257" s="14" t="s">
        <v>68</v>
      </c>
      <c r="G257" s="14" t="s">
        <v>68</v>
      </c>
      <c r="H257" s="14" t="s">
        <v>68</v>
      </c>
      <c r="I257" s="14" t="s">
        <v>68</v>
      </c>
      <c r="J257" s="14" t="s">
        <v>68</v>
      </c>
      <c r="K257" s="14" t="s">
        <v>68</v>
      </c>
      <c r="L257" s="14" t="s">
        <v>68</v>
      </c>
      <c r="M257" s="14"/>
      <c r="N257" s="14"/>
      <c r="O257" s="15"/>
      <c r="P257" s="15"/>
      <c r="Q257" s="15"/>
      <c r="R257" s="15"/>
      <c r="S257" s="15"/>
      <c r="T257" s="15"/>
      <c r="U257" s="15"/>
      <c r="V257" s="15"/>
      <c r="W257" s="15"/>
    </row>
    <row r="258" spans="1:23" ht="45" x14ac:dyDescent="0.25">
      <c r="A258" s="14" t="s">
        <v>528</v>
      </c>
      <c r="B258" s="14" t="s">
        <v>68</v>
      </c>
      <c r="C258" s="14"/>
      <c r="D258" s="14" t="s">
        <v>279</v>
      </c>
      <c r="E258" s="14" t="s">
        <v>280</v>
      </c>
      <c r="F258" s="14" t="s">
        <v>87</v>
      </c>
      <c r="G258" s="14" t="s">
        <v>68</v>
      </c>
      <c r="H258" s="14" t="s">
        <v>68</v>
      </c>
      <c r="I258" s="14" t="s">
        <v>68</v>
      </c>
      <c r="J258" s="14" t="s">
        <v>225</v>
      </c>
      <c r="K258" s="14" t="s">
        <v>68</v>
      </c>
      <c r="L258" s="14" t="s">
        <v>68</v>
      </c>
      <c r="M258" s="14"/>
      <c r="N258" s="14"/>
      <c r="O258" s="15"/>
      <c r="P258" s="15"/>
      <c r="Q258" s="15"/>
      <c r="R258" s="15"/>
      <c r="S258" s="15"/>
      <c r="T258" s="15"/>
      <c r="U258" s="15"/>
      <c r="V258" s="15"/>
      <c r="W258" s="15"/>
    </row>
    <row r="259" spans="1:23" ht="45" x14ac:dyDescent="0.25">
      <c r="A259" s="14" t="s">
        <v>529</v>
      </c>
      <c r="B259" s="14" t="s">
        <v>68</v>
      </c>
      <c r="C259" s="14"/>
      <c r="D259" s="14" t="s">
        <v>199</v>
      </c>
      <c r="E259" s="14" t="s">
        <v>68</v>
      </c>
      <c r="F259" s="14" t="s">
        <v>68</v>
      </c>
      <c r="G259" s="14" t="s">
        <v>78</v>
      </c>
      <c r="H259" s="14" t="s">
        <v>68</v>
      </c>
      <c r="I259" s="14" t="s">
        <v>68</v>
      </c>
      <c r="J259" s="14" t="s">
        <v>201</v>
      </c>
      <c r="K259" s="14" t="s">
        <v>68</v>
      </c>
      <c r="L259" s="14" t="s">
        <v>68</v>
      </c>
      <c r="M259" s="14"/>
      <c r="N259" s="14"/>
      <c r="O259" s="15"/>
      <c r="P259" s="15"/>
      <c r="Q259" s="15"/>
      <c r="R259" s="15"/>
      <c r="S259" s="15"/>
      <c r="T259" s="15"/>
      <c r="U259" s="15"/>
      <c r="V259" s="15"/>
      <c r="W259" s="15"/>
    </row>
    <row r="260" spans="1:23" ht="45" x14ac:dyDescent="0.25">
      <c r="A260" s="14" t="s">
        <v>530</v>
      </c>
      <c r="B260" s="14" t="s">
        <v>68</v>
      </c>
      <c r="C260" s="14"/>
      <c r="D260" s="14" t="s">
        <v>256</v>
      </c>
      <c r="E260" s="14" t="s">
        <v>223</v>
      </c>
      <c r="F260" s="14" t="s">
        <v>68</v>
      </c>
      <c r="G260" s="14" t="s">
        <v>68</v>
      </c>
      <c r="H260" s="14" t="s">
        <v>68</v>
      </c>
      <c r="I260" s="14" t="s">
        <v>68</v>
      </c>
      <c r="J260" s="14" t="s">
        <v>68</v>
      </c>
      <c r="K260" s="14" t="s">
        <v>68</v>
      </c>
      <c r="L260" s="14" t="s">
        <v>68</v>
      </c>
      <c r="M260" s="14"/>
      <c r="N260" s="14"/>
      <c r="O260" s="15"/>
      <c r="P260" s="15"/>
      <c r="Q260" s="15"/>
      <c r="R260" s="15"/>
      <c r="S260" s="15"/>
      <c r="T260" s="15"/>
      <c r="U260" s="15"/>
      <c r="V260" s="15"/>
      <c r="W260" s="15"/>
    </row>
    <row r="261" spans="1:23" ht="45" x14ac:dyDescent="0.25">
      <c r="A261" s="14" t="s">
        <v>531</v>
      </c>
      <c r="B261" s="14" t="s">
        <v>68</v>
      </c>
      <c r="C261" s="14"/>
      <c r="D261" s="14" t="s">
        <v>199</v>
      </c>
      <c r="E261" s="14" t="s">
        <v>68</v>
      </c>
      <c r="F261" s="14" t="s">
        <v>68</v>
      </c>
      <c r="G261" s="14" t="s">
        <v>78</v>
      </c>
      <c r="H261" s="14" t="s">
        <v>68</v>
      </c>
      <c r="I261" s="14" t="s">
        <v>68</v>
      </c>
      <c r="J261" s="14" t="s">
        <v>201</v>
      </c>
      <c r="K261" s="14" t="s">
        <v>68</v>
      </c>
      <c r="L261" s="14" t="s">
        <v>68</v>
      </c>
      <c r="M261" s="14"/>
      <c r="N261" s="14"/>
      <c r="O261" s="15"/>
      <c r="P261" s="15"/>
      <c r="Q261" s="15"/>
      <c r="R261" s="15"/>
      <c r="S261" s="15"/>
      <c r="T261" s="15"/>
      <c r="U261" s="15"/>
      <c r="V261" s="15"/>
      <c r="W261" s="15"/>
    </row>
    <row r="262" spans="1:23" ht="45" x14ac:dyDescent="0.25">
      <c r="A262" s="14" t="s">
        <v>532</v>
      </c>
      <c r="B262" s="14" t="s">
        <v>68</v>
      </c>
      <c r="C262" s="14"/>
      <c r="D262" s="14" t="s">
        <v>199</v>
      </c>
      <c r="E262" s="14" t="s">
        <v>68</v>
      </c>
      <c r="F262" s="14" t="s">
        <v>68</v>
      </c>
      <c r="G262" s="14" t="s">
        <v>78</v>
      </c>
      <c r="H262" s="14" t="s">
        <v>68</v>
      </c>
      <c r="I262" s="14" t="s">
        <v>68</v>
      </c>
      <c r="J262" s="14" t="s">
        <v>201</v>
      </c>
      <c r="K262" s="14" t="s">
        <v>68</v>
      </c>
      <c r="L262" s="14" t="s">
        <v>68</v>
      </c>
      <c r="M262" s="14"/>
      <c r="N262" s="14"/>
      <c r="O262" s="15"/>
      <c r="P262" s="15"/>
      <c r="Q262" s="15"/>
      <c r="R262" s="15"/>
      <c r="S262" s="15"/>
      <c r="T262" s="15"/>
      <c r="U262" s="15"/>
      <c r="V262" s="15"/>
      <c r="W262" s="15"/>
    </row>
    <row r="263" spans="1:23" ht="60" x14ac:dyDescent="0.25">
      <c r="A263" s="14" t="s">
        <v>533</v>
      </c>
      <c r="B263" s="14" t="s">
        <v>68</v>
      </c>
      <c r="C263" s="14"/>
      <c r="D263" s="14" t="s">
        <v>208</v>
      </c>
      <c r="E263" s="14" t="s">
        <v>209</v>
      </c>
      <c r="F263" s="14" t="s">
        <v>68</v>
      </c>
      <c r="G263" s="14" t="s">
        <v>361</v>
      </c>
      <c r="H263" s="14" t="s">
        <v>68</v>
      </c>
      <c r="I263" s="14" t="s">
        <v>68</v>
      </c>
      <c r="J263" s="14" t="s">
        <v>102</v>
      </c>
      <c r="K263" s="14" t="s">
        <v>68</v>
      </c>
      <c r="L263" s="14" t="s">
        <v>68</v>
      </c>
      <c r="M263" s="14"/>
      <c r="N263" s="14"/>
      <c r="O263" s="15"/>
      <c r="P263" s="15"/>
      <c r="Q263" s="15"/>
      <c r="R263" s="15"/>
      <c r="S263" s="15"/>
      <c r="T263" s="15"/>
      <c r="U263" s="15"/>
      <c r="V263" s="15"/>
      <c r="W263" s="15"/>
    </row>
    <row r="264" spans="1:23" ht="45" x14ac:dyDescent="0.25">
      <c r="A264" s="14" t="s">
        <v>534</v>
      </c>
      <c r="B264" s="14" t="s">
        <v>68</v>
      </c>
      <c r="C264" s="14"/>
      <c r="D264" s="14" t="s">
        <v>515</v>
      </c>
      <c r="E264" s="14" t="s">
        <v>516</v>
      </c>
      <c r="F264" s="14" t="s">
        <v>68</v>
      </c>
      <c r="G264" s="14" t="s">
        <v>535</v>
      </c>
      <c r="H264" s="14" t="s">
        <v>68</v>
      </c>
      <c r="I264" s="14" t="s">
        <v>68</v>
      </c>
      <c r="J264" s="14" t="s">
        <v>68</v>
      </c>
      <c r="K264" s="14" t="s">
        <v>68</v>
      </c>
      <c r="L264" s="14" t="s">
        <v>68</v>
      </c>
      <c r="M264" s="14"/>
      <c r="N264" s="14"/>
      <c r="O264" s="15"/>
      <c r="P264" s="15"/>
      <c r="Q264" s="15"/>
      <c r="R264" s="15"/>
      <c r="S264" s="15"/>
      <c r="T264" s="15"/>
      <c r="U264" s="15"/>
      <c r="V264" s="15"/>
      <c r="W264" s="15"/>
    </row>
    <row r="265" spans="1:23" ht="60" x14ac:dyDescent="0.25">
      <c r="A265" s="14" t="s">
        <v>536</v>
      </c>
      <c r="B265" s="14" t="s">
        <v>68</v>
      </c>
      <c r="C265" s="14"/>
      <c r="D265" s="14" t="s">
        <v>235</v>
      </c>
      <c r="E265" s="14" t="s">
        <v>236</v>
      </c>
      <c r="F265" s="14" t="s">
        <v>74</v>
      </c>
      <c r="G265" s="14" t="s">
        <v>68</v>
      </c>
      <c r="H265" s="14" t="s">
        <v>68</v>
      </c>
      <c r="I265" s="14" t="s">
        <v>68</v>
      </c>
      <c r="J265" s="14" t="s">
        <v>74</v>
      </c>
      <c r="K265" s="14" t="s">
        <v>68</v>
      </c>
      <c r="L265" s="14" t="s">
        <v>68</v>
      </c>
      <c r="M265" s="14"/>
      <c r="N265" s="14"/>
      <c r="O265" s="15"/>
      <c r="P265" s="15"/>
      <c r="Q265" s="15"/>
      <c r="R265" s="15"/>
      <c r="S265" s="15"/>
      <c r="T265" s="15"/>
      <c r="U265" s="15"/>
      <c r="V265" s="15"/>
      <c r="W265" s="15"/>
    </row>
    <row r="266" spans="1:23" x14ac:dyDescent="0.25">
      <c r="A266" s="14" t="s">
        <v>537</v>
      </c>
      <c r="B266" s="14" t="s">
        <v>68</v>
      </c>
      <c r="C266" s="14"/>
      <c r="D266" s="14" t="s">
        <v>68</v>
      </c>
      <c r="E266" s="14" t="s">
        <v>68</v>
      </c>
      <c r="F266" s="14" t="s">
        <v>88</v>
      </c>
      <c r="G266" s="14" t="s">
        <v>68</v>
      </c>
      <c r="H266" s="14" t="s">
        <v>68</v>
      </c>
      <c r="I266" s="14" t="s">
        <v>68</v>
      </c>
      <c r="J266" s="14" t="s">
        <v>102</v>
      </c>
      <c r="K266" s="14" t="s">
        <v>68</v>
      </c>
      <c r="L266" s="14" t="s">
        <v>68</v>
      </c>
      <c r="M266" s="14"/>
      <c r="N266" s="14"/>
      <c r="O266" s="15"/>
      <c r="P266" s="15"/>
      <c r="Q266" s="15"/>
      <c r="R266" s="15"/>
      <c r="S266" s="15"/>
      <c r="T266" s="15"/>
      <c r="U266" s="15"/>
      <c r="V266" s="15"/>
      <c r="W266" s="15"/>
    </row>
    <row r="267" spans="1:23" ht="45" x14ac:dyDescent="0.25">
      <c r="A267" s="14" t="s">
        <v>538</v>
      </c>
      <c r="B267" s="14" t="s">
        <v>68</v>
      </c>
      <c r="C267" s="14"/>
      <c r="D267" s="14" t="s">
        <v>515</v>
      </c>
      <c r="E267" s="14" t="s">
        <v>516</v>
      </c>
      <c r="F267" s="14" t="s">
        <v>68</v>
      </c>
      <c r="G267" s="14" t="s">
        <v>68</v>
      </c>
      <c r="H267" s="14" t="s">
        <v>68</v>
      </c>
      <c r="I267" s="14" t="s">
        <v>68</v>
      </c>
      <c r="J267" s="14" t="s">
        <v>68</v>
      </c>
      <c r="K267" s="14" t="s">
        <v>68</v>
      </c>
      <c r="L267" s="14" t="s">
        <v>68</v>
      </c>
      <c r="M267" s="14"/>
      <c r="N267" s="14"/>
      <c r="O267" s="15"/>
      <c r="P267" s="15"/>
      <c r="Q267" s="15"/>
      <c r="R267" s="15"/>
      <c r="S267" s="15"/>
      <c r="T267" s="15"/>
      <c r="U267" s="15"/>
      <c r="V267" s="15"/>
      <c r="W267" s="15"/>
    </row>
    <row r="268" spans="1:23" ht="45" x14ac:dyDescent="0.25">
      <c r="A268" s="14" t="s">
        <v>539</v>
      </c>
      <c r="B268" s="14" t="s">
        <v>68</v>
      </c>
      <c r="C268" s="14"/>
      <c r="D268" s="14" t="s">
        <v>229</v>
      </c>
      <c r="E268" s="14" t="s">
        <v>230</v>
      </c>
      <c r="F268" s="14" t="s">
        <v>68</v>
      </c>
      <c r="G268" s="14" t="s">
        <v>68</v>
      </c>
      <c r="H268" s="14" t="s">
        <v>68</v>
      </c>
      <c r="I268" s="14" t="s">
        <v>68</v>
      </c>
      <c r="J268" s="14" t="s">
        <v>68</v>
      </c>
      <c r="K268" s="14" t="s">
        <v>68</v>
      </c>
      <c r="L268" s="14" t="s">
        <v>68</v>
      </c>
      <c r="M268" s="14"/>
      <c r="N268" s="14"/>
      <c r="O268" s="15"/>
      <c r="P268" s="15"/>
      <c r="Q268" s="15"/>
      <c r="R268" s="15"/>
      <c r="S268" s="15"/>
      <c r="T268" s="15"/>
      <c r="U268" s="15"/>
      <c r="V268" s="15"/>
      <c r="W268" s="15"/>
    </row>
    <row r="269" spans="1:23" ht="45" x14ac:dyDescent="0.25">
      <c r="A269" s="14" t="s">
        <v>540</v>
      </c>
      <c r="B269" s="14" t="s">
        <v>68</v>
      </c>
      <c r="C269" s="14"/>
      <c r="D269" s="14" t="s">
        <v>246</v>
      </c>
      <c r="E269" s="14" t="s">
        <v>247</v>
      </c>
      <c r="F269" s="14" t="s">
        <v>68</v>
      </c>
      <c r="G269" s="14" t="s">
        <v>102</v>
      </c>
      <c r="H269" s="14" t="s">
        <v>68</v>
      </c>
      <c r="I269" s="14" t="s">
        <v>68</v>
      </c>
      <c r="J269" s="14" t="s">
        <v>102</v>
      </c>
      <c r="K269" s="14" t="s">
        <v>68</v>
      </c>
      <c r="L269" s="14" t="s">
        <v>68</v>
      </c>
      <c r="M269" s="14"/>
      <c r="N269" s="14"/>
      <c r="O269" s="15"/>
      <c r="P269" s="15"/>
      <c r="Q269" s="15"/>
      <c r="R269" s="15"/>
      <c r="S269" s="15"/>
      <c r="T269" s="15"/>
      <c r="U269" s="15"/>
      <c r="V269" s="15"/>
      <c r="W269" s="15"/>
    </row>
    <row r="270" spans="1:23" ht="45" x14ac:dyDescent="0.25">
      <c r="A270" s="14" t="s">
        <v>541</v>
      </c>
      <c r="B270" s="14" t="s">
        <v>68</v>
      </c>
      <c r="C270" s="14"/>
      <c r="D270" s="14" t="s">
        <v>246</v>
      </c>
      <c r="E270" s="14" t="s">
        <v>247</v>
      </c>
      <c r="F270" s="14" t="s">
        <v>68</v>
      </c>
      <c r="G270" s="14" t="s">
        <v>102</v>
      </c>
      <c r="H270" s="14" t="s">
        <v>68</v>
      </c>
      <c r="I270" s="14" t="s">
        <v>68</v>
      </c>
      <c r="J270" s="14" t="s">
        <v>102</v>
      </c>
      <c r="K270" s="14" t="s">
        <v>68</v>
      </c>
      <c r="L270" s="14" t="s">
        <v>68</v>
      </c>
      <c r="M270" s="14"/>
      <c r="N270" s="14"/>
      <c r="O270" s="15"/>
      <c r="P270" s="15"/>
      <c r="Q270" s="15"/>
      <c r="R270" s="15"/>
      <c r="S270" s="15"/>
      <c r="T270" s="15"/>
      <c r="U270" s="15"/>
      <c r="V270" s="15"/>
      <c r="W270" s="15"/>
    </row>
    <row r="271" spans="1:23" ht="45" x14ac:dyDescent="0.25">
      <c r="A271" s="14" t="s">
        <v>542</v>
      </c>
      <c r="B271" s="14" t="s">
        <v>68</v>
      </c>
      <c r="C271" s="14"/>
      <c r="D271" s="14" t="s">
        <v>232</v>
      </c>
      <c r="E271" s="14" t="s">
        <v>209</v>
      </c>
      <c r="F271" s="14" t="s">
        <v>68</v>
      </c>
      <c r="G271" s="14" t="s">
        <v>68</v>
      </c>
      <c r="H271" s="14" t="s">
        <v>68</v>
      </c>
      <c r="I271" s="14" t="s">
        <v>68</v>
      </c>
      <c r="J271" s="14" t="s">
        <v>68</v>
      </c>
      <c r="K271" s="14" t="s">
        <v>68</v>
      </c>
      <c r="L271" s="14" t="s">
        <v>68</v>
      </c>
      <c r="M271" s="14"/>
      <c r="N271" s="14"/>
      <c r="O271" s="15"/>
      <c r="P271" s="15"/>
      <c r="Q271" s="15"/>
      <c r="R271" s="15"/>
      <c r="S271" s="15"/>
      <c r="T271" s="15"/>
      <c r="U271" s="15"/>
      <c r="V271" s="15"/>
      <c r="W271" s="15"/>
    </row>
    <row r="272" spans="1:23" ht="45" x14ac:dyDescent="0.25">
      <c r="A272" s="14" t="s">
        <v>543</v>
      </c>
      <c r="B272" s="14" t="s">
        <v>68</v>
      </c>
      <c r="C272" s="14"/>
      <c r="D272" s="14" t="s">
        <v>328</v>
      </c>
      <c r="E272" s="14" t="s">
        <v>296</v>
      </c>
      <c r="F272" s="14" t="s">
        <v>68</v>
      </c>
      <c r="G272" s="14" t="s">
        <v>68</v>
      </c>
      <c r="H272" s="14" t="s">
        <v>68</v>
      </c>
      <c r="I272" s="14" t="s">
        <v>68</v>
      </c>
      <c r="J272" s="14" t="s">
        <v>68</v>
      </c>
      <c r="K272" s="14" t="s">
        <v>68</v>
      </c>
      <c r="L272" s="14" t="s">
        <v>68</v>
      </c>
      <c r="M272" s="14"/>
      <c r="N272" s="14"/>
      <c r="O272" s="15"/>
      <c r="P272" s="15"/>
      <c r="Q272" s="15"/>
      <c r="R272" s="15"/>
      <c r="S272" s="15"/>
      <c r="T272" s="15"/>
      <c r="U272" s="15"/>
      <c r="V272" s="15"/>
      <c r="W272" s="15"/>
    </row>
    <row r="273" spans="1:23" x14ac:dyDescent="0.25">
      <c r="A273" s="14" t="s">
        <v>544</v>
      </c>
      <c r="B273" s="14" t="s">
        <v>68</v>
      </c>
      <c r="C273" s="14"/>
      <c r="D273" s="14" t="s">
        <v>68</v>
      </c>
      <c r="E273" s="14" t="s">
        <v>68</v>
      </c>
      <c r="F273" s="14" t="s">
        <v>68</v>
      </c>
      <c r="G273" s="14" t="s">
        <v>68</v>
      </c>
      <c r="H273" s="14" t="s">
        <v>68</v>
      </c>
      <c r="I273" s="14" t="s">
        <v>68</v>
      </c>
      <c r="J273" s="14" t="s">
        <v>68</v>
      </c>
      <c r="K273" s="14" t="s">
        <v>68</v>
      </c>
      <c r="L273" s="14" t="s">
        <v>68</v>
      </c>
      <c r="M273" s="14"/>
      <c r="N273" s="14"/>
      <c r="O273" s="15"/>
      <c r="P273" s="15"/>
      <c r="Q273" s="15"/>
      <c r="R273" s="15"/>
      <c r="S273" s="15"/>
      <c r="T273" s="15"/>
      <c r="U273" s="15"/>
      <c r="V273" s="15"/>
      <c r="W273" s="15"/>
    </row>
    <row r="274" spans="1:23" ht="45" x14ac:dyDescent="0.25">
      <c r="A274" s="14" t="s">
        <v>545</v>
      </c>
      <c r="B274" s="14" t="s">
        <v>68</v>
      </c>
      <c r="C274" s="14"/>
      <c r="D274" s="14" t="s">
        <v>258</v>
      </c>
      <c r="E274" s="14" t="s">
        <v>68</v>
      </c>
      <c r="F274" s="14" t="s">
        <v>88</v>
      </c>
      <c r="G274" s="14" t="s">
        <v>68</v>
      </c>
      <c r="H274" s="14" t="s">
        <v>68</v>
      </c>
      <c r="I274" s="14" t="s">
        <v>68</v>
      </c>
      <c r="J274" s="14" t="s">
        <v>102</v>
      </c>
      <c r="K274" s="14" t="s">
        <v>68</v>
      </c>
      <c r="L274" s="14" t="s">
        <v>68</v>
      </c>
      <c r="M274" s="14"/>
      <c r="N274" s="14"/>
      <c r="O274" s="15"/>
      <c r="P274" s="15"/>
      <c r="Q274" s="15"/>
      <c r="R274" s="15"/>
      <c r="S274" s="15"/>
      <c r="T274" s="15"/>
      <c r="U274" s="15"/>
      <c r="V274" s="15"/>
      <c r="W274" s="15"/>
    </row>
    <row r="275" spans="1:23" ht="45" x14ac:dyDescent="0.25">
      <c r="A275" s="14" t="s">
        <v>546</v>
      </c>
      <c r="B275" s="14" t="s">
        <v>68</v>
      </c>
      <c r="C275" s="14"/>
      <c r="D275" s="14" t="s">
        <v>256</v>
      </c>
      <c r="E275" s="14" t="s">
        <v>223</v>
      </c>
      <c r="F275" s="14" t="s">
        <v>68</v>
      </c>
      <c r="G275" s="14" t="s">
        <v>68</v>
      </c>
      <c r="H275" s="14" t="s">
        <v>68</v>
      </c>
      <c r="I275" s="14" t="s">
        <v>68</v>
      </c>
      <c r="J275" s="14" t="s">
        <v>68</v>
      </c>
      <c r="K275" s="14" t="s">
        <v>68</v>
      </c>
      <c r="L275" s="14" t="s">
        <v>68</v>
      </c>
      <c r="M275" s="14"/>
      <c r="N275" s="14"/>
      <c r="O275" s="15"/>
      <c r="P275" s="15"/>
      <c r="Q275" s="15"/>
      <c r="R275" s="15"/>
      <c r="S275" s="15"/>
      <c r="T275" s="15"/>
      <c r="U275" s="15"/>
      <c r="V275" s="15"/>
      <c r="W275" s="15"/>
    </row>
    <row r="276" spans="1:23" ht="45" x14ac:dyDescent="0.25">
      <c r="A276" s="14" t="s">
        <v>547</v>
      </c>
      <c r="B276" s="14" t="s">
        <v>68</v>
      </c>
      <c r="C276" s="14"/>
      <c r="D276" s="14" t="s">
        <v>284</v>
      </c>
      <c r="E276" s="14" t="s">
        <v>285</v>
      </c>
      <c r="F276" s="14" t="s">
        <v>68</v>
      </c>
      <c r="G276" s="14" t="s">
        <v>68</v>
      </c>
      <c r="H276" s="14" t="s">
        <v>68</v>
      </c>
      <c r="I276" s="14" t="s">
        <v>68</v>
      </c>
      <c r="J276" s="14" t="s">
        <v>68</v>
      </c>
      <c r="K276" s="14" t="s">
        <v>68</v>
      </c>
      <c r="L276" s="14" t="s">
        <v>68</v>
      </c>
      <c r="M276" s="14"/>
      <c r="N276" s="14"/>
      <c r="O276" s="15"/>
      <c r="P276" s="15"/>
      <c r="Q276" s="15"/>
      <c r="R276" s="15"/>
      <c r="S276" s="15"/>
      <c r="T276" s="15"/>
      <c r="U276" s="15"/>
      <c r="V276" s="15"/>
      <c r="W276" s="15"/>
    </row>
    <row r="277" spans="1:23" ht="45" x14ac:dyDescent="0.25">
      <c r="A277" s="14" t="s">
        <v>548</v>
      </c>
      <c r="B277" s="14" t="s">
        <v>68</v>
      </c>
      <c r="C277" s="14"/>
      <c r="D277" s="14" t="s">
        <v>229</v>
      </c>
      <c r="E277" s="14" t="s">
        <v>230</v>
      </c>
      <c r="F277" s="14" t="s">
        <v>68</v>
      </c>
      <c r="G277" s="14" t="s">
        <v>166</v>
      </c>
      <c r="H277" s="14" t="s">
        <v>68</v>
      </c>
      <c r="I277" s="14" t="s">
        <v>68</v>
      </c>
      <c r="J277" s="14" t="s">
        <v>201</v>
      </c>
      <c r="K277" s="14" t="s">
        <v>68</v>
      </c>
      <c r="L277" s="14" t="s">
        <v>68</v>
      </c>
      <c r="M277" s="14"/>
      <c r="N277" s="14"/>
      <c r="O277" s="15"/>
      <c r="P277" s="15"/>
      <c r="Q277" s="15"/>
      <c r="R277" s="15"/>
      <c r="S277" s="15"/>
      <c r="T277" s="15"/>
      <c r="U277" s="15"/>
      <c r="V277" s="15"/>
      <c r="W277" s="15"/>
    </row>
    <row r="278" spans="1:23" ht="45" x14ac:dyDescent="0.25">
      <c r="A278" s="14" t="s">
        <v>549</v>
      </c>
      <c r="B278" s="14" t="s">
        <v>68</v>
      </c>
      <c r="C278" s="14"/>
      <c r="D278" s="14" t="s">
        <v>284</v>
      </c>
      <c r="E278" s="14" t="s">
        <v>285</v>
      </c>
      <c r="F278" s="14" t="s">
        <v>68</v>
      </c>
      <c r="G278" s="14" t="s">
        <v>68</v>
      </c>
      <c r="H278" s="14" t="s">
        <v>68</v>
      </c>
      <c r="I278" s="14" t="s">
        <v>68</v>
      </c>
      <c r="J278" s="14" t="s">
        <v>68</v>
      </c>
      <c r="K278" s="14" t="s">
        <v>68</v>
      </c>
      <c r="L278" s="14" t="s">
        <v>68</v>
      </c>
      <c r="M278" s="14"/>
      <c r="N278" s="14"/>
      <c r="O278" s="15"/>
      <c r="P278" s="15"/>
      <c r="Q278" s="15"/>
      <c r="R278" s="15"/>
      <c r="S278" s="15"/>
      <c r="T278" s="15"/>
      <c r="U278" s="15"/>
      <c r="V278" s="15"/>
      <c r="W278" s="15"/>
    </row>
    <row r="279" spans="1:23" ht="45" x14ac:dyDescent="0.25">
      <c r="A279" s="14" t="s">
        <v>550</v>
      </c>
      <c r="B279" s="14" t="s">
        <v>68</v>
      </c>
      <c r="C279" s="14"/>
      <c r="D279" s="14" t="s">
        <v>199</v>
      </c>
      <c r="E279" s="14" t="s">
        <v>68</v>
      </c>
      <c r="F279" s="14" t="s">
        <v>68</v>
      </c>
      <c r="G279" s="14" t="s">
        <v>78</v>
      </c>
      <c r="H279" s="14" t="s">
        <v>68</v>
      </c>
      <c r="I279" s="14" t="s">
        <v>68</v>
      </c>
      <c r="J279" s="14" t="s">
        <v>201</v>
      </c>
      <c r="K279" s="14" t="s">
        <v>68</v>
      </c>
      <c r="L279" s="14" t="s">
        <v>68</v>
      </c>
      <c r="M279" s="14"/>
      <c r="N279" s="14"/>
      <c r="O279" s="15"/>
      <c r="P279" s="15"/>
      <c r="Q279" s="15"/>
      <c r="R279" s="15"/>
      <c r="S279" s="15"/>
      <c r="T279" s="15"/>
      <c r="U279" s="15"/>
      <c r="V279" s="15"/>
      <c r="W279" s="15"/>
    </row>
    <row r="280" spans="1:23" ht="45" x14ac:dyDescent="0.25">
      <c r="A280" s="14" t="s">
        <v>551</v>
      </c>
      <c r="B280" s="14" t="s">
        <v>68</v>
      </c>
      <c r="C280" s="14"/>
      <c r="D280" s="14" t="s">
        <v>256</v>
      </c>
      <c r="E280" s="14" t="s">
        <v>223</v>
      </c>
      <c r="F280" s="14" t="s">
        <v>68</v>
      </c>
      <c r="G280" s="14" t="s">
        <v>68</v>
      </c>
      <c r="H280" s="14" t="s">
        <v>68</v>
      </c>
      <c r="I280" s="14" t="s">
        <v>68</v>
      </c>
      <c r="J280" s="14" t="s">
        <v>68</v>
      </c>
      <c r="K280" s="14" t="s">
        <v>68</v>
      </c>
      <c r="L280" s="14" t="s">
        <v>68</v>
      </c>
      <c r="M280" s="14"/>
      <c r="N280" s="14"/>
      <c r="O280" s="15"/>
      <c r="P280" s="15"/>
      <c r="Q280" s="15"/>
      <c r="R280" s="15"/>
      <c r="S280" s="15"/>
      <c r="T280" s="15"/>
      <c r="U280" s="15"/>
      <c r="V280" s="15"/>
      <c r="W280" s="15"/>
    </row>
    <row r="281" spans="1:23" ht="45" x14ac:dyDescent="0.25">
      <c r="A281" s="14" t="s">
        <v>552</v>
      </c>
      <c r="B281" s="14" t="s">
        <v>68</v>
      </c>
      <c r="C281" s="14"/>
      <c r="D281" s="14" t="s">
        <v>229</v>
      </c>
      <c r="E281" s="14" t="s">
        <v>230</v>
      </c>
      <c r="F281" s="14" t="s">
        <v>68</v>
      </c>
      <c r="G281" s="14" t="s">
        <v>89</v>
      </c>
      <c r="H281" s="14" t="s">
        <v>68</v>
      </c>
      <c r="I281" s="14" t="s">
        <v>68</v>
      </c>
      <c r="J281" s="14" t="s">
        <v>309</v>
      </c>
      <c r="K281" s="14" t="s">
        <v>68</v>
      </c>
      <c r="L281" s="14" t="s">
        <v>68</v>
      </c>
      <c r="M281" s="14"/>
      <c r="N281" s="14"/>
      <c r="O281" s="15"/>
      <c r="P281" s="15"/>
      <c r="Q281" s="15"/>
      <c r="R281" s="15"/>
      <c r="S281" s="15"/>
      <c r="T281" s="15"/>
      <c r="U281" s="15"/>
      <c r="V281" s="15"/>
      <c r="W281" s="15"/>
    </row>
    <row r="282" spans="1:23" ht="45" x14ac:dyDescent="0.25">
      <c r="A282" s="14" t="s">
        <v>553</v>
      </c>
      <c r="B282" s="14" t="s">
        <v>68</v>
      </c>
      <c r="C282" s="14"/>
      <c r="D282" s="14" t="s">
        <v>246</v>
      </c>
      <c r="E282" s="14" t="s">
        <v>247</v>
      </c>
      <c r="F282" s="14" t="s">
        <v>68</v>
      </c>
      <c r="G282" s="14" t="s">
        <v>554</v>
      </c>
      <c r="H282" s="14" t="s">
        <v>68</v>
      </c>
      <c r="I282" s="14" t="s">
        <v>68</v>
      </c>
      <c r="J282" s="14" t="s">
        <v>68</v>
      </c>
      <c r="K282" s="14" t="s">
        <v>68</v>
      </c>
      <c r="L282" s="14" t="s">
        <v>68</v>
      </c>
      <c r="M282" s="14"/>
      <c r="N282" s="14"/>
      <c r="O282" s="15"/>
      <c r="P282" s="15"/>
      <c r="Q282" s="15"/>
      <c r="R282" s="15"/>
      <c r="S282" s="15"/>
      <c r="T282" s="15"/>
      <c r="U282" s="15"/>
      <c r="V282" s="15"/>
      <c r="W282" s="15"/>
    </row>
    <row r="283" spans="1:23" ht="45" x14ac:dyDescent="0.25">
      <c r="A283" s="14" t="s">
        <v>555</v>
      </c>
      <c r="B283" s="14" t="s">
        <v>68</v>
      </c>
      <c r="C283" s="14"/>
      <c r="D283" s="14" t="s">
        <v>229</v>
      </c>
      <c r="E283" s="14" t="s">
        <v>230</v>
      </c>
      <c r="F283" s="14" t="s">
        <v>68</v>
      </c>
      <c r="G283" s="14" t="s">
        <v>169</v>
      </c>
      <c r="H283" s="14" t="s">
        <v>68</v>
      </c>
      <c r="I283" s="14" t="s">
        <v>68</v>
      </c>
      <c r="J283" s="14" t="s">
        <v>201</v>
      </c>
      <c r="K283" s="14" t="s">
        <v>68</v>
      </c>
      <c r="L283" s="14" t="s">
        <v>68</v>
      </c>
      <c r="M283" s="14"/>
      <c r="N283" s="14"/>
      <c r="O283" s="15"/>
      <c r="P283" s="15"/>
      <c r="Q283" s="15"/>
      <c r="R283" s="15"/>
      <c r="S283" s="15"/>
      <c r="T283" s="15"/>
      <c r="U283" s="15"/>
      <c r="V283" s="15"/>
      <c r="W283" s="15"/>
    </row>
    <row r="284" spans="1:23" ht="45" x14ac:dyDescent="0.25">
      <c r="A284" s="14" t="s">
        <v>556</v>
      </c>
      <c r="B284" s="14" t="s">
        <v>68</v>
      </c>
      <c r="C284" s="14"/>
      <c r="D284" s="14" t="s">
        <v>246</v>
      </c>
      <c r="E284" s="14" t="s">
        <v>247</v>
      </c>
      <c r="F284" s="14" t="s">
        <v>68</v>
      </c>
      <c r="G284" s="14" t="s">
        <v>102</v>
      </c>
      <c r="H284" s="14" t="s">
        <v>68</v>
      </c>
      <c r="I284" s="14" t="s">
        <v>68</v>
      </c>
      <c r="J284" s="14" t="s">
        <v>102</v>
      </c>
      <c r="K284" s="14" t="s">
        <v>68</v>
      </c>
      <c r="L284" s="14" t="s">
        <v>68</v>
      </c>
      <c r="M284" s="14"/>
      <c r="N284" s="14"/>
      <c r="O284" s="15"/>
      <c r="P284" s="15"/>
      <c r="Q284" s="15"/>
      <c r="R284" s="15"/>
      <c r="S284" s="15"/>
      <c r="T284" s="15"/>
      <c r="U284" s="15"/>
      <c r="V284" s="15"/>
      <c r="W284" s="15"/>
    </row>
    <row r="285" spans="1:23" ht="45" x14ac:dyDescent="0.25">
      <c r="A285" s="14" t="s">
        <v>557</v>
      </c>
      <c r="B285" s="14" t="s">
        <v>68</v>
      </c>
      <c r="C285" s="14"/>
      <c r="D285" s="14" t="s">
        <v>199</v>
      </c>
      <c r="E285" s="14" t="s">
        <v>68</v>
      </c>
      <c r="F285" s="14" t="s">
        <v>68</v>
      </c>
      <c r="G285" s="14" t="s">
        <v>68</v>
      </c>
      <c r="H285" s="14" t="s">
        <v>68</v>
      </c>
      <c r="I285" s="14" t="s">
        <v>68</v>
      </c>
      <c r="J285" s="14" t="s">
        <v>68</v>
      </c>
      <c r="K285" s="14" t="s">
        <v>68</v>
      </c>
      <c r="L285" s="14" t="s">
        <v>68</v>
      </c>
      <c r="M285" s="14"/>
      <c r="N285" s="14"/>
      <c r="O285" s="15"/>
      <c r="P285" s="15"/>
      <c r="Q285" s="15"/>
      <c r="R285" s="15"/>
      <c r="S285" s="15"/>
      <c r="T285" s="15"/>
      <c r="U285" s="15"/>
      <c r="V285" s="15"/>
      <c r="W285" s="15"/>
    </row>
    <row r="286" spans="1:23" ht="45" x14ac:dyDescent="0.25">
      <c r="A286" s="14" t="s">
        <v>558</v>
      </c>
      <c r="B286" s="14" t="s">
        <v>68</v>
      </c>
      <c r="C286" s="14"/>
      <c r="D286" s="14" t="s">
        <v>238</v>
      </c>
      <c r="E286" s="14" t="s">
        <v>239</v>
      </c>
      <c r="F286" s="14" t="s">
        <v>68</v>
      </c>
      <c r="G286" s="14" t="s">
        <v>68</v>
      </c>
      <c r="H286" s="14" t="s">
        <v>68</v>
      </c>
      <c r="I286" s="14" t="s">
        <v>68</v>
      </c>
      <c r="J286" s="14" t="s">
        <v>68</v>
      </c>
      <c r="K286" s="14" t="s">
        <v>68</v>
      </c>
      <c r="L286" s="14" t="s">
        <v>68</v>
      </c>
      <c r="M286" s="14"/>
      <c r="N286" s="14"/>
      <c r="O286" s="15"/>
      <c r="P286" s="15"/>
      <c r="Q286" s="15"/>
      <c r="R286" s="15"/>
      <c r="S286" s="15"/>
      <c r="T286" s="15"/>
      <c r="U286" s="15"/>
      <c r="V286" s="15"/>
      <c r="W286" s="15"/>
    </row>
    <row r="287" spans="1:23" ht="45" x14ac:dyDescent="0.25">
      <c r="A287" s="14" t="s">
        <v>559</v>
      </c>
      <c r="B287" s="14" t="s">
        <v>68</v>
      </c>
      <c r="C287" s="14"/>
      <c r="D287" s="14" t="s">
        <v>288</v>
      </c>
      <c r="E287" s="14" t="s">
        <v>296</v>
      </c>
      <c r="F287" s="14" t="s">
        <v>68</v>
      </c>
      <c r="G287" s="14" t="s">
        <v>68</v>
      </c>
      <c r="H287" s="14" t="s">
        <v>68</v>
      </c>
      <c r="I287" s="14" t="s">
        <v>68</v>
      </c>
      <c r="J287" s="14" t="s">
        <v>68</v>
      </c>
      <c r="K287" s="14" t="s">
        <v>68</v>
      </c>
      <c r="L287" s="14" t="s">
        <v>68</v>
      </c>
      <c r="M287" s="14"/>
      <c r="N287" s="14"/>
      <c r="O287" s="15"/>
      <c r="P287" s="15"/>
      <c r="Q287" s="15"/>
      <c r="R287" s="15"/>
      <c r="S287" s="15"/>
      <c r="T287" s="15"/>
      <c r="U287" s="15"/>
      <c r="V287" s="15"/>
      <c r="W287" s="15"/>
    </row>
    <row r="288" spans="1:23" x14ac:dyDescent="0.25">
      <c r="A288" s="14" t="s">
        <v>560</v>
      </c>
      <c r="B288" s="14" t="s">
        <v>68</v>
      </c>
      <c r="C288" s="14"/>
      <c r="D288" s="14" t="s">
        <v>68</v>
      </c>
      <c r="E288" s="14" t="s">
        <v>68</v>
      </c>
      <c r="F288" s="14" t="s">
        <v>148</v>
      </c>
      <c r="G288" s="14" t="s">
        <v>68</v>
      </c>
      <c r="H288" s="14" t="s">
        <v>68</v>
      </c>
      <c r="I288" s="14" t="s">
        <v>68</v>
      </c>
      <c r="J288" s="14" t="s">
        <v>102</v>
      </c>
      <c r="K288" s="14" t="s">
        <v>68</v>
      </c>
      <c r="L288" s="14" t="s">
        <v>68</v>
      </c>
      <c r="M288" s="14"/>
      <c r="N288" s="14"/>
      <c r="O288" s="15"/>
      <c r="P288" s="15"/>
      <c r="Q288" s="15"/>
      <c r="R288" s="15"/>
      <c r="S288" s="15"/>
      <c r="T288" s="15"/>
      <c r="U288" s="15"/>
      <c r="V288" s="15"/>
      <c r="W288" s="15"/>
    </row>
    <row r="289" spans="1:23" ht="45" x14ac:dyDescent="0.25">
      <c r="A289" s="14" t="s">
        <v>561</v>
      </c>
      <c r="B289" s="14" t="s">
        <v>68</v>
      </c>
      <c r="C289" s="14"/>
      <c r="D289" s="14" t="s">
        <v>246</v>
      </c>
      <c r="E289" s="14" t="s">
        <v>247</v>
      </c>
      <c r="F289" s="14" t="s">
        <v>68</v>
      </c>
      <c r="G289" s="14" t="s">
        <v>102</v>
      </c>
      <c r="H289" s="14" t="s">
        <v>68</v>
      </c>
      <c r="I289" s="14" t="s">
        <v>68</v>
      </c>
      <c r="J289" s="14" t="s">
        <v>102</v>
      </c>
      <c r="K289" s="14" t="s">
        <v>68</v>
      </c>
      <c r="L289" s="14" t="s">
        <v>68</v>
      </c>
      <c r="M289" s="14"/>
      <c r="N289" s="14"/>
      <c r="O289" s="15"/>
      <c r="P289" s="15"/>
      <c r="Q289" s="15"/>
      <c r="R289" s="15"/>
      <c r="S289" s="15"/>
      <c r="T289" s="15"/>
      <c r="U289" s="15"/>
      <c r="V289" s="15"/>
      <c r="W289" s="15"/>
    </row>
    <row r="290" spans="1:23" ht="45" x14ac:dyDescent="0.25">
      <c r="A290" s="14" t="s">
        <v>562</v>
      </c>
      <c r="B290" s="14" t="s">
        <v>68</v>
      </c>
      <c r="C290" s="14"/>
      <c r="D290" s="14" t="s">
        <v>256</v>
      </c>
      <c r="E290" s="14" t="s">
        <v>223</v>
      </c>
      <c r="F290" s="14" t="s">
        <v>68</v>
      </c>
      <c r="G290" s="14" t="s">
        <v>74</v>
      </c>
      <c r="H290" s="14" t="s">
        <v>68</v>
      </c>
      <c r="I290" s="14" t="s">
        <v>68</v>
      </c>
      <c r="J290" s="14" t="s">
        <v>74</v>
      </c>
      <c r="K290" s="14" t="s">
        <v>68</v>
      </c>
      <c r="L290" s="14" t="s">
        <v>68</v>
      </c>
      <c r="M290" s="14"/>
      <c r="N290" s="14"/>
      <c r="O290" s="15"/>
      <c r="P290" s="15"/>
      <c r="Q290" s="15"/>
      <c r="R290" s="15"/>
      <c r="S290" s="15"/>
      <c r="T290" s="15"/>
      <c r="U290" s="15"/>
      <c r="V290" s="15"/>
      <c r="W290" s="15"/>
    </row>
    <row r="291" spans="1:23" ht="45" x14ac:dyDescent="0.25">
      <c r="A291" s="14" t="s">
        <v>563</v>
      </c>
      <c r="B291" s="14" t="s">
        <v>68</v>
      </c>
      <c r="C291" s="14"/>
      <c r="D291" s="14" t="s">
        <v>238</v>
      </c>
      <c r="E291" s="14" t="s">
        <v>239</v>
      </c>
      <c r="F291" s="14" t="s">
        <v>68</v>
      </c>
      <c r="G291" s="14" t="s">
        <v>68</v>
      </c>
      <c r="H291" s="14" t="s">
        <v>68</v>
      </c>
      <c r="I291" s="14" t="s">
        <v>68</v>
      </c>
      <c r="J291" s="14" t="s">
        <v>68</v>
      </c>
      <c r="K291" s="14" t="s">
        <v>68</v>
      </c>
      <c r="L291" s="14" t="s">
        <v>68</v>
      </c>
      <c r="M291" s="14"/>
      <c r="N291" s="14"/>
      <c r="O291" s="15"/>
      <c r="P291" s="15"/>
      <c r="Q291" s="15"/>
      <c r="R291" s="15"/>
      <c r="S291" s="15"/>
      <c r="T291" s="15"/>
      <c r="U291" s="15"/>
      <c r="V291" s="15"/>
      <c r="W291" s="15"/>
    </row>
    <row r="292" spans="1:23" ht="45" x14ac:dyDescent="0.25">
      <c r="A292" s="14" t="s">
        <v>564</v>
      </c>
      <c r="B292" s="14" t="s">
        <v>68</v>
      </c>
      <c r="C292" s="14"/>
      <c r="D292" s="14" t="s">
        <v>249</v>
      </c>
      <c r="E292" s="14" t="s">
        <v>250</v>
      </c>
      <c r="F292" s="14" t="s">
        <v>68</v>
      </c>
      <c r="G292" s="14" t="s">
        <v>68</v>
      </c>
      <c r="H292" s="14" t="s">
        <v>68</v>
      </c>
      <c r="I292" s="14" t="s">
        <v>68</v>
      </c>
      <c r="J292" s="14" t="s">
        <v>68</v>
      </c>
      <c r="K292" s="14" t="s">
        <v>68</v>
      </c>
      <c r="L292" s="14" t="s">
        <v>68</v>
      </c>
      <c r="M292" s="14"/>
      <c r="N292" s="14"/>
      <c r="O292" s="15"/>
      <c r="P292" s="15"/>
      <c r="Q292" s="15"/>
      <c r="R292" s="15"/>
      <c r="S292" s="15"/>
      <c r="T292" s="15"/>
      <c r="U292" s="15"/>
      <c r="V292" s="15"/>
      <c r="W292" s="15"/>
    </row>
    <row r="293" spans="1:23" x14ac:dyDescent="0.25">
      <c r="A293" s="14" t="s">
        <v>565</v>
      </c>
      <c r="B293" s="14" t="s">
        <v>68</v>
      </c>
      <c r="C293" s="14"/>
      <c r="D293" s="14" t="s">
        <v>68</v>
      </c>
      <c r="E293" s="14" t="s">
        <v>68</v>
      </c>
      <c r="F293" s="14" t="s">
        <v>68</v>
      </c>
      <c r="G293" s="14" t="s">
        <v>68</v>
      </c>
      <c r="H293" s="14" t="s">
        <v>68</v>
      </c>
      <c r="I293" s="14" t="s">
        <v>68</v>
      </c>
      <c r="J293" s="14" t="s">
        <v>68</v>
      </c>
      <c r="K293" s="14" t="s">
        <v>68</v>
      </c>
      <c r="L293" s="14" t="s">
        <v>68</v>
      </c>
      <c r="M293" s="14"/>
      <c r="N293" s="14"/>
      <c r="O293" s="15"/>
      <c r="P293" s="15"/>
      <c r="Q293" s="15"/>
      <c r="R293" s="15"/>
      <c r="S293" s="15"/>
      <c r="T293" s="15"/>
      <c r="U293" s="15"/>
      <c r="V293" s="15"/>
      <c r="W293" s="15"/>
    </row>
    <row r="294" spans="1:23" x14ac:dyDescent="0.25">
      <c r="A294" s="14" t="s">
        <v>566</v>
      </c>
      <c r="B294" s="14" t="s">
        <v>68</v>
      </c>
      <c r="C294" s="14"/>
      <c r="D294" s="14" t="s">
        <v>68</v>
      </c>
      <c r="E294" s="14" t="s">
        <v>68</v>
      </c>
      <c r="F294" s="14" t="s">
        <v>88</v>
      </c>
      <c r="G294" s="14" t="s">
        <v>68</v>
      </c>
      <c r="H294" s="14" t="s">
        <v>68</v>
      </c>
      <c r="I294" s="14" t="s">
        <v>68</v>
      </c>
      <c r="J294" s="14" t="s">
        <v>102</v>
      </c>
      <c r="K294" s="14" t="s">
        <v>68</v>
      </c>
      <c r="L294" s="14" t="s">
        <v>68</v>
      </c>
      <c r="M294" s="14"/>
      <c r="N294" s="14"/>
      <c r="O294" s="15"/>
      <c r="P294" s="15"/>
      <c r="Q294" s="15"/>
      <c r="R294" s="15"/>
      <c r="S294" s="15"/>
      <c r="T294" s="15"/>
      <c r="U294" s="15"/>
      <c r="V294" s="15"/>
      <c r="W294" s="15"/>
    </row>
    <row r="295" spans="1:23" ht="60" x14ac:dyDescent="0.25">
      <c r="A295" s="14" t="s">
        <v>567</v>
      </c>
      <c r="B295" s="14" t="s">
        <v>68</v>
      </c>
      <c r="C295" s="14"/>
      <c r="D295" s="14" t="s">
        <v>215</v>
      </c>
      <c r="E295" s="14" t="s">
        <v>216</v>
      </c>
      <c r="F295" s="14" t="s">
        <v>68</v>
      </c>
      <c r="G295" s="14" t="s">
        <v>97</v>
      </c>
      <c r="H295" s="14" t="s">
        <v>68</v>
      </c>
      <c r="I295" s="14" t="s">
        <v>68</v>
      </c>
      <c r="J295" s="14" t="s">
        <v>74</v>
      </c>
      <c r="K295" s="14" t="s">
        <v>68</v>
      </c>
      <c r="L295" s="14" t="s">
        <v>68</v>
      </c>
      <c r="M295" s="14"/>
      <c r="N295" s="14"/>
      <c r="O295" s="15"/>
      <c r="P295" s="15"/>
      <c r="Q295" s="15"/>
      <c r="R295" s="15"/>
      <c r="S295" s="15"/>
      <c r="T295" s="15"/>
      <c r="U295" s="15"/>
      <c r="V295" s="15"/>
      <c r="W295" s="15"/>
    </row>
    <row r="296" spans="1:23" ht="45" x14ac:dyDescent="0.25">
      <c r="A296" s="14" t="s">
        <v>568</v>
      </c>
      <c r="B296" s="14" t="s">
        <v>68</v>
      </c>
      <c r="C296" s="14"/>
      <c r="D296" s="14" t="s">
        <v>279</v>
      </c>
      <c r="E296" s="14" t="s">
        <v>280</v>
      </c>
      <c r="F296" s="14" t="s">
        <v>132</v>
      </c>
      <c r="G296" s="14" t="s">
        <v>68</v>
      </c>
      <c r="H296" s="14" t="s">
        <v>68</v>
      </c>
      <c r="I296" s="14" t="s">
        <v>68</v>
      </c>
      <c r="J296" s="14" t="s">
        <v>225</v>
      </c>
      <c r="K296" s="14" t="s">
        <v>68</v>
      </c>
      <c r="L296" s="14" t="s">
        <v>68</v>
      </c>
      <c r="M296" s="14"/>
      <c r="N296" s="14"/>
      <c r="O296" s="15"/>
      <c r="P296" s="15"/>
      <c r="Q296" s="15"/>
      <c r="R296" s="15"/>
      <c r="S296" s="15"/>
      <c r="T296" s="15"/>
      <c r="U296" s="15"/>
      <c r="V296" s="15"/>
      <c r="W296" s="15"/>
    </row>
    <row r="297" spans="1:23" ht="45" x14ac:dyDescent="0.25">
      <c r="A297" s="14" t="s">
        <v>569</v>
      </c>
      <c r="B297" s="14" t="s">
        <v>68</v>
      </c>
      <c r="C297" s="14"/>
      <c r="D297" s="14" t="s">
        <v>222</v>
      </c>
      <c r="E297" s="14" t="s">
        <v>223</v>
      </c>
      <c r="F297" s="14" t="s">
        <v>68</v>
      </c>
      <c r="G297" s="14" t="s">
        <v>224</v>
      </c>
      <c r="H297" s="14" t="s">
        <v>68</v>
      </c>
      <c r="I297" s="14" t="s">
        <v>68</v>
      </c>
      <c r="J297" s="14" t="s">
        <v>225</v>
      </c>
      <c r="K297" s="14" t="s">
        <v>68</v>
      </c>
      <c r="L297" s="14" t="s">
        <v>68</v>
      </c>
      <c r="M297" s="14"/>
      <c r="N297" s="14"/>
      <c r="O297" s="15"/>
      <c r="P297" s="15"/>
      <c r="Q297" s="15"/>
      <c r="R297" s="15"/>
      <c r="S297" s="15"/>
      <c r="T297" s="15"/>
      <c r="U297" s="15"/>
      <c r="V297" s="15"/>
      <c r="W297" s="15"/>
    </row>
    <row r="298" spans="1:23" ht="60" x14ac:dyDescent="0.25">
      <c r="A298" s="14" t="s">
        <v>570</v>
      </c>
      <c r="B298" s="14" t="s">
        <v>68</v>
      </c>
      <c r="C298" s="14"/>
      <c r="D298" s="14" t="s">
        <v>314</v>
      </c>
      <c r="E298" s="14" t="s">
        <v>68</v>
      </c>
      <c r="F298" s="14" t="s">
        <v>68</v>
      </c>
      <c r="G298" s="14" t="s">
        <v>159</v>
      </c>
      <c r="H298" s="14" t="s">
        <v>68</v>
      </c>
      <c r="I298" s="14" t="s">
        <v>68</v>
      </c>
      <c r="J298" s="14" t="s">
        <v>102</v>
      </c>
      <c r="K298" s="14" t="s">
        <v>68</v>
      </c>
      <c r="L298" s="14" t="s">
        <v>68</v>
      </c>
      <c r="M298" s="14"/>
      <c r="N298" s="14"/>
      <c r="O298" s="15"/>
      <c r="P298" s="15"/>
      <c r="Q298" s="15"/>
      <c r="R298" s="15"/>
      <c r="S298" s="15"/>
      <c r="T298" s="15"/>
      <c r="U298" s="15"/>
      <c r="V298" s="15"/>
      <c r="W298" s="15"/>
    </row>
    <row r="299" spans="1:23" ht="45" x14ac:dyDescent="0.25">
      <c r="A299" s="14" t="s">
        <v>571</v>
      </c>
      <c r="B299" s="14" t="s">
        <v>68</v>
      </c>
      <c r="C299" s="14"/>
      <c r="D299" s="14" t="s">
        <v>246</v>
      </c>
      <c r="E299" s="14" t="s">
        <v>247</v>
      </c>
      <c r="F299" s="14" t="s">
        <v>68</v>
      </c>
      <c r="G299" s="14" t="s">
        <v>102</v>
      </c>
      <c r="H299" s="14" t="s">
        <v>68</v>
      </c>
      <c r="I299" s="14" t="s">
        <v>68</v>
      </c>
      <c r="J299" s="14" t="s">
        <v>102</v>
      </c>
      <c r="K299" s="14" t="s">
        <v>68</v>
      </c>
      <c r="L299" s="14" t="s">
        <v>68</v>
      </c>
      <c r="M299" s="14"/>
      <c r="N299" s="14"/>
      <c r="O299" s="15"/>
      <c r="P299" s="15"/>
      <c r="Q299" s="15"/>
      <c r="R299" s="15"/>
      <c r="S299" s="15"/>
      <c r="T299" s="15"/>
      <c r="U299" s="15"/>
      <c r="V299" s="15"/>
      <c r="W299" s="15"/>
    </row>
    <row r="300" spans="1:23" ht="45" x14ac:dyDescent="0.25">
      <c r="A300" s="14" t="s">
        <v>572</v>
      </c>
      <c r="B300" s="14" t="s">
        <v>68</v>
      </c>
      <c r="C300" s="14"/>
      <c r="D300" s="14" t="s">
        <v>328</v>
      </c>
      <c r="E300" s="14" t="s">
        <v>296</v>
      </c>
      <c r="F300" s="14" t="s">
        <v>68</v>
      </c>
      <c r="G300" s="14" t="s">
        <v>68</v>
      </c>
      <c r="H300" s="14" t="s">
        <v>68</v>
      </c>
      <c r="I300" s="14" t="s">
        <v>68</v>
      </c>
      <c r="J300" s="14" t="s">
        <v>68</v>
      </c>
      <c r="K300" s="14" t="s">
        <v>68</v>
      </c>
      <c r="L300" s="14" t="s">
        <v>68</v>
      </c>
      <c r="M300" s="14"/>
      <c r="N300" s="14"/>
      <c r="O300" s="15"/>
      <c r="P300" s="15"/>
      <c r="Q300" s="15"/>
      <c r="R300" s="15"/>
      <c r="S300" s="15"/>
      <c r="T300" s="15"/>
      <c r="U300" s="15"/>
      <c r="V300" s="15"/>
      <c r="W300" s="15"/>
    </row>
    <row r="301" spans="1:23" ht="45" x14ac:dyDescent="0.25">
      <c r="A301" s="14" t="s">
        <v>573</v>
      </c>
      <c r="B301" s="14" t="s">
        <v>68</v>
      </c>
      <c r="C301" s="14"/>
      <c r="D301" s="14" t="s">
        <v>241</v>
      </c>
      <c r="E301" s="14" t="s">
        <v>236</v>
      </c>
      <c r="F301" s="14" t="s">
        <v>83</v>
      </c>
      <c r="G301" s="14" t="s">
        <v>68</v>
      </c>
      <c r="H301" s="14" t="s">
        <v>68</v>
      </c>
      <c r="I301" s="14" t="s">
        <v>68</v>
      </c>
      <c r="J301" s="14" t="s">
        <v>201</v>
      </c>
      <c r="K301" s="14" t="s">
        <v>68</v>
      </c>
      <c r="L301" s="14" t="s">
        <v>68</v>
      </c>
      <c r="M301" s="14"/>
      <c r="N301" s="14"/>
      <c r="O301" s="15"/>
      <c r="P301" s="15"/>
      <c r="Q301" s="15"/>
      <c r="R301" s="15"/>
      <c r="S301" s="15"/>
      <c r="T301" s="15"/>
      <c r="U301" s="15"/>
      <c r="V301" s="15"/>
      <c r="W301" s="15"/>
    </row>
    <row r="302" spans="1:23" ht="45" x14ac:dyDescent="0.25">
      <c r="A302" s="14" t="s">
        <v>574</v>
      </c>
      <c r="B302" s="14" t="s">
        <v>68</v>
      </c>
      <c r="C302" s="14"/>
      <c r="D302" s="14" t="s">
        <v>246</v>
      </c>
      <c r="E302" s="14" t="s">
        <v>247</v>
      </c>
      <c r="F302" s="14" t="s">
        <v>68</v>
      </c>
      <c r="G302" s="14" t="s">
        <v>575</v>
      </c>
      <c r="H302" s="14" t="s">
        <v>68</v>
      </c>
      <c r="I302" s="14" t="s">
        <v>68</v>
      </c>
      <c r="J302" s="14" t="s">
        <v>68</v>
      </c>
      <c r="K302" s="14" t="s">
        <v>68</v>
      </c>
      <c r="L302" s="14" t="s">
        <v>68</v>
      </c>
      <c r="M302" s="14"/>
      <c r="N302" s="14"/>
      <c r="O302" s="15"/>
      <c r="P302" s="15"/>
      <c r="Q302" s="15"/>
      <c r="R302" s="15"/>
      <c r="S302" s="15"/>
      <c r="T302" s="15"/>
      <c r="U302" s="15"/>
      <c r="V302" s="15"/>
      <c r="W302" s="15"/>
    </row>
    <row r="303" spans="1:23" ht="45" x14ac:dyDescent="0.25">
      <c r="A303" s="14" t="s">
        <v>576</v>
      </c>
      <c r="B303" s="14" t="s">
        <v>68</v>
      </c>
      <c r="C303" s="14"/>
      <c r="D303" s="14" t="s">
        <v>222</v>
      </c>
      <c r="E303" s="14" t="s">
        <v>223</v>
      </c>
      <c r="F303" s="14" t="s">
        <v>68</v>
      </c>
      <c r="G303" s="14" t="s">
        <v>224</v>
      </c>
      <c r="H303" s="14" t="s">
        <v>68</v>
      </c>
      <c r="I303" s="14" t="s">
        <v>68</v>
      </c>
      <c r="J303" s="14" t="s">
        <v>225</v>
      </c>
      <c r="K303" s="14" t="s">
        <v>68</v>
      </c>
      <c r="L303" s="14" t="s">
        <v>68</v>
      </c>
      <c r="M303" s="14"/>
      <c r="N303" s="14"/>
      <c r="O303" s="15"/>
      <c r="P303" s="15"/>
      <c r="Q303" s="15"/>
      <c r="R303" s="15"/>
      <c r="S303" s="15"/>
      <c r="T303" s="15"/>
      <c r="U303" s="15"/>
      <c r="V303" s="15"/>
      <c r="W303" s="15"/>
    </row>
    <row r="304" spans="1:23" ht="45" x14ac:dyDescent="0.25">
      <c r="A304" s="14" t="s">
        <v>577</v>
      </c>
      <c r="B304" s="14" t="s">
        <v>68</v>
      </c>
      <c r="C304" s="14"/>
      <c r="D304" s="14" t="s">
        <v>279</v>
      </c>
      <c r="E304" s="14" t="s">
        <v>280</v>
      </c>
      <c r="F304" s="14" t="s">
        <v>132</v>
      </c>
      <c r="G304" s="14" t="s">
        <v>68</v>
      </c>
      <c r="H304" s="14" t="s">
        <v>68</v>
      </c>
      <c r="I304" s="14" t="s">
        <v>68</v>
      </c>
      <c r="J304" s="14" t="s">
        <v>225</v>
      </c>
      <c r="K304" s="14" t="s">
        <v>68</v>
      </c>
      <c r="L304" s="14" t="s">
        <v>68</v>
      </c>
      <c r="M304" s="14"/>
      <c r="N304" s="14"/>
      <c r="O304" s="15"/>
      <c r="P304" s="15"/>
      <c r="Q304" s="15"/>
      <c r="R304" s="15"/>
      <c r="S304" s="15"/>
      <c r="T304" s="15"/>
      <c r="U304" s="15"/>
      <c r="V304" s="15"/>
      <c r="W304" s="15"/>
    </row>
    <row r="305" spans="1:23" ht="45" x14ac:dyDescent="0.25">
      <c r="A305" s="14" t="s">
        <v>578</v>
      </c>
      <c r="B305" s="14" t="s">
        <v>68</v>
      </c>
      <c r="C305" s="14"/>
      <c r="D305" s="14" t="s">
        <v>238</v>
      </c>
      <c r="E305" s="14" t="s">
        <v>239</v>
      </c>
      <c r="F305" s="14" t="s">
        <v>68</v>
      </c>
      <c r="G305" s="14" t="s">
        <v>68</v>
      </c>
      <c r="H305" s="14" t="s">
        <v>68</v>
      </c>
      <c r="I305" s="14" t="s">
        <v>68</v>
      </c>
      <c r="J305" s="14" t="s">
        <v>68</v>
      </c>
      <c r="K305" s="14" t="s">
        <v>68</v>
      </c>
      <c r="L305" s="14" t="s">
        <v>68</v>
      </c>
      <c r="M305" s="14"/>
      <c r="N305" s="14"/>
      <c r="O305" s="15"/>
      <c r="P305" s="15"/>
      <c r="Q305" s="15"/>
      <c r="R305" s="15"/>
      <c r="S305" s="15"/>
      <c r="T305" s="15"/>
      <c r="U305" s="15"/>
      <c r="V305" s="15"/>
      <c r="W305" s="15"/>
    </row>
    <row r="306" spans="1:23" ht="45" x14ac:dyDescent="0.25">
      <c r="A306" s="14" t="s">
        <v>579</v>
      </c>
      <c r="B306" s="14" t="s">
        <v>68</v>
      </c>
      <c r="C306" s="14"/>
      <c r="D306" s="14" t="s">
        <v>515</v>
      </c>
      <c r="E306" s="14" t="s">
        <v>516</v>
      </c>
      <c r="F306" s="14" t="s">
        <v>68</v>
      </c>
      <c r="G306" s="14" t="s">
        <v>68</v>
      </c>
      <c r="H306" s="14" t="s">
        <v>68</v>
      </c>
      <c r="I306" s="14" t="s">
        <v>68</v>
      </c>
      <c r="J306" s="14" t="s">
        <v>68</v>
      </c>
      <c r="K306" s="14" t="s">
        <v>68</v>
      </c>
      <c r="L306" s="14" t="s">
        <v>68</v>
      </c>
      <c r="M306" s="14"/>
      <c r="N306" s="14"/>
      <c r="O306" s="15"/>
      <c r="P306" s="15"/>
      <c r="Q306" s="15"/>
      <c r="R306" s="15"/>
      <c r="S306" s="15"/>
      <c r="T306" s="15"/>
      <c r="U306" s="15"/>
      <c r="V306" s="15"/>
      <c r="W306" s="15"/>
    </row>
    <row r="307" spans="1:23" ht="45" x14ac:dyDescent="0.25">
      <c r="A307" s="14" t="s">
        <v>580</v>
      </c>
      <c r="B307" s="14" t="s">
        <v>68</v>
      </c>
      <c r="C307" s="14"/>
      <c r="D307" s="14" t="s">
        <v>263</v>
      </c>
      <c r="E307" s="14" t="s">
        <v>68</v>
      </c>
      <c r="F307" s="14" t="s">
        <v>68</v>
      </c>
      <c r="G307" s="14" t="s">
        <v>68</v>
      </c>
      <c r="H307" s="14" t="s">
        <v>68</v>
      </c>
      <c r="I307" s="14" t="s">
        <v>68</v>
      </c>
      <c r="J307" s="14" t="s">
        <v>68</v>
      </c>
      <c r="K307" s="14" t="s">
        <v>68</v>
      </c>
      <c r="L307" s="14" t="s">
        <v>68</v>
      </c>
      <c r="M307" s="14"/>
      <c r="N307" s="14"/>
      <c r="O307" s="15"/>
      <c r="P307" s="15"/>
      <c r="Q307" s="15"/>
      <c r="R307" s="15"/>
      <c r="S307" s="15"/>
      <c r="T307" s="15"/>
      <c r="U307" s="15"/>
      <c r="V307" s="15"/>
      <c r="W307" s="15"/>
    </row>
    <row r="308" spans="1:23" ht="45" x14ac:dyDescent="0.25">
      <c r="A308" s="14" t="s">
        <v>581</v>
      </c>
      <c r="B308" s="14" t="s">
        <v>68</v>
      </c>
      <c r="C308" s="14"/>
      <c r="D308" s="14" t="s">
        <v>256</v>
      </c>
      <c r="E308" s="14" t="s">
        <v>291</v>
      </c>
      <c r="F308" s="14" t="s">
        <v>68</v>
      </c>
      <c r="G308" s="14" t="s">
        <v>68</v>
      </c>
      <c r="H308" s="14" t="s">
        <v>68</v>
      </c>
      <c r="I308" s="14" t="s">
        <v>68</v>
      </c>
      <c r="J308" s="14" t="s">
        <v>68</v>
      </c>
      <c r="K308" s="14" t="s">
        <v>68</v>
      </c>
      <c r="L308" s="14" t="s">
        <v>68</v>
      </c>
      <c r="M308" s="14"/>
      <c r="N308" s="14"/>
      <c r="O308" s="15"/>
      <c r="P308" s="15"/>
      <c r="Q308" s="15"/>
      <c r="R308" s="15"/>
      <c r="S308" s="15"/>
      <c r="T308" s="15"/>
      <c r="U308" s="15"/>
      <c r="V308" s="15"/>
      <c r="W308" s="15"/>
    </row>
    <row r="309" spans="1:23" ht="45" x14ac:dyDescent="0.25">
      <c r="A309" s="14" t="s">
        <v>582</v>
      </c>
      <c r="B309" s="14" t="s">
        <v>68</v>
      </c>
      <c r="C309" s="14"/>
      <c r="D309" s="14" t="s">
        <v>325</v>
      </c>
      <c r="E309" s="14" t="s">
        <v>326</v>
      </c>
      <c r="F309" s="14" t="s">
        <v>68</v>
      </c>
      <c r="G309" s="14" t="s">
        <v>68</v>
      </c>
      <c r="H309" s="14" t="s">
        <v>68</v>
      </c>
      <c r="I309" s="14" t="s">
        <v>68</v>
      </c>
      <c r="J309" s="14" t="s">
        <v>68</v>
      </c>
      <c r="K309" s="14" t="s">
        <v>68</v>
      </c>
      <c r="L309" s="14" t="s">
        <v>68</v>
      </c>
      <c r="M309" s="14"/>
      <c r="N309" s="14"/>
      <c r="O309" s="15"/>
      <c r="P309" s="15"/>
      <c r="Q309" s="15"/>
      <c r="R309" s="15"/>
      <c r="S309" s="15"/>
      <c r="T309" s="15"/>
      <c r="U309" s="15"/>
      <c r="V309" s="15"/>
      <c r="W309" s="15"/>
    </row>
    <row r="310" spans="1:23" ht="45" x14ac:dyDescent="0.25">
      <c r="A310" s="14" t="s">
        <v>583</v>
      </c>
      <c r="B310" s="14" t="s">
        <v>68</v>
      </c>
      <c r="C310" s="14"/>
      <c r="D310" s="14" t="s">
        <v>199</v>
      </c>
      <c r="E310" s="14" t="s">
        <v>68</v>
      </c>
      <c r="F310" s="14" t="s">
        <v>68</v>
      </c>
      <c r="G310" s="14" t="s">
        <v>98</v>
      </c>
      <c r="H310" s="14" t="s">
        <v>68</v>
      </c>
      <c r="I310" s="14" t="s">
        <v>68</v>
      </c>
      <c r="J310" s="14" t="s">
        <v>201</v>
      </c>
      <c r="K310" s="14" t="s">
        <v>68</v>
      </c>
      <c r="L310" s="14" t="s">
        <v>68</v>
      </c>
      <c r="M310" s="14"/>
      <c r="N310" s="14"/>
      <c r="O310" s="15"/>
      <c r="P310" s="15"/>
      <c r="Q310" s="15"/>
      <c r="R310" s="15"/>
      <c r="S310" s="15"/>
      <c r="T310" s="15"/>
      <c r="U310" s="15"/>
      <c r="V310" s="15"/>
      <c r="W310" s="15"/>
    </row>
    <row r="311" spans="1:23" ht="45" x14ac:dyDescent="0.25">
      <c r="A311" s="14" t="s">
        <v>584</v>
      </c>
      <c r="B311" s="14" t="s">
        <v>68</v>
      </c>
      <c r="C311" s="14"/>
      <c r="D311" s="14" t="s">
        <v>312</v>
      </c>
      <c r="E311" s="14" t="s">
        <v>205</v>
      </c>
      <c r="F311" s="14" t="s">
        <v>68</v>
      </c>
      <c r="G311" s="14" t="s">
        <v>68</v>
      </c>
      <c r="H311" s="14" t="s">
        <v>68</v>
      </c>
      <c r="I311" s="14" t="s">
        <v>68</v>
      </c>
      <c r="J311" s="14" t="s">
        <v>68</v>
      </c>
      <c r="K311" s="14" t="s">
        <v>68</v>
      </c>
      <c r="L311" s="14" t="s">
        <v>68</v>
      </c>
      <c r="M311" s="14"/>
      <c r="N311" s="14"/>
      <c r="O311" s="15"/>
      <c r="P311" s="15"/>
      <c r="Q311" s="15"/>
      <c r="R311" s="15"/>
      <c r="S311" s="15"/>
      <c r="T311" s="15"/>
      <c r="U311" s="15"/>
      <c r="V311" s="15"/>
      <c r="W311" s="15"/>
    </row>
    <row r="312" spans="1:23" ht="45" x14ac:dyDescent="0.25">
      <c r="A312" s="14" t="s">
        <v>585</v>
      </c>
      <c r="B312" s="14" t="s">
        <v>68</v>
      </c>
      <c r="C312" s="14"/>
      <c r="D312" s="14" t="s">
        <v>288</v>
      </c>
      <c r="E312" s="14" t="s">
        <v>296</v>
      </c>
      <c r="F312" s="14" t="s">
        <v>68</v>
      </c>
      <c r="G312" s="14" t="s">
        <v>87</v>
      </c>
      <c r="H312" s="14" t="s">
        <v>68</v>
      </c>
      <c r="I312" s="14" t="s">
        <v>68</v>
      </c>
      <c r="J312" s="14" t="s">
        <v>225</v>
      </c>
      <c r="K312" s="14" t="s">
        <v>68</v>
      </c>
      <c r="L312" s="14" t="s">
        <v>68</v>
      </c>
      <c r="M312" s="14"/>
      <c r="N312" s="14"/>
      <c r="O312" s="15"/>
      <c r="P312" s="15"/>
      <c r="Q312" s="15"/>
      <c r="R312" s="15"/>
      <c r="S312" s="15"/>
      <c r="T312" s="15"/>
      <c r="U312" s="15"/>
      <c r="V312" s="15"/>
      <c r="W312" s="15"/>
    </row>
    <row r="313" spans="1:23" ht="45" x14ac:dyDescent="0.25">
      <c r="A313" s="14" t="s">
        <v>586</v>
      </c>
      <c r="B313" s="14" t="s">
        <v>68</v>
      </c>
      <c r="C313" s="14"/>
      <c r="D313" s="14" t="s">
        <v>199</v>
      </c>
      <c r="E313" s="14" t="s">
        <v>68</v>
      </c>
      <c r="F313" s="14" t="s">
        <v>68</v>
      </c>
      <c r="G313" s="14" t="s">
        <v>68</v>
      </c>
      <c r="H313" s="14" t="s">
        <v>68</v>
      </c>
      <c r="I313" s="14" t="s">
        <v>68</v>
      </c>
      <c r="J313" s="14" t="s">
        <v>68</v>
      </c>
      <c r="K313" s="14" t="s">
        <v>68</v>
      </c>
      <c r="L313" s="14" t="s">
        <v>68</v>
      </c>
      <c r="M313" s="14"/>
      <c r="N313" s="14"/>
      <c r="O313" s="15"/>
      <c r="P313" s="15"/>
      <c r="Q313" s="15"/>
      <c r="R313" s="15"/>
      <c r="S313" s="15"/>
      <c r="T313" s="15"/>
      <c r="U313" s="15"/>
      <c r="V313" s="15"/>
      <c r="W313" s="15"/>
    </row>
    <row r="314" spans="1:23" ht="45" x14ac:dyDescent="0.25">
      <c r="A314" s="14" t="s">
        <v>587</v>
      </c>
      <c r="B314" s="14" t="s">
        <v>68</v>
      </c>
      <c r="C314" s="14"/>
      <c r="D314" s="14" t="s">
        <v>246</v>
      </c>
      <c r="E314" s="14" t="s">
        <v>247</v>
      </c>
      <c r="F314" s="14" t="s">
        <v>68</v>
      </c>
      <c r="G314" s="14" t="s">
        <v>102</v>
      </c>
      <c r="H314" s="14" t="s">
        <v>68</v>
      </c>
      <c r="I314" s="14" t="s">
        <v>68</v>
      </c>
      <c r="J314" s="14" t="s">
        <v>102</v>
      </c>
      <c r="K314" s="14" t="s">
        <v>68</v>
      </c>
      <c r="L314" s="14" t="s">
        <v>68</v>
      </c>
      <c r="M314" s="14"/>
      <c r="N314" s="14"/>
      <c r="O314" s="15"/>
      <c r="P314" s="15"/>
      <c r="Q314" s="15"/>
      <c r="R314" s="15"/>
      <c r="S314" s="15"/>
      <c r="T314" s="15"/>
      <c r="U314" s="15"/>
      <c r="V314" s="15"/>
      <c r="W314" s="15"/>
    </row>
    <row r="315" spans="1:23" ht="45" x14ac:dyDescent="0.25">
      <c r="A315" s="14" t="s">
        <v>588</v>
      </c>
      <c r="B315" s="14" t="s">
        <v>68</v>
      </c>
      <c r="C315" s="14"/>
      <c r="D315" s="14" t="s">
        <v>241</v>
      </c>
      <c r="E315" s="14" t="s">
        <v>236</v>
      </c>
      <c r="F315" s="14" t="s">
        <v>91</v>
      </c>
      <c r="G315" s="14" t="s">
        <v>68</v>
      </c>
      <c r="H315" s="14" t="s">
        <v>68</v>
      </c>
      <c r="I315" s="14" t="s">
        <v>68</v>
      </c>
      <c r="J315" s="14" t="s">
        <v>201</v>
      </c>
      <c r="K315" s="14" t="s">
        <v>68</v>
      </c>
      <c r="L315" s="14" t="s">
        <v>68</v>
      </c>
      <c r="M315" s="14"/>
      <c r="N315" s="14"/>
      <c r="O315" s="15"/>
      <c r="P315" s="15"/>
      <c r="Q315" s="15"/>
      <c r="R315" s="15"/>
      <c r="S315" s="15"/>
      <c r="T315" s="15"/>
      <c r="U315" s="15"/>
      <c r="V315" s="15"/>
      <c r="W315" s="15"/>
    </row>
    <row r="316" spans="1:23" ht="45" x14ac:dyDescent="0.25">
      <c r="A316" s="14" t="s">
        <v>589</v>
      </c>
      <c r="B316" s="14" t="s">
        <v>68</v>
      </c>
      <c r="C316" s="14"/>
      <c r="D316" s="14" t="s">
        <v>258</v>
      </c>
      <c r="E316" s="14" t="s">
        <v>227</v>
      </c>
      <c r="F316" s="14" t="s">
        <v>68</v>
      </c>
      <c r="G316" s="14" t="s">
        <v>163</v>
      </c>
      <c r="H316" s="14" t="s">
        <v>68</v>
      </c>
      <c r="I316" s="14" t="s">
        <v>68</v>
      </c>
      <c r="J316" s="14" t="s">
        <v>102</v>
      </c>
      <c r="K316" s="14" t="s">
        <v>68</v>
      </c>
      <c r="L316" s="14" t="s">
        <v>68</v>
      </c>
      <c r="M316" s="14"/>
      <c r="N316" s="14"/>
      <c r="O316" s="15"/>
      <c r="P316" s="15"/>
      <c r="Q316" s="15"/>
      <c r="R316" s="15"/>
      <c r="S316" s="15"/>
      <c r="T316" s="15"/>
      <c r="U316" s="15"/>
      <c r="V316" s="15"/>
      <c r="W316" s="15"/>
    </row>
    <row r="317" spans="1:23" ht="45" x14ac:dyDescent="0.25">
      <c r="A317" s="14" t="s">
        <v>590</v>
      </c>
      <c r="B317" s="14" t="s">
        <v>68</v>
      </c>
      <c r="C317" s="14"/>
      <c r="D317" s="14" t="s">
        <v>249</v>
      </c>
      <c r="E317" s="14" t="s">
        <v>250</v>
      </c>
      <c r="F317" s="14" t="s">
        <v>68</v>
      </c>
      <c r="G317" s="14" t="s">
        <v>68</v>
      </c>
      <c r="H317" s="14" t="s">
        <v>68</v>
      </c>
      <c r="I317" s="14" t="s">
        <v>68</v>
      </c>
      <c r="J317" s="14" t="s">
        <v>68</v>
      </c>
      <c r="K317" s="14" t="s">
        <v>68</v>
      </c>
      <c r="L317" s="14" t="s">
        <v>68</v>
      </c>
      <c r="M317" s="14"/>
      <c r="N317" s="14"/>
      <c r="O317" s="15"/>
      <c r="P317" s="15"/>
      <c r="Q317" s="15"/>
      <c r="R317" s="15"/>
      <c r="S317" s="15"/>
      <c r="T317" s="15"/>
      <c r="U317" s="15"/>
      <c r="V317" s="15"/>
      <c r="W317" s="15"/>
    </row>
    <row r="318" spans="1:23" ht="45" x14ac:dyDescent="0.25">
      <c r="A318" s="14" t="s">
        <v>591</v>
      </c>
      <c r="B318" s="14" t="s">
        <v>68</v>
      </c>
      <c r="C318" s="14"/>
      <c r="D318" s="14" t="s">
        <v>320</v>
      </c>
      <c r="E318" s="14" t="s">
        <v>233</v>
      </c>
      <c r="F318" s="14" t="s">
        <v>68</v>
      </c>
      <c r="G318" s="14" t="s">
        <v>68</v>
      </c>
      <c r="H318" s="14" t="s">
        <v>68</v>
      </c>
      <c r="I318" s="14" t="s">
        <v>68</v>
      </c>
      <c r="J318" s="14" t="s">
        <v>68</v>
      </c>
      <c r="K318" s="14" t="s">
        <v>68</v>
      </c>
      <c r="L318" s="14" t="s">
        <v>68</v>
      </c>
      <c r="M318" s="14"/>
      <c r="N318" s="14"/>
      <c r="O318" s="15"/>
      <c r="P318" s="15"/>
      <c r="Q318" s="15"/>
      <c r="R318" s="15"/>
      <c r="S318" s="15"/>
      <c r="T318" s="15"/>
      <c r="U318" s="15"/>
      <c r="V318" s="15"/>
      <c r="W318" s="15"/>
    </row>
    <row r="319" spans="1:23" ht="45" x14ac:dyDescent="0.25">
      <c r="A319" s="14" t="s">
        <v>592</v>
      </c>
      <c r="B319" s="14" t="s">
        <v>68</v>
      </c>
      <c r="C319" s="14"/>
      <c r="D319" s="14" t="s">
        <v>256</v>
      </c>
      <c r="E319" s="14" t="s">
        <v>291</v>
      </c>
      <c r="F319" s="14" t="s">
        <v>68</v>
      </c>
      <c r="G319" s="14" t="s">
        <v>68</v>
      </c>
      <c r="H319" s="14" t="s">
        <v>68</v>
      </c>
      <c r="I319" s="14" t="s">
        <v>68</v>
      </c>
      <c r="J319" s="14" t="s">
        <v>68</v>
      </c>
      <c r="K319" s="14" t="s">
        <v>68</v>
      </c>
      <c r="L319" s="14" t="s">
        <v>68</v>
      </c>
      <c r="M319" s="14"/>
      <c r="N319" s="14"/>
      <c r="O319" s="15"/>
      <c r="P319" s="15"/>
      <c r="Q319" s="15"/>
      <c r="R319" s="15"/>
      <c r="S319" s="15"/>
      <c r="T319" s="15"/>
      <c r="U319" s="15"/>
      <c r="V319" s="15"/>
      <c r="W319" s="15"/>
    </row>
    <row r="320" spans="1:23" x14ac:dyDescent="0.25">
      <c r="A320" s="14" t="s">
        <v>593</v>
      </c>
      <c r="B320" s="14" t="s">
        <v>68</v>
      </c>
      <c r="C320" s="14"/>
      <c r="D320" s="14" t="s">
        <v>68</v>
      </c>
      <c r="E320" s="14" t="s">
        <v>68</v>
      </c>
      <c r="F320" s="14" t="s">
        <v>88</v>
      </c>
      <c r="G320" s="14" t="s">
        <v>68</v>
      </c>
      <c r="H320" s="14" t="s">
        <v>68</v>
      </c>
      <c r="I320" s="14" t="s">
        <v>68</v>
      </c>
      <c r="J320" s="14" t="s">
        <v>102</v>
      </c>
      <c r="K320" s="14" t="s">
        <v>68</v>
      </c>
      <c r="L320" s="14" t="s">
        <v>68</v>
      </c>
      <c r="M320" s="14"/>
      <c r="N320" s="14"/>
      <c r="O320" s="15"/>
      <c r="P320" s="15"/>
      <c r="Q320" s="15"/>
      <c r="R320" s="15"/>
      <c r="S320" s="15"/>
      <c r="T320" s="15"/>
      <c r="U320" s="15"/>
      <c r="V320" s="15"/>
      <c r="W320" s="15"/>
    </row>
    <row r="321" spans="1:23" x14ac:dyDescent="0.25">
      <c r="A321" s="14" t="s">
        <v>594</v>
      </c>
      <c r="B321" s="14" t="s">
        <v>68</v>
      </c>
      <c r="C321" s="14"/>
      <c r="D321" s="14" t="s">
        <v>68</v>
      </c>
      <c r="E321" s="14" t="s">
        <v>68</v>
      </c>
      <c r="F321" s="14" t="s">
        <v>138</v>
      </c>
      <c r="G321" s="14" t="s">
        <v>68</v>
      </c>
      <c r="H321" s="14" t="s">
        <v>68</v>
      </c>
      <c r="I321" s="14" t="s">
        <v>68</v>
      </c>
      <c r="J321" s="14" t="s">
        <v>102</v>
      </c>
      <c r="K321" s="14" t="s">
        <v>68</v>
      </c>
      <c r="L321" s="14" t="s">
        <v>68</v>
      </c>
      <c r="M321" s="14"/>
      <c r="N321" s="14"/>
      <c r="O321" s="15"/>
      <c r="P321" s="15"/>
      <c r="Q321" s="15"/>
      <c r="R321" s="15"/>
      <c r="S321" s="15"/>
      <c r="T321" s="15"/>
      <c r="U321" s="15"/>
      <c r="V321" s="15"/>
      <c r="W321" s="15"/>
    </row>
    <row r="322" spans="1:23" ht="45" x14ac:dyDescent="0.25">
      <c r="A322" s="14" t="s">
        <v>595</v>
      </c>
      <c r="B322" s="14" t="s">
        <v>68</v>
      </c>
      <c r="C322" s="14"/>
      <c r="D322" s="14" t="s">
        <v>219</v>
      </c>
      <c r="E322" s="14" t="s">
        <v>220</v>
      </c>
      <c r="F322" s="14" t="s">
        <v>68</v>
      </c>
      <c r="G322" s="14" t="s">
        <v>68</v>
      </c>
      <c r="H322" s="14" t="s">
        <v>68</v>
      </c>
      <c r="I322" s="14" t="s">
        <v>68</v>
      </c>
      <c r="J322" s="14" t="s">
        <v>68</v>
      </c>
      <c r="K322" s="14" t="s">
        <v>68</v>
      </c>
      <c r="L322" s="14" t="s">
        <v>68</v>
      </c>
      <c r="M322" s="14"/>
      <c r="N322" s="14"/>
      <c r="O322" s="15"/>
      <c r="P322" s="15"/>
      <c r="Q322" s="15"/>
      <c r="R322" s="15"/>
      <c r="S322" s="15"/>
      <c r="T322" s="15"/>
      <c r="U322" s="15"/>
      <c r="V322" s="15"/>
      <c r="W322" s="15"/>
    </row>
    <row r="323" spans="1:23" ht="45" x14ac:dyDescent="0.25">
      <c r="A323" s="14" t="s">
        <v>596</v>
      </c>
      <c r="B323" s="14" t="s">
        <v>68</v>
      </c>
      <c r="C323" s="14"/>
      <c r="D323" s="14" t="s">
        <v>284</v>
      </c>
      <c r="E323" s="14" t="s">
        <v>285</v>
      </c>
      <c r="F323" s="14" t="s">
        <v>68</v>
      </c>
      <c r="G323" s="14" t="s">
        <v>97</v>
      </c>
      <c r="H323" s="14" t="s">
        <v>68</v>
      </c>
      <c r="I323" s="14" t="s">
        <v>68</v>
      </c>
      <c r="J323" s="14" t="s">
        <v>74</v>
      </c>
      <c r="K323" s="14" t="s">
        <v>68</v>
      </c>
      <c r="L323" s="14" t="s">
        <v>68</v>
      </c>
      <c r="M323" s="14"/>
      <c r="N323" s="14"/>
      <c r="O323" s="15"/>
      <c r="P323" s="15"/>
      <c r="Q323" s="15"/>
      <c r="R323" s="15"/>
      <c r="S323" s="15"/>
      <c r="T323" s="15"/>
      <c r="U323" s="15"/>
      <c r="V323" s="15"/>
      <c r="W323" s="15"/>
    </row>
    <row r="324" spans="1:23" ht="60" x14ac:dyDescent="0.25">
      <c r="A324" s="14" t="s">
        <v>597</v>
      </c>
      <c r="B324" s="14" t="s">
        <v>68</v>
      </c>
      <c r="C324" s="14"/>
      <c r="D324" s="14" t="s">
        <v>314</v>
      </c>
      <c r="E324" s="14" t="s">
        <v>68</v>
      </c>
      <c r="F324" s="14" t="s">
        <v>68</v>
      </c>
      <c r="G324" s="14" t="s">
        <v>361</v>
      </c>
      <c r="H324" s="14" t="s">
        <v>68</v>
      </c>
      <c r="I324" s="14" t="s">
        <v>68</v>
      </c>
      <c r="J324" s="14" t="s">
        <v>102</v>
      </c>
      <c r="K324" s="14" t="s">
        <v>68</v>
      </c>
      <c r="L324" s="14" t="s">
        <v>68</v>
      </c>
      <c r="M324" s="14"/>
      <c r="N324" s="14"/>
      <c r="O324" s="15"/>
      <c r="P324" s="15"/>
      <c r="Q324" s="15"/>
      <c r="R324" s="15"/>
      <c r="S324" s="15"/>
      <c r="T324" s="15"/>
      <c r="U324" s="15"/>
      <c r="V324" s="15"/>
      <c r="W324" s="15"/>
    </row>
    <row r="325" spans="1:23" ht="45" x14ac:dyDescent="0.25">
      <c r="A325" s="14" t="s">
        <v>598</v>
      </c>
      <c r="B325" s="14" t="s">
        <v>68</v>
      </c>
      <c r="C325" s="14"/>
      <c r="D325" s="14" t="s">
        <v>256</v>
      </c>
      <c r="E325" s="14" t="s">
        <v>223</v>
      </c>
      <c r="F325" s="14" t="s">
        <v>68</v>
      </c>
      <c r="G325" s="14" t="s">
        <v>68</v>
      </c>
      <c r="H325" s="14" t="s">
        <v>68</v>
      </c>
      <c r="I325" s="14" t="s">
        <v>68</v>
      </c>
      <c r="J325" s="14" t="s">
        <v>68</v>
      </c>
      <c r="K325" s="14" t="s">
        <v>68</v>
      </c>
      <c r="L325" s="14" t="s">
        <v>68</v>
      </c>
      <c r="M325" s="14"/>
      <c r="N325" s="14"/>
      <c r="O325" s="15"/>
      <c r="P325" s="15"/>
      <c r="Q325" s="15"/>
      <c r="R325" s="15"/>
      <c r="S325" s="15"/>
      <c r="T325" s="15"/>
      <c r="U325" s="15"/>
      <c r="V325" s="15"/>
      <c r="W325" s="15"/>
    </row>
    <row r="326" spans="1:23" ht="45" x14ac:dyDescent="0.25">
      <c r="A326" s="14" t="s">
        <v>599</v>
      </c>
      <c r="B326" s="14" t="s">
        <v>68</v>
      </c>
      <c r="C326" s="14"/>
      <c r="D326" s="14" t="s">
        <v>288</v>
      </c>
      <c r="E326" s="14" t="s">
        <v>291</v>
      </c>
      <c r="F326" s="14" t="s">
        <v>68</v>
      </c>
      <c r="G326" s="14" t="s">
        <v>68</v>
      </c>
      <c r="H326" s="14" t="s">
        <v>68</v>
      </c>
      <c r="I326" s="14" t="s">
        <v>68</v>
      </c>
      <c r="J326" s="14" t="s">
        <v>68</v>
      </c>
      <c r="K326" s="14" t="s">
        <v>68</v>
      </c>
      <c r="L326" s="14" t="s">
        <v>68</v>
      </c>
      <c r="M326" s="14"/>
      <c r="N326" s="14"/>
      <c r="O326" s="15"/>
      <c r="P326" s="15"/>
      <c r="Q326" s="15"/>
      <c r="R326" s="15"/>
      <c r="S326" s="15"/>
      <c r="T326" s="15"/>
      <c r="U326" s="15"/>
      <c r="V326" s="15"/>
      <c r="W326" s="15"/>
    </row>
    <row r="327" spans="1:23" ht="45" x14ac:dyDescent="0.25">
      <c r="A327" s="14" t="s">
        <v>600</v>
      </c>
      <c r="B327" s="14" t="s">
        <v>68</v>
      </c>
      <c r="C327" s="14"/>
      <c r="D327" s="14" t="s">
        <v>325</v>
      </c>
      <c r="E327" s="14" t="s">
        <v>326</v>
      </c>
      <c r="F327" s="14" t="s">
        <v>68</v>
      </c>
      <c r="G327" s="14" t="s">
        <v>68</v>
      </c>
      <c r="H327" s="14" t="s">
        <v>68</v>
      </c>
      <c r="I327" s="14" t="s">
        <v>68</v>
      </c>
      <c r="J327" s="14" t="s">
        <v>68</v>
      </c>
      <c r="K327" s="14" t="s">
        <v>68</v>
      </c>
      <c r="L327" s="14" t="s">
        <v>68</v>
      </c>
      <c r="M327" s="14"/>
      <c r="N327" s="14"/>
      <c r="O327" s="15"/>
      <c r="P327" s="15"/>
      <c r="Q327" s="15"/>
      <c r="R327" s="15"/>
      <c r="S327" s="15"/>
      <c r="T327" s="15"/>
      <c r="U327" s="15"/>
      <c r="V327" s="15"/>
      <c r="W327" s="15"/>
    </row>
    <row r="328" spans="1:23" ht="45" x14ac:dyDescent="0.25">
      <c r="A328" s="14" t="s">
        <v>601</v>
      </c>
      <c r="B328" s="14" t="s">
        <v>68</v>
      </c>
      <c r="C328" s="14"/>
      <c r="D328" s="14" t="s">
        <v>284</v>
      </c>
      <c r="E328" s="14" t="s">
        <v>285</v>
      </c>
      <c r="F328" s="14" t="s">
        <v>68</v>
      </c>
      <c r="G328" s="14" t="s">
        <v>68</v>
      </c>
      <c r="H328" s="14" t="s">
        <v>68</v>
      </c>
      <c r="I328" s="14" t="s">
        <v>68</v>
      </c>
      <c r="J328" s="14" t="s">
        <v>68</v>
      </c>
      <c r="K328" s="14" t="s">
        <v>68</v>
      </c>
      <c r="L328" s="14" t="s">
        <v>68</v>
      </c>
      <c r="M328" s="14"/>
      <c r="N328" s="14"/>
      <c r="O328" s="15"/>
      <c r="P328" s="15"/>
      <c r="Q328" s="15"/>
      <c r="R328" s="15"/>
      <c r="S328" s="15"/>
      <c r="T328" s="15"/>
      <c r="U328" s="15"/>
      <c r="V328" s="15"/>
      <c r="W328" s="15"/>
    </row>
    <row r="329" spans="1:23" ht="45" x14ac:dyDescent="0.25">
      <c r="A329" s="14" t="s">
        <v>602</v>
      </c>
      <c r="B329" s="14" t="s">
        <v>68</v>
      </c>
      <c r="C329" s="14"/>
      <c r="D329" s="14" t="s">
        <v>246</v>
      </c>
      <c r="E329" s="14" t="s">
        <v>247</v>
      </c>
      <c r="F329" s="14" t="s">
        <v>68</v>
      </c>
      <c r="G329" s="14" t="s">
        <v>102</v>
      </c>
      <c r="H329" s="14" t="s">
        <v>68</v>
      </c>
      <c r="I329" s="14" t="s">
        <v>68</v>
      </c>
      <c r="J329" s="14" t="s">
        <v>102</v>
      </c>
      <c r="K329" s="14" t="s">
        <v>68</v>
      </c>
      <c r="L329" s="14" t="s">
        <v>68</v>
      </c>
      <c r="M329" s="14"/>
      <c r="N329" s="14"/>
      <c r="O329" s="15"/>
      <c r="P329" s="15"/>
      <c r="Q329" s="15"/>
      <c r="R329" s="15"/>
      <c r="S329" s="15"/>
      <c r="T329" s="15"/>
      <c r="U329" s="15"/>
      <c r="V329" s="15"/>
      <c r="W329" s="15"/>
    </row>
    <row r="330" spans="1:23" ht="45" x14ac:dyDescent="0.25">
      <c r="A330" s="14" t="s">
        <v>603</v>
      </c>
      <c r="B330" s="14" t="s">
        <v>68</v>
      </c>
      <c r="C330" s="14"/>
      <c r="D330" s="14" t="s">
        <v>246</v>
      </c>
      <c r="E330" s="14" t="s">
        <v>247</v>
      </c>
      <c r="F330" s="14" t="s">
        <v>68</v>
      </c>
      <c r="G330" s="14" t="s">
        <v>148</v>
      </c>
      <c r="H330" s="14" t="s">
        <v>68</v>
      </c>
      <c r="I330" s="14" t="s">
        <v>68</v>
      </c>
      <c r="J330" s="14" t="s">
        <v>102</v>
      </c>
      <c r="K330" s="14" t="s">
        <v>68</v>
      </c>
      <c r="L330" s="14" t="s">
        <v>68</v>
      </c>
      <c r="M330" s="14"/>
      <c r="N330" s="14"/>
      <c r="O330" s="15"/>
      <c r="P330" s="15"/>
      <c r="Q330" s="15"/>
      <c r="R330" s="15"/>
      <c r="S330" s="15"/>
      <c r="T330" s="15"/>
      <c r="U330" s="15"/>
      <c r="V330" s="15"/>
      <c r="W330" s="15"/>
    </row>
    <row r="331" spans="1:23" ht="45" x14ac:dyDescent="0.25">
      <c r="A331" s="14" t="s">
        <v>604</v>
      </c>
      <c r="B331" s="14" t="s">
        <v>68</v>
      </c>
      <c r="C331" s="14"/>
      <c r="D331" s="14" t="s">
        <v>320</v>
      </c>
      <c r="E331" s="14" t="s">
        <v>233</v>
      </c>
      <c r="F331" s="14" t="s">
        <v>68</v>
      </c>
      <c r="G331" s="14" t="s">
        <v>68</v>
      </c>
      <c r="H331" s="14" t="s">
        <v>68</v>
      </c>
      <c r="I331" s="14" t="s">
        <v>68</v>
      </c>
      <c r="J331" s="14" t="s">
        <v>68</v>
      </c>
      <c r="K331" s="14" t="s">
        <v>68</v>
      </c>
      <c r="L331" s="14" t="s">
        <v>68</v>
      </c>
      <c r="M331" s="14"/>
      <c r="N331" s="14"/>
      <c r="O331" s="15"/>
      <c r="P331" s="15"/>
      <c r="Q331" s="15"/>
      <c r="R331" s="15"/>
      <c r="S331" s="15"/>
      <c r="T331" s="15"/>
      <c r="U331" s="15"/>
      <c r="V331" s="15"/>
      <c r="W331" s="15"/>
    </row>
    <row r="332" spans="1:23" ht="45" x14ac:dyDescent="0.25">
      <c r="A332" s="14" t="s">
        <v>605</v>
      </c>
      <c r="B332" s="14" t="s">
        <v>68</v>
      </c>
      <c r="C332" s="14"/>
      <c r="D332" s="14" t="s">
        <v>232</v>
      </c>
      <c r="E332" s="14" t="s">
        <v>233</v>
      </c>
      <c r="F332" s="14" t="s">
        <v>68</v>
      </c>
      <c r="G332" s="14" t="s">
        <v>68</v>
      </c>
      <c r="H332" s="14" t="s">
        <v>68</v>
      </c>
      <c r="I332" s="14" t="s">
        <v>68</v>
      </c>
      <c r="J332" s="14" t="s">
        <v>68</v>
      </c>
      <c r="K332" s="14" t="s">
        <v>68</v>
      </c>
      <c r="L332" s="14" t="s">
        <v>68</v>
      </c>
      <c r="M332" s="14"/>
      <c r="N332" s="14"/>
      <c r="O332" s="15"/>
      <c r="P332" s="15"/>
      <c r="Q332" s="15"/>
      <c r="R332" s="15"/>
      <c r="S332" s="15"/>
      <c r="T332" s="15"/>
      <c r="U332" s="15"/>
      <c r="V332" s="15"/>
      <c r="W332" s="15"/>
    </row>
    <row r="333" spans="1:23" ht="45" x14ac:dyDescent="0.25">
      <c r="A333" s="14" t="s">
        <v>606</v>
      </c>
      <c r="B333" s="14" t="s">
        <v>68</v>
      </c>
      <c r="C333" s="14"/>
      <c r="D333" s="14" t="s">
        <v>199</v>
      </c>
      <c r="E333" s="14" t="s">
        <v>68</v>
      </c>
      <c r="F333" s="14" t="s">
        <v>68</v>
      </c>
      <c r="G333" s="14" t="s">
        <v>78</v>
      </c>
      <c r="H333" s="14" t="s">
        <v>68</v>
      </c>
      <c r="I333" s="14" t="s">
        <v>68</v>
      </c>
      <c r="J333" s="14" t="s">
        <v>201</v>
      </c>
      <c r="K333" s="14" t="s">
        <v>68</v>
      </c>
      <c r="L333" s="14" t="s">
        <v>68</v>
      </c>
      <c r="M333" s="14"/>
      <c r="N333" s="14"/>
      <c r="O333" s="15"/>
      <c r="P333" s="15"/>
      <c r="Q333" s="15"/>
      <c r="R333" s="15"/>
      <c r="S333" s="15"/>
      <c r="T333" s="15"/>
      <c r="U333" s="15"/>
      <c r="V333" s="15"/>
      <c r="W333" s="15"/>
    </row>
    <row r="334" spans="1:23" x14ac:dyDescent="0.25">
      <c r="A334" s="14" t="s">
        <v>607</v>
      </c>
      <c r="B334" s="14" t="s">
        <v>68</v>
      </c>
      <c r="C334" s="14"/>
      <c r="D334" s="14" t="s">
        <v>68</v>
      </c>
      <c r="E334" s="14" t="s">
        <v>68</v>
      </c>
      <c r="F334" s="14" t="s">
        <v>138</v>
      </c>
      <c r="G334" s="14" t="s">
        <v>68</v>
      </c>
      <c r="H334" s="14" t="s">
        <v>68</v>
      </c>
      <c r="I334" s="14" t="s">
        <v>68</v>
      </c>
      <c r="J334" s="14" t="s">
        <v>102</v>
      </c>
      <c r="K334" s="14" t="s">
        <v>68</v>
      </c>
      <c r="L334" s="14" t="s">
        <v>68</v>
      </c>
      <c r="M334" s="14"/>
      <c r="N334" s="14"/>
      <c r="O334" s="15"/>
      <c r="P334" s="15"/>
      <c r="Q334" s="15"/>
      <c r="R334" s="15"/>
      <c r="S334" s="15"/>
      <c r="T334" s="15"/>
      <c r="U334" s="15"/>
      <c r="V334" s="15"/>
      <c r="W334" s="15"/>
    </row>
    <row r="335" spans="1:23" ht="60" x14ac:dyDescent="0.25">
      <c r="A335" s="14" t="s">
        <v>608</v>
      </c>
      <c r="B335" s="14" t="s">
        <v>68</v>
      </c>
      <c r="C335" s="14"/>
      <c r="D335" s="14" t="s">
        <v>314</v>
      </c>
      <c r="E335" s="14" t="s">
        <v>68</v>
      </c>
      <c r="F335" s="14" t="s">
        <v>68</v>
      </c>
      <c r="G335" s="14" t="s">
        <v>159</v>
      </c>
      <c r="H335" s="14" t="s">
        <v>68</v>
      </c>
      <c r="I335" s="14" t="s">
        <v>68</v>
      </c>
      <c r="J335" s="14" t="s">
        <v>102</v>
      </c>
      <c r="K335" s="14" t="s">
        <v>68</v>
      </c>
      <c r="L335" s="14" t="s">
        <v>68</v>
      </c>
      <c r="M335" s="14"/>
      <c r="N335" s="14"/>
      <c r="O335" s="15"/>
      <c r="P335" s="15"/>
      <c r="Q335" s="15"/>
      <c r="R335" s="15"/>
      <c r="S335" s="15"/>
      <c r="T335" s="15"/>
      <c r="U335" s="15"/>
      <c r="V335" s="15"/>
      <c r="W335" s="15"/>
    </row>
    <row r="336" spans="1:23" ht="45" x14ac:dyDescent="0.25">
      <c r="A336" s="14" t="s">
        <v>609</v>
      </c>
      <c r="B336" s="14" t="s">
        <v>68</v>
      </c>
      <c r="C336" s="14"/>
      <c r="D336" s="14" t="s">
        <v>232</v>
      </c>
      <c r="E336" s="14" t="s">
        <v>209</v>
      </c>
      <c r="F336" s="14" t="s">
        <v>68</v>
      </c>
      <c r="G336" s="14" t="s">
        <v>68</v>
      </c>
      <c r="H336" s="14" t="s">
        <v>68</v>
      </c>
      <c r="I336" s="14" t="s">
        <v>68</v>
      </c>
      <c r="J336" s="14" t="s">
        <v>68</v>
      </c>
      <c r="K336" s="14" t="s">
        <v>68</v>
      </c>
      <c r="L336" s="14" t="s">
        <v>68</v>
      </c>
      <c r="M336" s="14"/>
      <c r="N336" s="14"/>
      <c r="O336" s="15"/>
      <c r="P336" s="15"/>
      <c r="Q336" s="15"/>
      <c r="R336" s="15"/>
      <c r="S336" s="15"/>
      <c r="T336" s="15"/>
      <c r="U336" s="15"/>
      <c r="V336" s="15"/>
      <c r="W336" s="15"/>
    </row>
    <row r="337" spans="1:23" ht="45" x14ac:dyDescent="0.25">
      <c r="A337" s="14" t="s">
        <v>610</v>
      </c>
      <c r="B337" s="14" t="s">
        <v>68</v>
      </c>
      <c r="C337" s="14"/>
      <c r="D337" s="14" t="s">
        <v>288</v>
      </c>
      <c r="E337" s="14" t="s">
        <v>296</v>
      </c>
      <c r="F337" s="14" t="s">
        <v>68</v>
      </c>
      <c r="G337" s="14" t="s">
        <v>68</v>
      </c>
      <c r="H337" s="14" t="s">
        <v>68</v>
      </c>
      <c r="I337" s="14" t="s">
        <v>68</v>
      </c>
      <c r="J337" s="14" t="s">
        <v>68</v>
      </c>
      <c r="K337" s="14" t="s">
        <v>68</v>
      </c>
      <c r="L337" s="14" t="s">
        <v>68</v>
      </c>
      <c r="M337" s="14"/>
      <c r="N337" s="14"/>
      <c r="O337" s="15"/>
      <c r="P337" s="15"/>
      <c r="Q337" s="15"/>
      <c r="R337" s="15"/>
      <c r="S337" s="15"/>
      <c r="T337" s="15"/>
      <c r="U337" s="15"/>
      <c r="V337" s="15"/>
      <c r="W337" s="15"/>
    </row>
    <row r="338" spans="1:23" ht="45" x14ac:dyDescent="0.25">
      <c r="A338" s="14" t="s">
        <v>611</v>
      </c>
      <c r="B338" s="14" t="s">
        <v>68</v>
      </c>
      <c r="C338" s="14"/>
      <c r="D338" s="14" t="s">
        <v>241</v>
      </c>
      <c r="E338" s="14" t="s">
        <v>236</v>
      </c>
      <c r="F338" s="14" t="s">
        <v>612</v>
      </c>
      <c r="G338" s="14" t="s">
        <v>68</v>
      </c>
      <c r="H338" s="14" t="s">
        <v>68</v>
      </c>
      <c r="I338" s="14" t="s">
        <v>68</v>
      </c>
      <c r="J338" s="14" t="s">
        <v>201</v>
      </c>
      <c r="K338" s="14" t="s">
        <v>68</v>
      </c>
      <c r="L338" s="14" t="s">
        <v>68</v>
      </c>
      <c r="M338" s="14"/>
      <c r="N338" s="14"/>
      <c r="O338" s="15"/>
      <c r="P338" s="15"/>
      <c r="Q338" s="15"/>
      <c r="R338" s="15"/>
      <c r="S338" s="15"/>
      <c r="T338" s="15"/>
      <c r="U338" s="15"/>
      <c r="V338" s="15"/>
      <c r="W338" s="15"/>
    </row>
    <row r="339" spans="1:23" ht="45" x14ac:dyDescent="0.25">
      <c r="A339" s="14" t="s">
        <v>613</v>
      </c>
      <c r="B339" s="14" t="s">
        <v>68</v>
      </c>
      <c r="C339" s="14"/>
      <c r="D339" s="14" t="s">
        <v>219</v>
      </c>
      <c r="E339" s="14" t="s">
        <v>205</v>
      </c>
      <c r="F339" s="14" t="s">
        <v>68</v>
      </c>
      <c r="G339" s="14" t="s">
        <v>125</v>
      </c>
      <c r="H339" s="14" t="s">
        <v>68</v>
      </c>
      <c r="I339" s="14" t="s">
        <v>68</v>
      </c>
      <c r="J339" s="14" t="s">
        <v>201</v>
      </c>
      <c r="K339" s="14" t="s">
        <v>68</v>
      </c>
      <c r="L339" s="14" t="s">
        <v>68</v>
      </c>
      <c r="M339" s="14"/>
      <c r="N339" s="14"/>
      <c r="O339" s="15"/>
      <c r="P339" s="15"/>
      <c r="Q339" s="15"/>
      <c r="R339" s="15"/>
      <c r="S339" s="15"/>
      <c r="T339" s="15"/>
      <c r="U339" s="15"/>
      <c r="V339" s="15"/>
      <c r="W339" s="15"/>
    </row>
    <row r="340" spans="1:23" x14ac:dyDescent="0.25">
      <c r="A340" s="14" t="s">
        <v>614</v>
      </c>
      <c r="B340" s="14" t="s">
        <v>68</v>
      </c>
      <c r="C340" s="14"/>
      <c r="D340" s="14" t="s">
        <v>68</v>
      </c>
      <c r="E340" s="14" t="s">
        <v>68</v>
      </c>
      <c r="F340" s="14" t="s">
        <v>159</v>
      </c>
      <c r="G340" s="14" t="s">
        <v>68</v>
      </c>
      <c r="H340" s="14" t="s">
        <v>68</v>
      </c>
      <c r="I340" s="14" t="s">
        <v>68</v>
      </c>
      <c r="J340" s="14" t="s">
        <v>102</v>
      </c>
      <c r="K340" s="14" t="s">
        <v>68</v>
      </c>
      <c r="L340" s="14" t="s">
        <v>68</v>
      </c>
      <c r="M340" s="14"/>
      <c r="N340" s="14"/>
      <c r="O340" s="15"/>
      <c r="P340" s="15"/>
      <c r="Q340" s="15"/>
      <c r="R340" s="15"/>
      <c r="S340" s="15"/>
      <c r="T340" s="15"/>
      <c r="U340" s="15"/>
      <c r="V340" s="15"/>
      <c r="W340" s="15"/>
    </row>
    <row r="341" spans="1:23" ht="45" x14ac:dyDescent="0.25">
      <c r="A341" s="14" t="s">
        <v>615</v>
      </c>
      <c r="B341" s="14" t="s">
        <v>68</v>
      </c>
      <c r="C341" s="14"/>
      <c r="D341" s="14" t="s">
        <v>241</v>
      </c>
      <c r="E341" s="14" t="s">
        <v>236</v>
      </c>
      <c r="F341" s="14" t="s">
        <v>83</v>
      </c>
      <c r="G341" s="14" t="s">
        <v>68</v>
      </c>
      <c r="H341" s="14" t="s">
        <v>68</v>
      </c>
      <c r="I341" s="14" t="s">
        <v>68</v>
      </c>
      <c r="J341" s="14" t="s">
        <v>201</v>
      </c>
      <c r="K341" s="14" t="s">
        <v>68</v>
      </c>
      <c r="L341" s="14" t="s">
        <v>68</v>
      </c>
      <c r="M341" s="14"/>
      <c r="N341" s="14"/>
      <c r="O341" s="15"/>
      <c r="P341" s="15"/>
      <c r="Q341" s="15"/>
      <c r="R341" s="15"/>
      <c r="S341" s="15"/>
      <c r="T341" s="15"/>
      <c r="U341" s="15"/>
      <c r="V341" s="15"/>
      <c r="W341" s="15"/>
    </row>
    <row r="342" spans="1:23" ht="60" x14ac:dyDescent="0.25">
      <c r="A342" s="14" t="s">
        <v>616</v>
      </c>
      <c r="B342" s="14" t="s">
        <v>68</v>
      </c>
      <c r="C342" s="14"/>
      <c r="D342" s="14" t="s">
        <v>235</v>
      </c>
      <c r="E342" s="14" t="s">
        <v>236</v>
      </c>
      <c r="F342" s="14" t="s">
        <v>617</v>
      </c>
      <c r="G342" s="14" t="s">
        <v>68</v>
      </c>
      <c r="H342" s="14" t="s">
        <v>68</v>
      </c>
      <c r="I342" s="14" t="s">
        <v>68</v>
      </c>
      <c r="J342" s="14" t="s">
        <v>74</v>
      </c>
      <c r="K342" s="14" t="s">
        <v>68</v>
      </c>
      <c r="L342" s="14" t="s">
        <v>68</v>
      </c>
      <c r="M342" s="14"/>
      <c r="N342" s="14"/>
      <c r="O342" s="15"/>
      <c r="P342" s="15"/>
      <c r="Q342" s="15"/>
      <c r="R342" s="15"/>
      <c r="S342" s="15"/>
      <c r="T342" s="15"/>
      <c r="U342" s="15"/>
      <c r="V342" s="15"/>
      <c r="W342" s="15"/>
    </row>
    <row r="343" spans="1:23" ht="45" x14ac:dyDescent="0.25">
      <c r="A343" s="14" t="s">
        <v>618</v>
      </c>
      <c r="B343" s="14" t="s">
        <v>68</v>
      </c>
      <c r="C343" s="14"/>
      <c r="D343" s="14" t="s">
        <v>263</v>
      </c>
      <c r="E343" s="14" t="s">
        <v>264</v>
      </c>
      <c r="F343" s="14" t="s">
        <v>68</v>
      </c>
      <c r="G343" s="14" t="s">
        <v>68</v>
      </c>
      <c r="H343" s="14" t="s">
        <v>68</v>
      </c>
      <c r="I343" s="14" t="s">
        <v>68</v>
      </c>
      <c r="J343" s="14" t="s">
        <v>68</v>
      </c>
      <c r="K343" s="14" t="s">
        <v>68</v>
      </c>
      <c r="L343" s="14" t="s">
        <v>68</v>
      </c>
      <c r="M343" s="14"/>
      <c r="N343" s="14"/>
      <c r="O343" s="15"/>
      <c r="P343" s="15"/>
      <c r="Q343" s="15"/>
      <c r="R343" s="15"/>
      <c r="S343" s="15"/>
      <c r="T343" s="15"/>
      <c r="U343" s="15"/>
      <c r="V343" s="15"/>
      <c r="W343" s="15"/>
    </row>
    <row r="344" spans="1:23" ht="45" x14ac:dyDescent="0.25">
      <c r="A344" s="14" t="s">
        <v>619</v>
      </c>
      <c r="B344" s="14" t="s">
        <v>68</v>
      </c>
      <c r="C344" s="14"/>
      <c r="D344" s="14" t="s">
        <v>256</v>
      </c>
      <c r="E344" s="14" t="s">
        <v>223</v>
      </c>
      <c r="F344" s="14" t="s">
        <v>68</v>
      </c>
      <c r="G344" s="14" t="s">
        <v>68</v>
      </c>
      <c r="H344" s="14" t="s">
        <v>68</v>
      </c>
      <c r="I344" s="14" t="s">
        <v>68</v>
      </c>
      <c r="J344" s="14" t="s">
        <v>68</v>
      </c>
      <c r="K344" s="14" t="s">
        <v>68</v>
      </c>
      <c r="L344" s="14" t="s">
        <v>68</v>
      </c>
      <c r="M344" s="14"/>
      <c r="N344" s="14"/>
      <c r="O344" s="15"/>
      <c r="P344" s="15"/>
      <c r="Q344" s="15"/>
      <c r="R344" s="15"/>
      <c r="S344" s="15"/>
      <c r="T344" s="15"/>
      <c r="U344" s="15"/>
      <c r="V344" s="15"/>
      <c r="W344" s="15"/>
    </row>
    <row r="345" spans="1:23" ht="45" x14ac:dyDescent="0.25">
      <c r="A345" s="14" t="s">
        <v>620</v>
      </c>
      <c r="B345" s="14" t="s">
        <v>68</v>
      </c>
      <c r="C345" s="14"/>
      <c r="D345" s="14" t="s">
        <v>199</v>
      </c>
      <c r="E345" s="14" t="s">
        <v>68</v>
      </c>
      <c r="F345" s="14" t="s">
        <v>68</v>
      </c>
      <c r="G345" s="14" t="s">
        <v>162</v>
      </c>
      <c r="H345" s="14" t="s">
        <v>68</v>
      </c>
      <c r="I345" s="14" t="s">
        <v>68</v>
      </c>
      <c r="J345" s="14" t="s">
        <v>68</v>
      </c>
      <c r="K345" s="14" t="s">
        <v>68</v>
      </c>
      <c r="L345" s="14" t="s">
        <v>68</v>
      </c>
      <c r="M345" s="14"/>
      <c r="N345" s="14"/>
      <c r="O345" s="15"/>
      <c r="P345" s="15"/>
      <c r="Q345" s="15"/>
      <c r="R345" s="15"/>
      <c r="S345" s="15"/>
      <c r="T345" s="15"/>
      <c r="U345" s="15"/>
      <c r="V345" s="15"/>
      <c r="W345" s="15"/>
    </row>
    <row r="346" spans="1:23" ht="45" x14ac:dyDescent="0.25">
      <c r="A346" s="14" t="s">
        <v>621</v>
      </c>
      <c r="B346" s="14" t="s">
        <v>68</v>
      </c>
      <c r="C346" s="14"/>
      <c r="D346" s="14" t="s">
        <v>284</v>
      </c>
      <c r="E346" s="14" t="s">
        <v>285</v>
      </c>
      <c r="F346" s="14" t="s">
        <v>68</v>
      </c>
      <c r="G346" s="14" t="s">
        <v>68</v>
      </c>
      <c r="H346" s="14" t="s">
        <v>68</v>
      </c>
      <c r="I346" s="14" t="s">
        <v>68</v>
      </c>
      <c r="J346" s="14" t="s">
        <v>68</v>
      </c>
      <c r="K346" s="14" t="s">
        <v>68</v>
      </c>
      <c r="L346" s="14" t="s">
        <v>68</v>
      </c>
      <c r="M346" s="14"/>
      <c r="N346" s="14"/>
      <c r="O346" s="15"/>
      <c r="P346" s="15"/>
      <c r="Q346" s="15"/>
      <c r="R346" s="15"/>
      <c r="S346" s="15"/>
      <c r="T346" s="15"/>
      <c r="U346" s="15"/>
      <c r="V346" s="15"/>
      <c r="W346" s="15"/>
    </row>
    <row r="347" spans="1:23" ht="45" x14ac:dyDescent="0.25">
      <c r="A347" s="14" t="s">
        <v>622</v>
      </c>
      <c r="B347" s="14" t="s">
        <v>68</v>
      </c>
      <c r="C347" s="14"/>
      <c r="D347" s="14" t="s">
        <v>229</v>
      </c>
      <c r="E347" s="14" t="s">
        <v>230</v>
      </c>
      <c r="F347" s="14" t="s">
        <v>68</v>
      </c>
      <c r="G347" s="14" t="s">
        <v>68</v>
      </c>
      <c r="H347" s="14" t="s">
        <v>68</v>
      </c>
      <c r="I347" s="14" t="s">
        <v>68</v>
      </c>
      <c r="J347" s="14" t="s">
        <v>68</v>
      </c>
      <c r="K347" s="14" t="s">
        <v>68</v>
      </c>
      <c r="L347" s="14" t="s">
        <v>68</v>
      </c>
      <c r="M347" s="14"/>
      <c r="N347" s="14"/>
      <c r="O347" s="15"/>
      <c r="P347" s="15"/>
      <c r="Q347" s="15"/>
      <c r="R347" s="15"/>
      <c r="S347" s="15"/>
      <c r="T347" s="15"/>
      <c r="U347" s="15"/>
      <c r="V347" s="15"/>
      <c r="W347" s="15"/>
    </row>
    <row r="348" spans="1:23" ht="45" x14ac:dyDescent="0.25">
      <c r="A348" s="14" t="s">
        <v>623</v>
      </c>
      <c r="B348" s="14" t="s">
        <v>68</v>
      </c>
      <c r="C348" s="14"/>
      <c r="D348" s="14" t="s">
        <v>258</v>
      </c>
      <c r="E348" s="14" t="s">
        <v>68</v>
      </c>
      <c r="F348" s="14" t="s">
        <v>102</v>
      </c>
      <c r="G348" s="14" t="s">
        <v>68</v>
      </c>
      <c r="H348" s="14" t="s">
        <v>68</v>
      </c>
      <c r="I348" s="14" t="s">
        <v>68</v>
      </c>
      <c r="J348" s="14" t="s">
        <v>102</v>
      </c>
      <c r="K348" s="14" t="s">
        <v>68</v>
      </c>
      <c r="L348" s="14" t="s">
        <v>68</v>
      </c>
      <c r="M348" s="14"/>
      <c r="N348" s="14"/>
      <c r="O348" s="15"/>
      <c r="P348" s="15"/>
      <c r="Q348" s="15"/>
      <c r="R348" s="15"/>
      <c r="S348" s="15"/>
      <c r="T348" s="15"/>
      <c r="U348" s="15"/>
      <c r="V348" s="15"/>
      <c r="W348" s="15"/>
    </row>
    <row r="349" spans="1:23" ht="45" x14ac:dyDescent="0.25">
      <c r="A349" s="14" t="s">
        <v>624</v>
      </c>
      <c r="B349" s="14" t="s">
        <v>68</v>
      </c>
      <c r="C349" s="14"/>
      <c r="D349" s="14" t="s">
        <v>211</v>
      </c>
      <c r="E349" s="14" t="s">
        <v>212</v>
      </c>
      <c r="F349" s="14" t="s">
        <v>169</v>
      </c>
      <c r="G349" s="14" t="s">
        <v>68</v>
      </c>
      <c r="H349" s="14" t="s">
        <v>68</v>
      </c>
      <c r="I349" s="14" t="s">
        <v>68</v>
      </c>
      <c r="J349" s="14" t="s">
        <v>201</v>
      </c>
      <c r="K349" s="14" t="s">
        <v>68</v>
      </c>
      <c r="L349" s="14" t="s">
        <v>68</v>
      </c>
      <c r="M349" s="14"/>
      <c r="N349" s="14"/>
      <c r="O349" s="15"/>
      <c r="P349" s="15"/>
      <c r="Q349" s="15"/>
      <c r="R349" s="15"/>
      <c r="S349" s="15"/>
      <c r="T349" s="15"/>
      <c r="U349" s="15"/>
      <c r="V349" s="15"/>
      <c r="W349" s="15"/>
    </row>
    <row r="350" spans="1:23" ht="45" x14ac:dyDescent="0.25">
      <c r="A350" s="14" t="s">
        <v>625</v>
      </c>
      <c r="B350" s="14" t="s">
        <v>68</v>
      </c>
      <c r="C350" s="14"/>
      <c r="D350" s="14" t="s">
        <v>229</v>
      </c>
      <c r="E350" s="14" t="s">
        <v>230</v>
      </c>
      <c r="F350" s="14" t="s">
        <v>68</v>
      </c>
      <c r="G350" s="14" t="s">
        <v>81</v>
      </c>
      <c r="H350" s="14" t="s">
        <v>68</v>
      </c>
      <c r="I350" s="14" t="s">
        <v>68</v>
      </c>
      <c r="J350" s="14" t="s">
        <v>201</v>
      </c>
      <c r="K350" s="14" t="s">
        <v>68</v>
      </c>
      <c r="L350" s="14" t="s">
        <v>68</v>
      </c>
      <c r="M350" s="14"/>
      <c r="N350" s="14"/>
      <c r="O350" s="15"/>
      <c r="P350" s="15"/>
      <c r="Q350" s="15"/>
      <c r="R350" s="15"/>
      <c r="S350" s="15"/>
      <c r="T350" s="15"/>
      <c r="U350" s="15"/>
      <c r="V350" s="15"/>
      <c r="W350" s="15"/>
    </row>
    <row r="351" spans="1:23" ht="45" x14ac:dyDescent="0.25">
      <c r="A351" s="14" t="s">
        <v>626</v>
      </c>
      <c r="B351" s="14" t="s">
        <v>68</v>
      </c>
      <c r="C351" s="14"/>
      <c r="D351" s="14" t="s">
        <v>328</v>
      </c>
      <c r="E351" s="14" t="s">
        <v>296</v>
      </c>
      <c r="F351" s="14" t="s">
        <v>68</v>
      </c>
      <c r="G351" s="14" t="s">
        <v>68</v>
      </c>
      <c r="H351" s="14" t="s">
        <v>68</v>
      </c>
      <c r="I351" s="14" t="s">
        <v>68</v>
      </c>
      <c r="J351" s="14" t="s">
        <v>68</v>
      </c>
      <c r="K351" s="14" t="s">
        <v>68</v>
      </c>
      <c r="L351" s="14" t="s">
        <v>68</v>
      </c>
      <c r="M351" s="14"/>
      <c r="N351" s="14"/>
      <c r="O351" s="15"/>
      <c r="P351" s="15"/>
      <c r="Q351" s="15"/>
      <c r="R351" s="15"/>
      <c r="S351" s="15"/>
      <c r="T351" s="15"/>
      <c r="U351" s="15"/>
      <c r="V351" s="15"/>
      <c r="W351" s="15"/>
    </row>
    <row r="352" spans="1:23" ht="60" x14ac:dyDescent="0.25">
      <c r="A352" s="14" t="s">
        <v>627</v>
      </c>
      <c r="B352" s="14" t="s">
        <v>68</v>
      </c>
      <c r="C352" s="14"/>
      <c r="D352" s="14" t="s">
        <v>208</v>
      </c>
      <c r="E352" s="14" t="s">
        <v>209</v>
      </c>
      <c r="F352" s="14" t="s">
        <v>68</v>
      </c>
      <c r="G352" s="14" t="s">
        <v>102</v>
      </c>
      <c r="H352" s="14" t="s">
        <v>68</v>
      </c>
      <c r="I352" s="14" t="s">
        <v>68</v>
      </c>
      <c r="J352" s="14" t="s">
        <v>102</v>
      </c>
      <c r="K352" s="14" t="s">
        <v>68</v>
      </c>
      <c r="L352" s="14" t="s">
        <v>68</v>
      </c>
      <c r="M352" s="14"/>
      <c r="N352" s="14"/>
      <c r="O352" s="15"/>
      <c r="P352" s="15"/>
      <c r="Q352" s="15"/>
      <c r="R352" s="15"/>
      <c r="S352" s="15"/>
      <c r="T352" s="15"/>
      <c r="U352" s="15"/>
      <c r="V352" s="15"/>
      <c r="W352" s="15"/>
    </row>
    <row r="353" spans="1:23" ht="45" x14ac:dyDescent="0.25">
      <c r="A353" s="14" t="s">
        <v>628</v>
      </c>
      <c r="B353" s="14" t="s">
        <v>68</v>
      </c>
      <c r="C353" s="14"/>
      <c r="D353" s="14" t="s">
        <v>241</v>
      </c>
      <c r="E353" s="14" t="s">
        <v>236</v>
      </c>
      <c r="F353" s="14" t="s">
        <v>91</v>
      </c>
      <c r="G353" s="14" t="s">
        <v>68</v>
      </c>
      <c r="H353" s="14" t="s">
        <v>68</v>
      </c>
      <c r="I353" s="14" t="s">
        <v>68</v>
      </c>
      <c r="J353" s="14" t="s">
        <v>201</v>
      </c>
      <c r="K353" s="14" t="s">
        <v>68</v>
      </c>
      <c r="L353" s="14" t="s">
        <v>68</v>
      </c>
      <c r="M353" s="14"/>
      <c r="N353" s="14"/>
      <c r="O353" s="15"/>
      <c r="P353" s="15"/>
      <c r="Q353" s="15"/>
      <c r="R353" s="15"/>
      <c r="S353" s="15"/>
      <c r="T353" s="15"/>
      <c r="U353" s="15"/>
      <c r="V353" s="15"/>
      <c r="W353" s="15"/>
    </row>
    <row r="354" spans="1:23" ht="45" x14ac:dyDescent="0.25">
      <c r="A354" s="14" t="s">
        <v>629</v>
      </c>
      <c r="B354" s="14" t="s">
        <v>68</v>
      </c>
      <c r="C354" s="14"/>
      <c r="D354" s="14" t="s">
        <v>246</v>
      </c>
      <c r="E354" s="14" t="s">
        <v>247</v>
      </c>
      <c r="F354" s="14" t="s">
        <v>68</v>
      </c>
      <c r="G354" s="14" t="s">
        <v>102</v>
      </c>
      <c r="H354" s="14" t="s">
        <v>68</v>
      </c>
      <c r="I354" s="14" t="s">
        <v>68</v>
      </c>
      <c r="J354" s="14" t="s">
        <v>102</v>
      </c>
      <c r="K354" s="14" t="s">
        <v>68</v>
      </c>
      <c r="L354" s="14" t="s">
        <v>68</v>
      </c>
      <c r="M354" s="14"/>
      <c r="N354" s="14"/>
      <c r="O354" s="15"/>
      <c r="P354" s="15"/>
      <c r="Q354" s="15"/>
      <c r="R354" s="15"/>
      <c r="S354" s="15"/>
      <c r="T354" s="15"/>
      <c r="U354" s="15"/>
      <c r="V354" s="15"/>
      <c r="W354" s="15"/>
    </row>
    <row r="355" spans="1:23" ht="45" x14ac:dyDescent="0.25">
      <c r="A355" s="14" t="s">
        <v>630</v>
      </c>
      <c r="B355" s="14" t="s">
        <v>68</v>
      </c>
      <c r="C355" s="14"/>
      <c r="D355" s="14" t="s">
        <v>232</v>
      </c>
      <c r="E355" s="14" t="s">
        <v>209</v>
      </c>
      <c r="F355" s="14" t="s">
        <v>68</v>
      </c>
      <c r="G355" s="14" t="s">
        <v>68</v>
      </c>
      <c r="H355" s="14" t="s">
        <v>68</v>
      </c>
      <c r="I355" s="14" t="s">
        <v>68</v>
      </c>
      <c r="J355" s="14" t="s">
        <v>68</v>
      </c>
      <c r="K355" s="14" t="s">
        <v>68</v>
      </c>
      <c r="L355" s="14" t="s">
        <v>68</v>
      </c>
      <c r="M355" s="14"/>
      <c r="N355" s="14"/>
      <c r="O355" s="15"/>
      <c r="P355" s="15"/>
      <c r="Q355" s="15"/>
      <c r="R355" s="15"/>
      <c r="S355" s="15"/>
      <c r="T355" s="15"/>
      <c r="U355" s="15"/>
      <c r="V355" s="15"/>
      <c r="W355" s="15"/>
    </row>
    <row r="356" spans="1:23" ht="60" x14ac:dyDescent="0.25">
      <c r="A356" s="14" t="s">
        <v>631</v>
      </c>
      <c r="B356" s="14" t="s">
        <v>68</v>
      </c>
      <c r="C356" s="14"/>
      <c r="D356" s="14" t="s">
        <v>215</v>
      </c>
      <c r="E356" s="14" t="s">
        <v>216</v>
      </c>
      <c r="F356" s="14" t="s">
        <v>68</v>
      </c>
      <c r="G356" s="14" t="s">
        <v>74</v>
      </c>
      <c r="H356" s="14" t="s">
        <v>68</v>
      </c>
      <c r="I356" s="14" t="s">
        <v>68</v>
      </c>
      <c r="J356" s="14" t="s">
        <v>74</v>
      </c>
      <c r="K356" s="14" t="s">
        <v>68</v>
      </c>
      <c r="L356" s="14" t="s">
        <v>68</v>
      </c>
      <c r="M356" s="14"/>
      <c r="N356" s="14"/>
      <c r="O356" s="15"/>
      <c r="P356" s="15"/>
      <c r="Q356" s="15"/>
      <c r="R356" s="15"/>
      <c r="S356" s="15"/>
      <c r="T356" s="15"/>
      <c r="U356" s="15"/>
      <c r="V356" s="15"/>
      <c r="W356" s="15"/>
    </row>
    <row r="357" spans="1:23" ht="45" x14ac:dyDescent="0.25">
      <c r="A357" s="14" t="s">
        <v>632</v>
      </c>
      <c r="B357" s="14" t="s">
        <v>68</v>
      </c>
      <c r="C357" s="14"/>
      <c r="D357" s="14" t="s">
        <v>256</v>
      </c>
      <c r="E357" s="14" t="s">
        <v>291</v>
      </c>
      <c r="F357" s="14" t="s">
        <v>68</v>
      </c>
      <c r="G357" s="14" t="s">
        <v>68</v>
      </c>
      <c r="H357" s="14" t="s">
        <v>68</v>
      </c>
      <c r="I357" s="14" t="s">
        <v>68</v>
      </c>
      <c r="J357" s="14" t="s">
        <v>68</v>
      </c>
      <c r="K357" s="14" t="s">
        <v>68</v>
      </c>
      <c r="L357" s="14" t="s">
        <v>68</v>
      </c>
      <c r="M357" s="14"/>
      <c r="N357" s="14"/>
      <c r="O357" s="15"/>
      <c r="P357" s="15"/>
      <c r="Q357" s="15"/>
      <c r="R357" s="15"/>
      <c r="S357" s="15"/>
      <c r="T357" s="15"/>
      <c r="U357" s="15"/>
      <c r="V357" s="15"/>
      <c r="W357" s="15"/>
    </row>
    <row r="358" spans="1:23" ht="45" x14ac:dyDescent="0.25">
      <c r="A358" s="14" t="s">
        <v>633</v>
      </c>
      <c r="B358" s="14" t="s">
        <v>68</v>
      </c>
      <c r="C358" s="14"/>
      <c r="D358" s="14" t="s">
        <v>279</v>
      </c>
      <c r="E358" s="14" t="s">
        <v>280</v>
      </c>
      <c r="F358" s="14" t="s">
        <v>634</v>
      </c>
      <c r="G358" s="14" t="s">
        <v>68</v>
      </c>
      <c r="H358" s="14" t="s">
        <v>68</v>
      </c>
      <c r="I358" s="14" t="s">
        <v>68</v>
      </c>
      <c r="J358" s="14" t="s">
        <v>225</v>
      </c>
      <c r="K358" s="14" t="s">
        <v>68</v>
      </c>
      <c r="L358" s="14" t="s">
        <v>68</v>
      </c>
      <c r="M358" s="14"/>
      <c r="N358" s="14"/>
      <c r="O358" s="15"/>
      <c r="P358" s="15"/>
      <c r="Q358" s="15"/>
      <c r="R358" s="15"/>
      <c r="S358" s="15"/>
      <c r="T358" s="15"/>
      <c r="U358" s="15"/>
      <c r="V358" s="15"/>
      <c r="W358" s="15"/>
    </row>
    <row r="359" spans="1:23" ht="45" x14ac:dyDescent="0.25">
      <c r="A359" s="14" t="s">
        <v>635</v>
      </c>
      <c r="B359" s="14" t="s">
        <v>68</v>
      </c>
      <c r="C359" s="14"/>
      <c r="D359" s="14" t="s">
        <v>204</v>
      </c>
      <c r="E359" s="14" t="s">
        <v>205</v>
      </c>
      <c r="F359" s="14" t="s">
        <v>68</v>
      </c>
      <c r="G359" s="14" t="s">
        <v>68</v>
      </c>
      <c r="H359" s="14" t="s">
        <v>68</v>
      </c>
      <c r="I359" s="14" t="s">
        <v>68</v>
      </c>
      <c r="J359" s="14" t="s">
        <v>68</v>
      </c>
      <c r="K359" s="14" t="s">
        <v>68</v>
      </c>
      <c r="L359" s="14" t="s">
        <v>68</v>
      </c>
      <c r="M359" s="14"/>
      <c r="N359" s="14"/>
      <c r="O359" s="15"/>
      <c r="P359" s="15"/>
      <c r="Q359" s="15"/>
      <c r="R359" s="15"/>
      <c r="S359" s="15"/>
      <c r="T359" s="15"/>
      <c r="U359" s="15"/>
      <c r="V359" s="15"/>
      <c r="W359" s="15"/>
    </row>
    <row r="360" spans="1:23" ht="45" x14ac:dyDescent="0.25">
      <c r="A360" s="14" t="s">
        <v>636</v>
      </c>
      <c r="B360" s="14" t="s">
        <v>68</v>
      </c>
      <c r="C360" s="14"/>
      <c r="D360" s="14" t="s">
        <v>204</v>
      </c>
      <c r="E360" s="14" t="s">
        <v>205</v>
      </c>
      <c r="F360" s="14" t="s">
        <v>68</v>
      </c>
      <c r="G360" s="14" t="s">
        <v>68</v>
      </c>
      <c r="H360" s="14" t="s">
        <v>68</v>
      </c>
      <c r="I360" s="14" t="s">
        <v>68</v>
      </c>
      <c r="J360" s="14" t="s">
        <v>68</v>
      </c>
      <c r="K360" s="14" t="s">
        <v>68</v>
      </c>
      <c r="L360" s="14" t="s">
        <v>68</v>
      </c>
      <c r="M360" s="14"/>
      <c r="N360" s="14"/>
      <c r="O360" s="15"/>
      <c r="P360" s="15"/>
      <c r="Q360" s="15"/>
      <c r="R360" s="15"/>
      <c r="S360" s="15"/>
      <c r="T360" s="15"/>
      <c r="U360" s="15"/>
      <c r="V360" s="15"/>
      <c r="W360" s="15"/>
    </row>
    <row r="361" spans="1:23" ht="45" x14ac:dyDescent="0.25">
      <c r="A361" s="14" t="s">
        <v>637</v>
      </c>
      <c r="B361" s="14" t="s">
        <v>68</v>
      </c>
      <c r="C361" s="14"/>
      <c r="D361" s="14" t="s">
        <v>288</v>
      </c>
      <c r="E361" s="14" t="s">
        <v>291</v>
      </c>
      <c r="F361" s="14" t="s">
        <v>68</v>
      </c>
      <c r="G361" s="14" t="s">
        <v>68</v>
      </c>
      <c r="H361" s="14" t="s">
        <v>68</v>
      </c>
      <c r="I361" s="14" t="s">
        <v>68</v>
      </c>
      <c r="J361" s="14" t="s">
        <v>68</v>
      </c>
      <c r="K361" s="14" t="s">
        <v>68</v>
      </c>
      <c r="L361" s="14" t="s">
        <v>68</v>
      </c>
      <c r="M361" s="14"/>
      <c r="N361" s="14"/>
      <c r="O361" s="15"/>
      <c r="P361" s="15"/>
      <c r="Q361" s="15"/>
      <c r="R361" s="15"/>
      <c r="S361" s="15"/>
      <c r="T361" s="15"/>
      <c r="U361" s="15"/>
      <c r="V361" s="15"/>
      <c r="W361" s="15"/>
    </row>
    <row r="362" spans="1:23" ht="60" x14ac:dyDescent="0.25">
      <c r="A362" s="14" t="s">
        <v>638</v>
      </c>
      <c r="B362" s="14" t="s">
        <v>68</v>
      </c>
      <c r="C362" s="14"/>
      <c r="D362" s="14" t="s">
        <v>208</v>
      </c>
      <c r="E362" s="14" t="s">
        <v>209</v>
      </c>
      <c r="F362" s="14" t="s">
        <v>68</v>
      </c>
      <c r="G362" s="14" t="s">
        <v>148</v>
      </c>
      <c r="H362" s="14" t="s">
        <v>68</v>
      </c>
      <c r="I362" s="14" t="s">
        <v>68</v>
      </c>
      <c r="J362" s="14" t="s">
        <v>102</v>
      </c>
      <c r="K362" s="14" t="s">
        <v>68</v>
      </c>
      <c r="L362" s="14" t="s">
        <v>68</v>
      </c>
      <c r="M362" s="14"/>
      <c r="N362" s="14"/>
      <c r="O362" s="15"/>
      <c r="P362" s="15"/>
      <c r="Q362" s="15"/>
      <c r="R362" s="15"/>
      <c r="S362" s="15"/>
      <c r="T362" s="15"/>
      <c r="U362" s="15"/>
      <c r="V362" s="15"/>
      <c r="W362" s="15"/>
    </row>
    <row r="363" spans="1:23" ht="45" x14ac:dyDescent="0.25">
      <c r="A363" s="14" t="s">
        <v>639</v>
      </c>
      <c r="B363" s="14" t="s">
        <v>68</v>
      </c>
      <c r="C363" s="14"/>
      <c r="D363" s="14" t="s">
        <v>199</v>
      </c>
      <c r="E363" s="14" t="s">
        <v>68</v>
      </c>
      <c r="F363" s="14" t="s">
        <v>68</v>
      </c>
      <c r="G363" s="14" t="s">
        <v>78</v>
      </c>
      <c r="H363" s="14" t="s">
        <v>68</v>
      </c>
      <c r="I363" s="14" t="s">
        <v>68</v>
      </c>
      <c r="J363" s="14" t="s">
        <v>201</v>
      </c>
      <c r="K363" s="14" t="s">
        <v>68</v>
      </c>
      <c r="L363" s="14" t="s">
        <v>68</v>
      </c>
      <c r="M363" s="14"/>
      <c r="N363" s="14"/>
      <c r="O363" s="15"/>
      <c r="P363" s="15"/>
      <c r="Q363" s="15"/>
      <c r="R363" s="15"/>
      <c r="S363" s="15"/>
      <c r="T363" s="15"/>
      <c r="U363" s="15"/>
      <c r="V363" s="15"/>
      <c r="W363" s="15"/>
    </row>
    <row r="364" spans="1:23" ht="45" x14ac:dyDescent="0.25">
      <c r="A364" s="14" t="s">
        <v>640</v>
      </c>
      <c r="B364" s="14" t="s">
        <v>68</v>
      </c>
      <c r="C364" s="14"/>
      <c r="D364" s="14" t="s">
        <v>288</v>
      </c>
      <c r="E364" s="14" t="s">
        <v>296</v>
      </c>
      <c r="F364" s="14" t="s">
        <v>68</v>
      </c>
      <c r="G364" s="14" t="s">
        <v>68</v>
      </c>
      <c r="H364" s="14" t="s">
        <v>68</v>
      </c>
      <c r="I364" s="14" t="s">
        <v>68</v>
      </c>
      <c r="J364" s="14" t="s">
        <v>68</v>
      </c>
      <c r="K364" s="14" t="s">
        <v>68</v>
      </c>
      <c r="L364" s="14" t="s">
        <v>68</v>
      </c>
      <c r="M364" s="14"/>
      <c r="N364" s="14"/>
      <c r="O364" s="15"/>
      <c r="P364" s="15"/>
      <c r="Q364" s="15"/>
      <c r="R364" s="15"/>
      <c r="S364" s="15"/>
      <c r="T364" s="15"/>
      <c r="U364" s="15"/>
      <c r="V364" s="15"/>
      <c r="W364" s="15"/>
    </row>
    <row r="365" spans="1:23" ht="45" x14ac:dyDescent="0.25">
      <c r="A365" s="14" t="s">
        <v>641</v>
      </c>
      <c r="B365" s="14" t="s">
        <v>68</v>
      </c>
      <c r="C365" s="14"/>
      <c r="D365" s="14" t="s">
        <v>204</v>
      </c>
      <c r="E365" s="14" t="s">
        <v>205</v>
      </c>
      <c r="F365" s="14" t="s">
        <v>68</v>
      </c>
      <c r="G365" s="14" t="s">
        <v>68</v>
      </c>
      <c r="H365" s="14" t="s">
        <v>68</v>
      </c>
      <c r="I365" s="14" t="s">
        <v>68</v>
      </c>
      <c r="J365" s="14" t="s">
        <v>68</v>
      </c>
      <c r="K365" s="14" t="s">
        <v>68</v>
      </c>
      <c r="L365" s="14" t="s">
        <v>68</v>
      </c>
      <c r="M365" s="14"/>
      <c r="N365" s="14"/>
      <c r="O365" s="15"/>
      <c r="P365" s="15"/>
      <c r="Q365" s="15"/>
      <c r="R365" s="15"/>
      <c r="S365" s="15"/>
      <c r="T365" s="15"/>
      <c r="U365" s="15"/>
      <c r="V365" s="15"/>
      <c r="W365" s="15"/>
    </row>
    <row r="366" spans="1:23" ht="60" x14ac:dyDescent="0.25">
      <c r="A366" s="14" t="s">
        <v>642</v>
      </c>
      <c r="B366" s="14" t="s">
        <v>68</v>
      </c>
      <c r="C366" s="14"/>
      <c r="D366" s="14" t="s">
        <v>215</v>
      </c>
      <c r="E366" s="14" t="s">
        <v>216</v>
      </c>
      <c r="F366" s="14" t="s">
        <v>68</v>
      </c>
      <c r="G366" s="14" t="s">
        <v>74</v>
      </c>
      <c r="H366" s="14" t="s">
        <v>68</v>
      </c>
      <c r="I366" s="14" t="s">
        <v>68</v>
      </c>
      <c r="J366" s="14" t="s">
        <v>74</v>
      </c>
      <c r="K366" s="14" t="s">
        <v>68</v>
      </c>
      <c r="L366" s="14" t="s">
        <v>68</v>
      </c>
      <c r="M366" s="14"/>
      <c r="N366" s="14"/>
      <c r="O366" s="15"/>
      <c r="P366" s="15"/>
      <c r="Q366" s="15"/>
      <c r="R366" s="15"/>
      <c r="S366" s="15"/>
      <c r="T366" s="15"/>
      <c r="U366" s="15"/>
      <c r="V366" s="15"/>
      <c r="W366" s="15"/>
    </row>
    <row r="367" spans="1:23" ht="45" x14ac:dyDescent="0.25">
      <c r="A367" s="14" t="s">
        <v>643</v>
      </c>
      <c r="B367" s="14" t="s">
        <v>68</v>
      </c>
      <c r="C367" s="14"/>
      <c r="D367" s="14" t="s">
        <v>241</v>
      </c>
      <c r="E367" s="14" t="s">
        <v>236</v>
      </c>
      <c r="F367" s="14" t="s">
        <v>91</v>
      </c>
      <c r="G367" s="14" t="s">
        <v>68</v>
      </c>
      <c r="H367" s="14" t="s">
        <v>68</v>
      </c>
      <c r="I367" s="14" t="s">
        <v>68</v>
      </c>
      <c r="J367" s="14" t="s">
        <v>201</v>
      </c>
      <c r="K367" s="14" t="s">
        <v>68</v>
      </c>
      <c r="L367" s="14" t="s">
        <v>68</v>
      </c>
      <c r="M367" s="14"/>
      <c r="N367" s="14"/>
      <c r="O367" s="15"/>
      <c r="P367" s="15"/>
      <c r="Q367" s="15"/>
      <c r="R367" s="15"/>
      <c r="S367" s="15"/>
      <c r="T367" s="15"/>
      <c r="U367" s="15"/>
      <c r="V367" s="15"/>
      <c r="W367" s="15"/>
    </row>
    <row r="368" spans="1:23" ht="60" x14ac:dyDescent="0.25">
      <c r="A368" s="14" t="s">
        <v>644</v>
      </c>
      <c r="B368" s="14" t="s">
        <v>68</v>
      </c>
      <c r="C368" s="14"/>
      <c r="D368" s="14" t="s">
        <v>215</v>
      </c>
      <c r="E368" s="14" t="s">
        <v>216</v>
      </c>
      <c r="F368" s="14" t="s">
        <v>68</v>
      </c>
      <c r="G368" s="14" t="s">
        <v>74</v>
      </c>
      <c r="H368" s="14" t="s">
        <v>68</v>
      </c>
      <c r="I368" s="14" t="s">
        <v>68</v>
      </c>
      <c r="J368" s="14" t="s">
        <v>74</v>
      </c>
      <c r="K368" s="14" t="s">
        <v>68</v>
      </c>
      <c r="L368" s="14" t="s">
        <v>68</v>
      </c>
      <c r="M368" s="14"/>
      <c r="N368" s="14"/>
      <c r="O368" s="15"/>
      <c r="P368" s="15"/>
      <c r="Q368" s="15"/>
      <c r="R368" s="15"/>
      <c r="S368" s="15"/>
      <c r="T368" s="15"/>
      <c r="U368" s="15"/>
      <c r="V368" s="15"/>
      <c r="W368" s="15"/>
    </row>
    <row r="369" spans="1:23" ht="45" x14ac:dyDescent="0.25">
      <c r="A369" s="14" t="s">
        <v>645</v>
      </c>
      <c r="B369" s="14" t="s">
        <v>68</v>
      </c>
      <c r="C369" s="14"/>
      <c r="D369" s="14" t="s">
        <v>284</v>
      </c>
      <c r="E369" s="14" t="s">
        <v>285</v>
      </c>
      <c r="F369" s="14" t="s">
        <v>68</v>
      </c>
      <c r="G369" s="14" t="s">
        <v>68</v>
      </c>
      <c r="H369" s="14" t="s">
        <v>68</v>
      </c>
      <c r="I369" s="14" t="s">
        <v>68</v>
      </c>
      <c r="J369" s="14" t="s">
        <v>68</v>
      </c>
      <c r="K369" s="14" t="s">
        <v>68</v>
      </c>
      <c r="L369" s="14" t="s">
        <v>68</v>
      </c>
      <c r="M369" s="14"/>
      <c r="N369" s="14"/>
      <c r="O369" s="15"/>
      <c r="P369" s="15"/>
      <c r="Q369" s="15"/>
      <c r="R369" s="15"/>
      <c r="S369" s="15"/>
      <c r="T369" s="15"/>
      <c r="U369" s="15"/>
      <c r="V369" s="15"/>
      <c r="W369" s="15"/>
    </row>
    <row r="370" spans="1:23" ht="45" x14ac:dyDescent="0.25">
      <c r="A370" s="14" t="s">
        <v>646</v>
      </c>
      <c r="B370" s="14" t="s">
        <v>68</v>
      </c>
      <c r="C370" s="14"/>
      <c r="D370" s="14" t="s">
        <v>199</v>
      </c>
      <c r="E370" s="14" t="s">
        <v>68</v>
      </c>
      <c r="F370" s="14" t="s">
        <v>68</v>
      </c>
      <c r="G370" s="14" t="s">
        <v>78</v>
      </c>
      <c r="H370" s="14" t="s">
        <v>68</v>
      </c>
      <c r="I370" s="14" t="s">
        <v>68</v>
      </c>
      <c r="J370" s="14" t="s">
        <v>201</v>
      </c>
      <c r="K370" s="14" t="s">
        <v>68</v>
      </c>
      <c r="L370" s="14" t="s">
        <v>68</v>
      </c>
      <c r="M370" s="14"/>
      <c r="N370" s="14"/>
      <c r="O370" s="15"/>
      <c r="P370" s="15"/>
      <c r="Q370" s="15"/>
      <c r="R370" s="15"/>
      <c r="S370" s="15"/>
      <c r="T370" s="15"/>
      <c r="U370" s="15"/>
      <c r="V370" s="15"/>
      <c r="W370" s="15"/>
    </row>
    <row r="371" spans="1:23" ht="45" x14ac:dyDescent="0.25">
      <c r="A371" s="14" t="s">
        <v>647</v>
      </c>
      <c r="B371" s="14" t="s">
        <v>68</v>
      </c>
      <c r="C371" s="14"/>
      <c r="D371" s="14" t="s">
        <v>249</v>
      </c>
      <c r="E371" s="14" t="s">
        <v>250</v>
      </c>
      <c r="F371" s="14" t="s">
        <v>68</v>
      </c>
      <c r="G371" s="14" t="s">
        <v>648</v>
      </c>
      <c r="H371" s="14" t="s">
        <v>68</v>
      </c>
      <c r="I371" s="14" t="s">
        <v>68</v>
      </c>
      <c r="J371" s="14" t="s">
        <v>68</v>
      </c>
      <c r="K371" s="14" t="s">
        <v>68</v>
      </c>
      <c r="L371" s="14" t="s">
        <v>68</v>
      </c>
      <c r="M371" s="14"/>
      <c r="N371" s="14"/>
      <c r="O371" s="15"/>
      <c r="P371" s="15"/>
      <c r="Q371" s="15"/>
      <c r="R371" s="15"/>
      <c r="S371" s="15"/>
      <c r="T371" s="15"/>
      <c r="U371" s="15"/>
      <c r="V371" s="15"/>
      <c r="W371" s="15"/>
    </row>
    <row r="372" spans="1:23" ht="45" x14ac:dyDescent="0.25">
      <c r="A372" s="14" t="s">
        <v>649</v>
      </c>
      <c r="B372" s="14" t="s">
        <v>68</v>
      </c>
      <c r="C372" s="14"/>
      <c r="D372" s="14" t="s">
        <v>246</v>
      </c>
      <c r="E372" s="14" t="s">
        <v>247</v>
      </c>
      <c r="F372" s="14" t="s">
        <v>68</v>
      </c>
      <c r="G372" s="14" t="s">
        <v>650</v>
      </c>
      <c r="H372" s="14" t="s">
        <v>68</v>
      </c>
      <c r="I372" s="14" t="s">
        <v>68</v>
      </c>
      <c r="J372" s="14" t="s">
        <v>102</v>
      </c>
      <c r="K372" s="14" t="s">
        <v>68</v>
      </c>
      <c r="L372" s="14" t="s">
        <v>68</v>
      </c>
      <c r="M372" s="14"/>
      <c r="N372" s="14"/>
      <c r="O372" s="15"/>
      <c r="P372" s="15"/>
      <c r="Q372" s="15"/>
      <c r="R372" s="15"/>
      <c r="S372" s="15"/>
      <c r="T372" s="15"/>
      <c r="U372" s="15"/>
      <c r="V372" s="15"/>
      <c r="W372" s="15"/>
    </row>
    <row r="373" spans="1:23" ht="45" x14ac:dyDescent="0.25">
      <c r="A373" s="14" t="s">
        <v>651</v>
      </c>
      <c r="B373" s="14" t="s">
        <v>68</v>
      </c>
      <c r="C373" s="14"/>
      <c r="D373" s="14" t="s">
        <v>288</v>
      </c>
      <c r="E373" s="14" t="s">
        <v>291</v>
      </c>
      <c r="F373" s="14" t="s">
        <v>68</v>
      </c>
      <c r="G373" s="14" t="s">
        <v>68</v>
      </c>
      <c r="H373" s="14" t="s">
        <v>68</v>
      </c>
      <c r="I373" s="14" t="s">
        <v>68</v>
      </c>
      <c r="J373" s="14" t="s">
        <v>68</v>
      </c>
      <c r="K373" s="14" t="s">
        <v>68</v>
      </c>
      <c r="L373" s="14" t="s">
        <v>68</v>
      </c>
      <c r="M373" s="14"/>
      <c r="N373" s="14"/>
      <c r="O373" s="15"/>
      <c r="P373" s="15"/>
      <c r="Q373" s="15"/>
      <c r="R373" s="15"/>
      <c r="S373" s="15"/>
      <c r="T373" s="15"/>
      <c r="U373" s="15"/>
      <c r="V373" s="15"/>
      <c r="W373" s="15"/>
    </row>
    <row r="374" spans="1:23" ht="45" x14ac:dyDescent="0.25">
      <c r="A374" s="14" t="s">
        <v>652</v>
      </c>
      <c r="B374" s="14" t="s">
        <v>68</v>
      </c>
      <c r="C374" s="14"/>
      <c r="D374" s="14" t="s">
        <v>284</v>
      </c>
      <c r="E374" s="14" t="s">
        <v>285</v>
      </c>
      <c r="F374" s="14" t="s">
        <v>68</v>
      </c>
      <c r="G374" s="14" t="s">
        <v>68</v>
      </c>
      <c r="H374" s="14" t="s">
        <v>68</v>
      </c>
      <c r="I374" s="14" t="s">
        <v>68</v>
      </c>
      <c r="J374" s="14" t="s">
        <v>68</v>
      </c>
      <c r="K374" s="14" t="s">
        <v>68</v>
      </c>
      <c r="L374" s="14" t="s">
        <v>68</v>
      </c>
      <c r="M374" s="14"/>
      <c r="N374" s="14"/>
      <c r="O374" s="15"/>
      <c r="P374" s="15"/>
      <c r="Q374" s="15"/>
      <c r="R374" s="15"/>
      <c r="S374" s="15"/>
      <c r="T374" s="15"/>
      <c r="U374" s="15"/>
      <c r="V374" s="15"/>
      <c r="W374" s="15"/>
    </row>
    <row r="375" spans="1:23" ht="45" x14ac:dyDescent="0.25">
      <c r="A375" s="14" t="s">
        <v>653</v>
      </c>
      <c r="B375" s="14" t="s">
        <v>68</v>
      </c>
      <c r="C375" s="14"/>
      <c r="D375" s="14" t="s">
        <v>238</v>
      </c>
      <c r="E375" s="14" t="s">
        <v>239</v>
      </c>
      <c r="F375" s="14" t="s">
        <v>68</v>
      </c>
      <c r="G375" s="14" t="s">
        <v>68</v>
      </c>
      <c r="H375" s="14" t="s">
        <v>68</v>
      </c>
      <c r="I375" s="14" t="s">
        <v>68</v>
      </c>
      <c r="J375" s="14" t="s">
        <v>68</v>
      </c>
      <c r="K375" s="14" t="s">
        <v>68</v>
      </c>
      <c r="L375" s="14" t="s">
        <v>68</v>
      </c>
      <c r="M375" s="14"/>
      <c r="N375" s="14"/>
      <c r="O375" s="15"/>
      <c r="P375" s="15"/>
      <c r="Q375" s="15"/>
      <c r="R375" s="15"/>
      <c r="S375" s="15"/>
      <c r="T375" s="15"/>
      <c r="U375" s="15"/>
      <c r="V375" s="15"/>
      <c r="W375" s="15"/>
    </row>
    <row r="376" spans="1:23" ht="60" x14ac:dyDescent="0.25">
      <c r="A376" s="14" t="s">
        <v>654</v>
      </c>
      <c r="B376" s="14" t="s">
        <v>68</v>
      </c>
      <c r="C376" s="14"/>
      <c r="D376" s="14" t="s">
        <v>208</v>
      </c>
      <c r="E376" s="14" t="s">
        <v>209</v>
      </c>
      <c r="F376" s="14" t="s">
        <v>68</v>
      </c>
      <c r="G376" s="14" t="s">
        <v>148</v>
      </c>
      <c r="H376" s="14" t="s">
        <v>68</v>
      </c>
      <c r="I376" s="14" t="s">
        <v>68</v>
      </c>
      <c r="J376" s="14" t="s">
        <v>102</v>
      </c>
      <c r="K376" s="14" t="s">
        <v>68</v>
      </c>
      <c r="L376" s="14" t="s">
        <v>68</v>
      </c>
      <c r="M376" s="14"/>
      <c r="N376" s="14"/>
      <c r="O376" s="15"/>
      <c r="P376" s="15"/>
      <c r="Q376" s="15"/>
      <c r="R376" s="15"/>
      <c r="S376" s="15"/>
      <c r="T376" s="15"/>
      <c r="U376" s="15"/>
      <c r="V376" s="15"/>
      <c r="W376" s="15"/>
    </row>
    <row r="377" spans="1:23" ht="60" x14ac:dyDescent="0.25">
      <c r="A377" s="14" t="s">
        <v>655</v>
      </c>
      <c r="B377" s="14" t="s">
        <v>68</v>
      </c>
      <c r="C377" s="14"/>
      <c r="D377" s="14" t="s">
        <v>235</v>
      </c>
      <c r="E377" s="14" t="s">
        <v>236</v>
      </c>
      <c r="F377" s="14" t="s">
        <v>74</v>
      </c>
      <c r="G377" s="14" t="s">
        <v>68</v>
      </c>
      <c r="H377" s="14" t="s">
        <v>68</v>
      </c>
      <c r="I377" s="14" t="s">
        <v>68</v>
      </c>
      <c r="J377" s="14" t="s">
        <v>74</v>
      </c>
      <c r="K377" s="14" t="s">
        <v>68</v>
      </c>
      <c r="L377" s="14" t="s">
        <v>68</v>
      </c>
      <c r="M377" s="14"/>
      <c r="N377" s="14"/>
      <c r="O377" s="15"/>
      <c r="P377" s="15"/>
      <c r="Q377" s="15"/>
      <c r="R377" s="15"/>
      <c r="S377" s="15"/>
      <c r="T377" s="15"/>
      <c r="U377" s="15"/>
      <c r="V377" s="15"/>
      <c r="W377" s="15"/>
    </row>
    <row r="378" spans="1:23" ht="45" x14ac:dyDescent="0.25">
      <c r="A378" s="14" t="s">
        <v>656</v>
      </c>
      <c r="B378" s="14" t="s">
        <v>68</v>
      </c>
      <c r="C378" s="14"/>
      <c r="D378" s="14" t="s">
        <v>246</v>
      </c>
      <c r="E378" s="14" t="s">
        <v>247</v>
      </c>
      <c r="F378" s="14" t="s">
        <v>68</v>
      </c>
      <c r="G378" s="14" t="s">
        <v>148</v>
      </c>
      <c r="H378" s="14" t="s">
        <v>68</v>
      </c>
      <c r="I378" s="14" t="s">
        <v>68</v>
      </c>
      <c r="J378" s="14" t="s">
        <v>102</v>
      </c>
      <c r="K378" s="14" t="s">
        <v>68</v>
      </c>
      <c r="L378" s="14" t="s">
        <v>68</v>
      </c>
      <c r="M378" s="14"/>
      <c r="N378" s="14"/>
      <c r="O378" s="15"/>
      <c r="P378" s="15"/>
      <c r="Q378" s="15"/>
      <c r="R378" s="15"/>
      <c r="S378" s="15"/>
      <c r="T378" s="15"/>
      <c r="U378" s="15"/>
      <c r="V378" s="15"/>
      <c r="W378" s="15"/>
    </row>
    <row r="379" spans="1:23" ht="45" x14ac:dyDescent="0.25">
      <c r="A379" s="14" t="s">
        <v>657</v>
      </c>
      <c r="B379" s="14" t="s">
        <v>68</v>
      </c>
      <c r="C379" s="14"/>
      <c r="D379" s="14" t="s">
        <v>246</v>
      </c>
      <c r="E379" s="14" t="s">
        <v>247</v>
      </c>
      <c r="F379" s="14" t="s">
        <v>68</v>
      </c>
      <c r="G379" s="14" t="s">
        <v>148</v>
      </c>
      <c r="H379" s="14" t="s">
        <v>68</v>
      </c>
      <c r="I379" s="14" t="s">
        <v>68</v>
      </c>
      <c r="J379" s="14" t="s">
        <v>102</v>
      </c>
      <c r="K379" s="14" t="s">
        <v>68</v>
      </c>
      <c r="L379" s="14" t="s">
        <v>68</v>
      </c>
      <c r="M379" s="14"/>
      <c r="N379" s="14"/>
      <c r="O379" s="15"/>
      <c r="P379" s="15"/>
      <c r="Q379" s="15"/>
      <c r="R379" s="15"/>
      <c r="S379" s="15"/>
      <c r="T379" s="15"/>
      <c r="U379" s="15"/>
      <c r="V379" s="15"/>
      <c r="W379" s="15"/>
    </row>
    <row r="380" spans="1:23" ht="45" x14ac:dyDescent="0.25">
      <c r="A380" s="14" t="s">
        <v>658</v>
      </c>
      <c r="B380" s="14" t="s">
        <v>68</v>
      </c>
      <c r="C380" s="14"/>
      <c r="D380" s="14" t="s">
        <v>325</v>
      </c>
      <c r="E380" s="14" t="s">
        <v>326</v>
      </c>
      <c r="F380" s="14" t="s">
        <v>68</v>
      </c>
      <c r="G380" s="14" t="s">
        <v>68</v>
      </c>
      <c r="H380" s="14" t="s">
        <v>68</v>
      </c>
      <c r="I380" s="14" t="s">
        <v>68</v>
      </c>
      <c r="J380" s="14" t="s">
        <v>68</v>
      </c>
      <c r="K380" s="14" t="s">
        <v>68</v>
      </c>
      <c r="L380" s="14" t="s">
        <v>68</v>
      </c>
      <c r="M380" s="14"/>
      <c r="N380" s="14"/>
      <c r="O380" s="15"/>
      <c r="P380" s="15"/>
      <c r="Q380" s="15"/>
      <c r="R380" s="15"/>
      <c r="S380" s="15"/>
      <c r="T380" s="15"/>
      <c r="U380" s="15"/>
      <c r="V380" s="15"/>
      <c r="W380" s="15"/>
    </row>
    <row r="381" spans="1:23" ht="45" x14ac:dyDescent="0.25">
      <c r="A381" s="14" t="s">
        <v>659</v>
      </c>
      <c r="B381" s="14" t="s">
        <v>68</v>
      </c>
      <c r="C381" s="14"/>
      <c r="D381" s="14" t="s">
        <v>279</v>
      </c>
      <c r="E381" s="14" t="s">
        <v>280</v>
      </c>
      <c r="F381" s="14" t="s">
        <v>132</v>
      </c>
      <c r="G381" s="14" t="s">
        <v>68</v>
      </c>
      <c r="H381" s="14" t="s">
        <v>68</v>
      </c>
      <c r="I381" s="14" t="s">
        <v>68</v>
      </c>
      <c r="J381" s="14" t="s">
        <v>225</v>
      </c>
      <c r="K381" s="14" t="s">
        <v>68</v>
      </c>
      <c r="L381" s="14" t="s">
        <v>68</v>
      </c>
      <c r="M381" s="14"/>
      <c r="N381" s="14"/>
      <c r="O381" s="15"/>
      <c r="P381" s="15"/>
      <c r="Q381" s="15"/>
      <c r="R381" s="15"/>
      <c r="S381" s="15"/>
      <c r="T381" s="15"/>
      <c r="U381" s="15"/>
      <c r="V381" s="15"/>
      <c r="W381" s="15"/>
    </row>
    <row r="382" spans="1:23" ht="45" x14ac:dyDescent="0.25">
      <c r="A382" s="14" t="s">
        <v>660</v>
      </c>
      <c r="B382" s="14" t="s">
        <v>68</v>
      </c>
      <c r="C382" s="14"/>
      <c r="D382" s="14" t="s">
        <v>279</v>
      </c>
      <c r="E382" s="14" t="s">
        <v>280</v>
      </c>
      <c r="F382" s="14" t="s">
        <v>661</v>
      </c>
      <c r="G382" s="14" t="s">
        <v>68</v>
      </c>
      <c r="H382" s="14" t="s">
        <v>68</v>
      </c>
      <c r="I382" s="14" t="s">
        <v>68</v>
      </c>
      <c r="J382" s="14" t="s">
        <v>225</v>
      </c>
      <c r="K382" s="14" t="s">
        <v>68</v>
      </c>
      <c r="L382" s="14" t="s">
        <v>68</v>
      </c>
      <c r="M382" s="14"/>
      <c r="N382" s="14"/>
      <c r="O382" s="15"/>
      <c r="P382" s="15"/>
      <c r="Q382" s="15"/>
      <c r="R382" s="15"/>
      <c r="S382" s="15"/>
      <c r="T382" s="15"/>
      <c r="U382" s="15"/>
      <c r="V382" s="15"/>
      <c r="W382" s="15"/>
    </row>
    <row r="383" spans="1:23" ht="45" x14ac:dyDescent="0.25">
      <c r="A383" s="14" t="s">
        <v>662</v>
      </c>
      <c r="B383" s="14" t="s">
        <v>68</v>
      </c>
      <c r="C383" s="14"/>
      <c r="D383" s="14" t="s">
        <v>328</v>
      </c>
      <c r="E383" s="14" t="s">
        <v>296</v>
      </c>
      <c r="F383" s="14" t="s">
        <v>68</v>
      </c>
      <c r="G383" s="14" t="s">
        <v>68</v>
      </c>
      <c r="H383" s="14" t="s">
        <v>68</v>
      </c>
      <c r="I383" s="14" t="s">
        <v>68</v>
      </c>
      <c r="J383" s="14" t="s">
        <v>68</v>
      </c>
      <c r="K383" s="14" t="s">
        <v>68</v>
      </c>
      <c r="L383" s="14" t="s">
        <v>68</v>
      </c>
      <c r="M383" s="14"/>
      <c r="N383" s="14"/>
      <c r="O383" s="15"/>
      <c r="P383" s="15"/>
      <c r="Q383" s="15"/>
      <c r="R383" s="15"/>
      <c r="S383" s="15"/>
      <c r="T383" s="15"/>
      <c r="U383" s="15"/>
      <c r="V383" s="15"/>
      <c r="W383" s="15"/>
    </row>
    <row r="384" spans="1:23" ht="45" x14ac:dyDescent="0.25">
      <c r="A384" s="14" t="s">
        <v>663</v>
      </c>
      <c r="B384" s="14" t="s">
        <v>68</v>
      </c>
      <c r="C384" s="14"/>
      <c r="D384" s="14" t="s">
        <v>204</v>
      </c>
      <c r="E384" s="14" t="s">
        <v>205</v>
      </c>
      <c r="F384" s="14" t="s">
        <v>68</v>
      </c>
      <c r="G384" s="14" t="s">
        <v>68</v>
      </c>
      <c r="H384" s="14" t="s">
        <v>68</v>
      </c>
      <c r="I384" s="14" t="s">
        <v>68</v>
      </c>
      <c r="J384" s="14" t="s">
        <v>68</v>
      </c>
      <c r="K384" s="14" t="s">
        <v>68</v>
      </c>
      <c r="L384" s="14" t="s">
        <v>68</v>
      </c>
      <c r="M384" s="14"/>
      <c r="N384" s="14"/>
      <c r="O384" s="15"/>
      <c r="P384" s="15"/>
      <c r="Q384" s="15"/>
      <c r="R384" s="15"/>
      <c r="S384" s="15"/>
      <c r="T384" s="15"/>
      <c r="U384" s="15"/>
      <c r="V384" s="15"/>
      <c r="W384" s="15"/>
    </row>
    <row r="385" spans="1:23" ht="60" x14ac:dyDescent="0.25">
      <c r="A385" s="14" t="s">
        <v>664</v>
      </c>
      <c r="B385" s="14" t="s">
        <v>68</v>
      </c>
      <c r="C385" s="14"/>
      <c r="D385" s="14" t="s">
        <v>208</v>
      </c>
      <c r="E385" s="14" t="s">
        <v>209</v>
      </c>
      <c r="F385" s="14" t="s">
        <v>68</v>
      </c>
      <c r="G385" s="14" t="s">
        <v>88</v>
      </c>
      <c r="H385" s="14" t="s">
        <v>68</v>
      </c>
      <c r="I385" s="14" t="s">
        <v>68</v>
      </c>
      <c r="J385" s="14" t="s">
        <v>102</v>
      </c>
      <c r="K385" s="14" t="s">
        <v>68</v>
      </c>
      <c r="L385" s="14" t="s">
        <v>68</v>
      </c>
      <c r="M385" s="14"/>
      <c r="N385" s="14"/>
      <c r="O385" s="15"/>
      <c r="P385" s="15"/>
      <c r="Q385" s="15"/>
      <c r="R385" s="15"/>
      <c r="S385" s="15"/>
      <c r="T385" s="15"/>
      <c r="U385" s="15"/>
      <c r="V385" s="15"/>
      <c r="W385" s="15"/>
    </row>
    <row r="386" spans="1:23" ht="45" x14ac:dyDescent="0.25">
      <c r="A386" s="14" t="s">
        <v>665</v>
      </c>
      <c r="B386" s="14" t="s">
        <v>68</v>
      </c>
      <c r="C386" s="14"/>
      <c r="D386" s="14" t="s">
        <v>199</v>
      </c>
      <c r="E386" s="14" t="s">
        <v>68</v>
      </c>
      <c r="F386" s="14" t="s">
        <v>68</v>
      </c>
      <c r="G386" s="14" t="s">
        <v>90</v>
      </c>
      <c r="H386" s="14" t="s">
        <v>68</v>
      </c>
      <c r="I386" s="14" t="s">
        <v>68</v>
      </c>
      <c r="J386" s="14" t="s">
        <v>201</v>
      </c>
      <c r="K386" s="14" t="s">
        <v>68</v>
      </c>
      <c r="L386" s="14" t="s">
        <v>68</v>
      </c>
      <c r="M386" s="14"/>
      <c r="N386" s="14"/>
      <c r="O386" s="15"/>
      <c r="P386" s="15"/>
      <c r="Q386" s="15"/>
      <c r="R386" s="15"/>
      <c r="S386" s="15"/>
      <c r="T386" s="15"/>
      <c r="U386" s="15"/>
      <c r="V386" s="15"/>
      <c r="W386" s="15"/>
    </row>
    <row r="387" spans="1:23" ht="60" x14ac:dyDescent="0.25">
      <c r="A387" s="14" t="s">
        <v>666</v>
      </c>
      <c r="B387" s="14" t="s">
        <v>68</v>
      </c>
      <c r="C387" s="14"/>
      <c r="D387" s="14" t="s">
        <v>208</v>
      </c>
      <c r="E387" s="14" t="s">
        <v>209</v>
      </c>
      <c r="F387" s="14" t="s">
        <v>68</v>
      </c>
      <c r="G387" s="14" t="s">
        <v>148</v>
      </c>
      <c r="H387" s="14" t="s">
        <v>68</v>
      </c>
      <c r="I387" s="14" t="s">
        <v>68</v>
      </c>
      <c r="J387" s="14" t="s">
        <v>102</v>
      </c>
      <c r="K387" s="14" t="s">
        <v>68</v>
      </c>
      <c r="L387" s="14" t="s">
        <v>68</v>
      </c>
      <c r="M387" s="14"/>
      <c r="N387" s="14"/>
      <c r="O387" s="15"/>
      <c r="P387" s="15"/>
      <c r="Q387" s="15"/>
      <c r="R387" s="15"/>
      <c r="S387" s="15"/>
      <c r="T387" s="15"/>
      <c r="U387" s="15"/>
      <c r="V387" s="15"/>
      <c r="W387" s="15"/>
    </row>
    <row r="388" spans="1:23" ht="60" x14ac:dyDescent="0.25">
      <c r="A388" s="14" t="s">
        <v>667</v>
      </c>
      <c r="B388" s="14" t="s">
        <v>68</v>
      </c>
      <c r="C388" s="14"/>
      <c r="D388" s="14" t="s">
        <v>215</v>
      </c>
      <c r="E388" s="14" t="s">
        <v>216</v>
      </c>
      <c r="F388" s="14" t="s">
        <v>68</v>
      </c>
      <c r="G388" s="14" t="s">
        <v>74</v>
      </c>
      <c r="H388" s="14" t="s">
        <v>68</v>
      </c>
      <c r="I388" s="14" t="s">
        <v>68</v>
      </c>
      <c r="J388" s="14" t="s">
        <v>74</v>
      </c>
      <c r="K388" s="14" t="s">
        <v>68</v>
      </c>
      <c r="L388" s="14" t="s">
        <v>68</v>
      </c>
      <c r="M388" s="14"/>
      <c r="N388" s="14"/>
      <c r="O388" s="15"/>
      <c r="P388" s="15"/>
      <c r="Q388" s="15"/>
      <c r="R388" s="15"/>
      <c r="S388" s="15"/>
      <c r="T388" s="15"/>
      <c r="U388" s="15"/>
      <c r="V388" s="15"/>
      <c r="W388" s="15"/>
    </row>
    <row r="389" spans="1:23" ht="60" x14ac:dyDescent="0.25">
      <c r="A389" s="14" t="s">
        <v>668</v>
      </c>
      <c r="B389" s="14" t="s">
        <v>68</v>
      </c>
      <c r="C389" s="14"/>
      <c r="D389" s="14" t="s">
        <v>215</v>
      </c>
      <c r="E389" s="14" t="s">
        <v>216</v>
      </c>
      <c r="F389" s="14" t="s">
        <v>68</v>
      </c>
      <c r="G389" s="14" t="s">
        <v>74</v>
      </c>
      <c r="H389" s="14" t="s">
        <v>68</v>
      </c>
      <c r="I389" s="14" t="s">
        <v>68</v>
      </c>
      <c r="J389" s="14" t="s">
        <v>74</v>
      </c>
      <c r="K389" s="14" t="s">
        <v>68</v>
      </c>
      <c r="L389" s="14" t="s">
        <v>68</v>
      </c>
      <c r="M389" s="14"/>
      <c r="N389" s="14"/>
      <c r="O389" s="15"/>
      <c r="P389" s="15"/>
      <c r="Q389" s="15"/>
      <c r="R389" s="15"/>
      <c r="S389" s="15"/>
      <c r="T389" s="15"/>
      <c r="U389" s="15"/>
      <c r="V389" s="15"/>
      <c r="W389" s="15"/>
    </row>
    <row r="390" spans="1:23" ht="45" x14ac:dyDescent="0.25">
      <c r="A390" s="14" t="s">
        <v>669</v>
      </c>
      <c r="B390" s="14" t="s">
        <v>68</v>
      </c>
      <c r="C390" s="14"/>
      <c r="D390" s="14" t="s">
        <v>288</v>
      </c>
      <c r="E390" s="14" t="s">
        <v>289</v>
      </c>
      <c r="F390" s="14" t="s">
        <v>68</v>
      </c>
      <c r="G390" s="14" t="s">
        <v>87</v>
      </c>
      <c r="H390" s="14" t="s">
        <v>68</v>
      </c>
      <c r="I390" s="14" t="s">
        <v>68</v>
      </c>
      <c r="J390" s="14" t="s">
        <v>225</v>
      </c>
      <c r="K390" s="14" t="s">
        <v>68</v>
      </c>
      <c r="L390" s="14" t="s">
        <v>68</v>
      </c>
      <c r="M390" s="14"/>
      <c r="N390" s="14"/>
      <c r="O390" s="15"/>
      <c r="P390" s="15"/>
      <c r="Q390" s="15"/>
      <c r="R390" s="15"/>
      <c r="S390" s="15"/>
      <c r="T390" s="15"/>
      <c r="U390" s="15"/>
      <c r="V390" s="15"/>
      <c r="W390" s="15"/>
    </row>
    <row r="391" spans="1:23" ht="60" x14ac:dyDescent="0.25">
      <c r="A391" s="14" t="s">
        <v>670</v>
      </c>
      <c r="B391" s="14" t="s">
        <v>68</v>
      </c>
      <c r="C391" s="14"/>
      <c r="D391" s="14" t="s">
        <v>215</v>
      </c>
      <c r="E391" s="14" t="s">
        <v>216</v>
      </c>
      <c r="F391" s="14" t="s">
        <v>68</v>
      </c>
      <c r="G391" s="14" t="s">
        <v>74</v>
      </c>
      <c r="H391" s="14" t="s">
        <v>68</v>
      </c>
      <c r="I391" s="14" t="s">
        <v>68</v>
      </c>
      <c r="J391" s="14" t="s">
        <v>74</v>
      </c>
      <c r="K391" s="14" t="s">
        <v>68</v>
      </c>
      <c r="L391" s="14" t="s">
        <v>68</v>
      </c>
      <c r="M391" s="14"/>
      <c r="N391" s="14"/>
      <c r="O391" s="15"/>
      <c r="P391" s="15"/>
      <c r="Q391" s="15"/>
      <c r="R391" s="15"/>
      <c r="S391" s="15"/>
      <c r="T391" s="15"/>
      <c r="U391" s="15"/>
      <c r="V391" s="15"/>
      <c r="W391" s="15"/>
    </row>
    <row r="392" spans="1:23" ht="45" x14ac:dyDescent="0.25">
      <c r="A392" s="14" t="s">
        <v>671</v>
      </c>
      <c r="B392" s="14" t="s">
        <v>68</v>
      </c>
      <c r="C392" s="14"/>
      <c r="D392" s="14" t="s">
        <v>246</v>
      </c>
      <c r="E392" s="14" t="s">
        <v>247</v>
      </c>
      <c r="F392" s="14" t="s">
        <v>68</v>
      </c>
      <c r="G392" s="14" t="s">
        <v>159</v>
      </c>
      <c r="H392" s="14" t="s">
        <v>68</v>
      </c>
      <c r="I392" s="14" t="s">
        <v>68</v>
      </c>
      <c r="J392" s="14" t="s">
        <v>102</v>
      </c>
      <c r="K392" s="14" t="s">
        <v>68</v>
      </c>
      <c r="L392" s="14" t="s">
        <v>68</v>
      </c>
      <c r="M392" s="14"/>
      <c r="N392" s="14"/>
      <c r="O392" s="15"/>
      <c r="P392" s="15"/>
      <c r="Q392" s="15"/>
      <c r="R392" s="15"/>
      <c r="S392" s="15"/>
      <c r="T392" s="15"/>
      <c r="U392" s="15"/>
      <c r="V392" s="15"/>
      <c r="W392" s="15"/>
    </row>
    <row r="393" spans="1:23" ht="45" x14ac:dyDescent="0.25">
      <c r="A393" s="14" t="s">
        <v>672</v>
      </c>
      <c r="B393" s="14" t="s">
        <v>68</v>
      </c>
      <c r="C393" s="14"/>
      <c r="D393" s="14" t="s">
        <v>256</v>
      </c>
      <c r="E393" s="14" t="s">
        <v>223</v>
      </c>
      <c r="F393" s="14" t="s">
        <v>68</v>
      </c>
      <c r="G393" s="14" t="s">
        <v>68</v>
      </c>
      <c r="H393" s="14" t="s">
        <v>68</v>
      </c>
      <c r="I393" s="14" t="s">
        <v>68</v>
      </c>
      <c r="J393" s="14" t="s">
        <v>68</v>
      </c>
      <c r="K393" s="14" t="s">
        <v>68</v>
      </c>
      <c r="L393" s="14" t="s">
        <v>68</v>
      </c>
      <c r="M393" s="14"/>
      <c r="N393" s="14"/>
      <c r="O393" s="15"/>
      <c r="P393" s="15"/>
      <c r="Q393" s="15"/>
      <c r="R393" s="15"/>
      <c r="S393" s="15"/>
      <c r="T393" s="15"/>
      <c r="U393" s="15"/>
      <c r="V393" s="15"/>
      <c r="W393" s="15"/>
    </row>
    <row r="394" spans="1:23" ht="45" x14ac:dyDescent="0.25">
      <c r="A394" s="14" t="s">
        <v>673</v>
      </c>
      <c r="B394" s="14" t="s">
        <v>68</v>
      </c>
      <c r="C394" s="14"/>
      <c r="D394" s="14" t="s">
        <v>238</v>
      </c>
      <c r="E394" s="14" t="s">
        <v>239</v>
      </c>
      <c r="F394" s="14" t="s">
        <v>68</v>
      </c>
      <c r="G394" s="14" t="s">
        <v>68</v>
      </c>
      <c r="H394" s="14" t="s">
        <v>68</v>
      </c>
      <c r="I394" s="14" t="s">
        <v>68</v>
      </c>
      <c r="J394" s="14" t="s">
        <v>68</v>
      </c>
      <c r="K394" s="14" t="s">
        <v>68</v>
      </c>
      <c r="L394" s="14" t="s">
        <v>68</v>
      </c>
      <c r="M394" s="14"/>
      <c r="N394" s="14"/>
      <c r="O394" s="15"/>
      <c r="P394" s="15"/>
      <c r="Q394" s="15"/>
      <c r="R394" s="15"/>
      <c r="S394" s="15"/>
      <c r="T394" s="15"/>
      <c r="U394" s="15"/>
      <c r="V394" s="15"/>
      <c r="W394" s="15"/>
    </row>
    <row r="395" spans="1:23" ht="60" x14ac:dyDescent="0.25">
      <c r="A395" s="14" t="s">
        <v>674</v>
      </c>
      <c r="B395" s="14" t="s">
        <v>68</v>
      </c>
      <c r="C395" s="14"/>
      <c r="D395" s="14" t="s">
        <v>314</v>
      </c>
      <c r="E395" s="14" t="s">
        <v>68</v>
      </c>
      <c r="F395" s="14" t="s">
        <v>68</v>
      </c>
      <c r="G395" s="14" t="s">
        <v>404</v>
      </c>
      <c r="H395" s="14" t="s">
        <v>68</v>
      </c>
      <c r="I395" s="14" t="s">
        <v>68</v>
      </c>
      <c r="J395" s="14" t="s">
        <v>102</v>
      </c>
      <c r="K395" s="14" t="s">
        <v>68</v>
      </c>
      <c r="L395" s="14" t="s">
        <v>68</v>
      </c>
      <c r="M395" s="14"/>
      <c r="N395" s="14"/>
      <c r="O395" s="15"/>
      <c r="P395" s="15"/>
      <c r="Q395" s="15"/>
      <c r="R395" s="15"/>
      <c r="S395" s="15"/>
      <c r="T395" s="15"/>
      <c r="U395" s="15"/>
      <c r="V395" s="15"/>
      <c r="W395" s="15"/>
    </row>
    <row r="396" spans="1:23" ht="60" x14ac:dyDescent="0.25">
      <c r="A396" s="14" t="s">
        <v>675</v>
      </c>
      <c r="B396" s="14" t="s">
        <v>68</v>
      </c>
      <c r="C396" s="14"/>
      <c r="D396" s="14" t="s">
        <v>215</v>
      </c>
      <c r="E396" s="14" t="s">
        <v>216</v>
      </c>
      <c r="F396" s="14" t="s">
        <v>68</v>
      </c>
      <c r="G396" s="14" t="s">
        <v>676</v>
      </c>
      <c r="H396" s="14" t="s">
        <v>68</v>
      </c>
      <c r="I396" s="14" t="s">
        <v>68</v>
      </c>
      <c r="J396" s="14" t="s">
        <v>74</v>
      </c>
      <c r="K396" s="14" t="s">
        <v>68</v>
      </c>
      <c r="L396" s="14" t="s">
        <v>68</v>
      </c>
      <c r="M396" s="14"/>
      <c r="N396" s="14"/>
      <c r="O396" s="15"/>
      <c r="P396" s="15"/>
      <c r="Q396" s="15"/>
      <c r="R396" s="15"/>
      <c r="S396" s="15"/>
      <c r="T396" s="15"/>
      <c r="U396" s="15"/>
      <c r="V396" s="15"/>
      <c r="W396" s="15"/>
    </row>
    <row r="397" spans="1:23" ht="60" x14ac:dyDescent="0.25">
      <c r="A397" s="14" t="s">
        <v>677</v>
      </c>
      <c r="B397" s="14" t="s">
        <v>68</v>
      </c>
      <c r="C397" s="14"/>
      <c r="D397" s="14" t="s">
        <v>314</v>
      </c>
      <c r="E397" s="14" t="s">
        <v>68</v>
      </c>
      <c r="F397" s="14" t="s">
        <v>68</v>
      </c>
      <c r="G397" s="14" t="s">
        <v>361</v>
      </c>
      <c r="H397" s="14" t="s">
        <v>68</v>
      </c>
      <c r="I397" s="14" t="s">
        <v>68</v>
      </c>
      <c r="J397" s="14" t="s">
        <v>102</v>
      </c>
      <c r="K397" s="14" t="s">
        <v>68</v>
      </c>
      <c r="L397" s="14" t="s">
        <v>68</v>
      </c>
      <c r="M397" s="14"/>
      <c r="N397" s="14"/>
      <c r="O397" s="15"/>
      <c r="P397" s="15"/>
      <c r="Q397" s="15"/>
      <c r="R397" s="15"/>
      <c r="S397" s="15"/>
      <c r="T397" s="15"/>
      <c r="U397" s="15"/>
      <c r="V397" s="15"/>
      <c r="W397" s="15"/>
    </row>
    <row r="398" spans="1:23" x14ac:dyDescent="0.25">
      <c r="A398" s="14" t="s">
        <v>678</v>
      </c>
      <c r="B398" s="14" t="s">
        <v>68</v>
      </c>
      <c r="C398" s="14"/>
      <c r="D398" s="14" t="s">
        <v>68</v>
      </c>
      <c r="E398" s="14" t="s">
        <v>68</v>
      </c>
      <c r="F398" s="14" t="s">
        <v>68</v>
      </c>
      <c r="G398" s="14" t="s">
        <v>68</v>
      </c>
      <c r="H398" s="14" t="s">
        <v>68</v>
      </c>
      <c r="I398" s="14" t="s">
        <v>68</v>
      </c>
      <c r="J398" s="14" t="s">
        <v>68</v>
      </c>
      <c r="K398" s="14" t="s">
        <v>68</v>
      </c>
      <c r="L398" s="14" t="s">
        <v>68</v>
      </c>
      <c r="M398" s="14"/>
      <c r="N398" s="14"/>
      <c r="O398" s="15"/>
      <c r="P398" s="15"/>
      <c r="Q398" s="15"/>
      <c r="R398" s="15"/>
      <c r="S398" s="15"/>
      <c r="T398" s="15"/>
      <c r="U398" s="15"/>
      <c r="V398" s="15"/>
      <c r="W398" s="15"/>
    </row>
    <row r="399" spans="1:23" ht="45" x14ac:dyDescent="0.25">
      <c r="A399" s="14" t="s">
        <v>679</v>
      </c>
      <c r="B399" s="14" t="s">
        <v>68</v>
      </c>
      <c r="C399" s="14"/>
      <c r="D399" s="14" t="s">
        <v>199</v>
      </c>
      <c r="E399" s="14" t="s">
        <v>68</v>
      </c>
      <c r="F399" s="14" t="s">
        <v>68</v>
      </c>
      <c r="G399" s="14" t="s">
        <v>130</v>
      </c>
      <c r="H399" s="14" t="s">
        <v>68</v>
      </c>
      <c r="I399" s="14" t="s">
        <v>68</v>
      </c>
      <c r="J399" s="14" t="s">
        <v>201</v>
      </c>
      <c r="K399" s="14" t="s">
        <v>68</v>
      </c>
      <c r="L399" s="14" t="s">
        <v>68</v>
      </c>
      <c r="M399" s="14"/>
      <c r="N399" s="14"/>
      <c r="O399" s="15"/>
      <c r="P399" s="15"/>
      <c r="Q399" s="15"/>
      <c r="R399" s="15"/>
      <c r="S399" s="15"/>
      <c r="T399" s="15"/>
      <c r="U399" s="15"/>
      <c r="V399" s="15"/>
      <c r="W399" s="15"/>
    </row>
    <row r="400" spans="1:23" ht="45" x14ac:dyDescent="0.25">
      <c r="A400" s="14" t="s">
        <v>680</v>
      </c>
      <c r="B400" s="14" t="s">
        <v>68</v>
      </c>
      <c r="C400" s="14"/>
      <c r="D400" s="14" t="s">
        <v>238</v>
      </c>
      <c r="E400" s="14" t="s">
        <v>239</v>
      </c>
      <c r="F400" s="14" t="s">
        <v>68</v>
      </c>
      <c r="G400" s="14" t="s">
        <v>68</v>
      </c>
      <c r="H400" s="14" t="s">
        <v>68</v>
      </c>
      <c r="I400" s="14" t="s">
        <v>68</v>
      </c>
      <c r="J400" s="14" t="s">
        <v>68</v>
      </c>
      <c r="K400" s="14" t="s">
        <v>68</v>
      </c>
      <c r="L400" s="14" t="s">
        <v>68</v>
      </c>
      <c r="M400" s="14"/>
      <c r="N400" s="14"/>
      <c r="O400" s="15"/>
      <c r="P400" s="15"/>
      <c r="Q400" s="15"/>
      <c r="R400" s="15"/>
      <c r="S400" s="15"/>
      <c r="T400" s="15"/>
      <c r="U400" s="15"/>
      <c r="V400" s="15"/>
      <c r="W400" s="15"/>
    </row>
    <row r="401" spans="1:23" ht="60" x14ac:dyDescent="0.25">
      <c r="A401" s="14" t="s">
        <v>681</v>
      </c>
      <c r="B401" s="14" t="s">
        <v>68</v>
      </c>
      <c r="C401" s="14"/>
      <c r="D401" s="14" t="s">
        <v>215</v>
      </c>
      <c r="E401" s="14" t="s">
        <v>216</v>
      </c>
      <c r="F401" s="14" t="s">
        <v>68</v>
      </c>
      <c r="G401" s="14" t="s">
        <v>74</v>
      </c>
      <c r="H401" s="14" t="s">
        <v>68</v>
      </c>
      <c r="I401" s="14" t="s">
        <v>68</v>
      </c>
      <c r="J401" s="14" t="s">
        <v>74</v>
      </c>
      <c r="K401" s="14" t="s">
        <v>68</v>
      </c>
      <c r="L401" s="14" t="s">
        <v>68</v>
      </c>
      <c r="M401" s="14"/>
      <c r="N401" s="14"/>
      <c r="O401" s="15"/>
      <c r="P401" s="15"/>
      <c r="Q401" s="15"/>
      <c r="R401" s="15"/>
      <c r="S401" s="15"/>
      <c r="T401" s="15"/>
      <c r="U401" s="15"/>
      <c r="V401" s="15"/>
      <c r="W401" s="15"/>
    </row>
    <row r="402" spans="1:23" ht="45" x14ac:dyDescent="0.25">
      <c r="A402" s="14" t="s">
        <v>682</v>
      </c>
      <c r="B402" s="14" t="s">
        <v>68</v>
      </c>
      <c r="C402" s="14"/>
      <c r="D402" s="14" t="s">
        <v>229</v>
      </c>
      <c r="E402" s="14" t="s">
        <v>230</v>
      </c>
      <c r="F402" s="14" t="s">
        <v>68</v>
      </c>
      <c r="G402" s="14" t="s">
        <v>68</v>
      </c>
      <c r="H402" s="14" t="s">
        <v>68</v>
      </c>
      <c r="I402" s="14" t="s">
        <v>68</v>
      </c>
      <c r="J402" s="14" t="s">
        <v>68</v>
      </c>
      <c r="K402" s="14" t="s">
        <v>68</v>
      </c>
      <c r="L402" s="14" t="s">
        <v>68</v>
      </c>
      <c r="M402" s="14"/>
      <c r="N402" s="14"/>
      <c r="O402" s="15"/>
      <c r="P402" s="15"/>
      <c r="Q402" s="15"/>
      <c r="R402" s="15"/>
      <c r="S402" s="15"/>
      <c r="T402" s="15"/>
      <c r="U402" s="15"/>
      <c r="V402" s="15"/>
      <c r="W402" s="15"/>
    </row>
    <row r="403" spans="1:23" ht="45" x14ac:dyDescent="0.25">
      <c r="A403" s="14" t="s">
        <v>683</v>
      </c>
      <c r="B403" s="14" t="s">
        <v>68</v>
      </c>
      <c r="C403" s="14"/>
      <c r="D403" s="14" t="s">
        <v>199</v>
      </c>
      <c r="E403" s="14" t="s">
        <v>68</v>
      </c>
      <c r="F403" s="14" t="s">
        <v>68</v>
      </c>
      <c r="G403" s="14" t="s">
        <v>78</v>
      </c>
      <c r="H403" s="14" t="s">
        <v>68</v>
      </c>
      <c r="I403" s="14" t="s">
        <v>68</v>
      </c>
      <c r="J403" s="14" t="s">
        <v>201</v>
      </c>
      <c r="K403" s="14" t="s">
        <v>68</v>
      </c>
      <c r="L403" s="14" t="s">
        <v>68</v>
      </c>
      <c r="M403" s="14"/>
      <c r="N403" s="14"/>
      <c r="O403" s="15"/>
      <c r="P403" s="15"/>
      <c r="Q403" s="15"/>
      <c r="R403" s="15"/>
      <c r="S403" s="15"/>
      <c r="T403" s="15"/>
      <c r="U403" s="15"/>
      <c r="V403" s="15"/>
      <c r="W403" s="15"/>
    </row>
    <row r="404" spans="1:23" ht="45" x14ac:dyDescent="0.25">
      <c r="A404" s="14" t="s">
        <v>684</v>
      </c>
      <c r="B404" s="14" t="s">
        <v>68</v>
      </c>
      <c r="C404" s="14"/>
      <c r="D404" s="14" t="s">
        <v>229</v>
      </c>
      <c r="E404" s="14" t="s">
        <v>230</v>
      </c>
      <c r="F404" s="14" t="s">
        <v>68</v>
      </c>
      <c r="G404" s="14" t="s">
        <v>93</v>
      </c>
      <c r="H404" s="14" t="s">
        <v>68</v>
      </c>
      <c r="I404" s="14" t="s">
        <v>68</v>
      </c>
      <c r="J404" s="14" t="s">
        <v>201</v>
      </c>
      <c r="K404" s="14" t="s">
        <v>68</v>
      </c>
      <c r="L404" s="14" t="s">
        <v>68</v>
      </c>
      <c r="M404" s="14"/>
      <c r="N404" s="14"/>
      <c r="O404" s="15"/>
      <c r="P404" s="15"/>
      <c r="Q404" s="15"/>
      <c r="R404" s="15"/>
      <c r="S404" s="15"/>
      <c r="T404" s="15"/>
      <c r="U404" s="15"/>
      <c r="V404" s="15"/>
      <c r="W404" s="15"/>
    </row>
    <row r="405" spans="1:23" ht="45" x14ac:dyDescent="0.25">
      <c r="A405" s="14" t="s">
        <v>685</v>
      </c>
      <c r="B405" s="14" t="s">
        <v>68</v>
      </c>
      <c r="C405" s="14"/>
      <c r="D405" s="14" t="s">
        <v>229</v>
      </c>
      <c r="E405" s="14" t="s">
        <v>230</v>
      </c>
      <c r="F405" s="14" t="s">
        <v>68</v>
      </c>
      <c r="G405" s="14" t="s">
        <v>156</v>
      </c>
      <c r="H405" s="14" t="s">
        <v>68</v>
      </c>
      <c r="I405" s="14" t="s">
        <v>68</v>
      </c>
      <c r="J405" s="14" t="s">
        <v>201</v>
      </c>
      <c r="K405" s="14" t="s">
        <v>68</v>
      </c>
      <c r="L405" s="14" t="s">
        <v>68</v>
      </c>
      <c r="M405" s="14"/>
      <c r="N405" s="14"/>
      <c r="O405" s="15"/>
      <c r="P405" s="15"/>
      <c r="Q405" s="15"/>
      <c r="R405" s="15"/>
      <c r="S405" s="15"/>
      <c r="T405" s="15"/>
      <c r="U405" s="15"/>
      <c r="V405" s="15"/>
      <c r="W405" s="15"/>
    </row>
    <row r="406" spans="1:23" ht="45" x14ac:dyDescent="0.25">
      <c r="A406" s="14" t="s">
        <v>686</v>
      </c>
      <c r="B406" s="14" t="s">
        <v>68</v>
      </c>
      <c r="C406" s="14"/>
      <c r="D406" s="14" t="s">
        <v>199</v>
      </c>
      <c r="E406" s="14" t="s">
        <v>68</v>
      </c>
      <c r="F406" s="14" t="s">
        <v>68</v>
      </c>
      <c r="G406" s="14" t="s">
        <v>78</v>
      </c>
      <c r="H406" s="14" t="s">
        <v>68</v>
      </c>
      <c r="I406" s="14" t="s">
        <v>68</v>
      </c>
      <c r="J406" s="14" t="s">
        <v>201</v>
      </c>
      <c r="K406" s="14" t="s">
        <v>68</v>
      </c>
      <c r="L406" s="14" t="s">
        <v>68</v>
      </c>
      <c r="M406" s="14"/>
      <c r="N406" s="14"/>
      <c r="O406" s="15"/>
      <c r="P406" s="15"/>
      <c r="Q406" s="15"/>
      <c r="R406" s="15"/>
      <c r="S406" s="15"/>
      <c r="T406" s="15"/>
      <c r="U406" s="15"/>
      <c r="V406" s="15"/>
      <c r="W406" s="15"/>
    </row>
    <row r="407" spans="1:23" ht="45" x14ac:dyDescent="0.25">
      <c r="A407" s="14" t="s">
        <v>687</v>
      </c>
      <c r="B407" s="14" t="s">
        <v>68</v>
      </c>
      <c r="C407" s="14"/>
      <c r="D407" s="14" t="s">
        <v>246</v>
      </c>
      <c r="E407" s="14" t="s">
        <v>247</v>
      </c>
      <c r="F407" s="14" t="s">
        <v>68</v>
      </c>
      <c r="G407" s="14" t="s">
        <v>102</v>
      </c>
      <c r="H407" s="14" t="s">
        <v>68</v>
      </c>
      <c r="I407" s="14" t="s">
        <v>68</v>
      </c>
      <c r="J407" s="14" t="s">
        <v>102</v>
      </c>
      <c r="K407" s="14" t="s">
        <v>68</v>
      </c>
      <c r="L407" s="14" t="s">
        <v>68</v>
      </c>
      <c r="M407" s="14"/>
      <c r="N407" s="14"/>
      <c r="O407" s="15"/>
      <c r="P407" s="15"/>
      <c r="Q407" s="15"/>
      <c r="R407" s="15"/>
      <c r="S407" s="15"/>
      <c r="T407" s="15"/>
      <c r="U407" s="15"/>
      <c r="V407" s="15"/>
      <c r="W407" s="15"/>
    </row>
    <row r="408" spans="1:23" ht="45" x14ac:dyDescent="0.25">
      <c r="A408" s="14" t="s">
        <v>688</v>
      </c>
      <c r="B408" s="14" t="s">
        <v>68</v>
      </c>
      <c r="C408" s="14"/>
      <c r="D408" s="14" t="s">
        <v>423</v>
      </c>
      <c r="E408" s="14" t="s">
        <v>424</v>
      </c>
      <c r="F408" s="14" t="s">
        <v>159</v>
      </c>
      <c r="G408" s="14" t="s">
        <v>383</v>
      </c>
      <c r="H408" s="14" t="s">
        <v>68</v>
      </c>
      <c r="I408" s="14" t="s">
        <v>68</v>
      </c>
      <c r="J408" s="14" t="s">
        <v>102</v>
      </c>
      <c r="K408" s="14" t="s">
        <v>68</v>
      </c>
      <c r="L408" s="14" t="s">
        <v>68</v>
      </c>
      <c r="M408" s="14"/>
      <c r="N408" s="14"/>
      <c r="O408" s="15"/>
      <c r="P408" s="15"/>
      <c r="Q408" s="15"/>
      <c r="R408" s="15"/>
      <c r="S408" s="15"/>
      <c r="T408" s="15"/>
      <c r="U408" s="15"/>
      <c r="V408" s="15"/>
      <c r="W408" s="15"/>
    </row>
    <row r="409" spans="1:23" ht="45" x14ac:dyDescent="0.25">
      <c r="A409" s="14" t="s">
        <v>689</v>
      </c>
      <c r="B409" s="14" t="s">
        <v>68</v>
      </c>
      <c r="C409" s="14"/>
      <c r="D409" s="14" t="s">
        <v>241</v>
      </c>
      <c r="E409" s="14" t="s">
        <v>236</v>
      </c>
      <c r="F409" s="14" t="s">
        <v>83</v>
      </c>
      <c r="G409" s="14" t="s">
        <v>68</v>
      </c>
      <c r="H409" s="14" t="s">
        <v>68</v>
      </c>
      <c r="I409" s="14" t="s">
        <v>68</v>
      </c>
      <c r="J409" s="14" t="s">
        <v>201</v>
      </c>
      <c r="K409" s="14" t="s">
        <v>68</v>
      </c>
      <c r="L409" s="14" t="s">
        <v>68</v>
      </c>
      <c r="M409" s="14"/>
      <c r="N409" s="14"/>
      <c r="O409" s="15"/>
      <c r="P409" s="15"/>
      <c r="Q409" s="15"/>
      <c r="R409" s="15"/>
      <c r="S409" s="15"/>
      <c r="T409" s="15"/>
      <c r="U409" s="15"/>
      <c r="V409" s="15"/>
      <c r="W409" s="15"/>
    </row>
    <row r="410" spans="1:23" ht="45" x14ac:dyDescent="0.25">
      <c r="A410" s="14" t="s">
        <v>690</v>
      </c>
      <c r="B410" s="14" t="s">
        <v>68</v>
      </c>
      <c r="C410" s="14"/>
      <c r="D410" s="14" t="s">
        <v>258</v>
      </c>
      <c r="E410" s="14" t="s">
        <v>227</v>
      </c>
      <c r="F410" s="14" t="s">
        <v>68</v>
      </c>
      <c r="G410" s="14" t="s">
        <v>141</v>
      </c>
      <c r="H410" s="14" t="s">
        <v>68</v>
      </c>
      <c r="I410" s="14" t="s">
        <v>68</v>
      </c>
      <c r="J410" s="14" t="s">
        <v>102</v>
      </c>
      <c r="K410" s="14" t="s">
        <v>68</v>
      </c>
      <c r="L410" s="14" t="s">
        <v>68</v>
      </c>
      <c r="M410" s="14"/>
      <c r="N410" s="14"/>
      <c r="O410" s="15"/>
      <c r="P410" s="15"/>
      <c r="Q410" s="15"/>
      <c r="R410" s="15"/>
      <c r="S410" s="15"/>
      <c r="T410" s="15"/>
      <c r="U410" s="15"/>
      <c r="V410" s="15"/>
      <c r="W410" s="15"/>
    </row>
    <row r="411" spans="1:23" x14ac:dyDescent="0.25">
      <c r="A411" s="14" t="s">
        <v>691</v>
      </c>
      <c r="B411" s="14" t="s">
        <v>68</v>
      </c>
      <c r="C411" s="14"/>
      <c r="D411" s="14" t="s">
        <v>68</v>
      </c>
      <c r="E411" s="14" t="s">
        <v>68</v>
      </c>
      <c r="F411" s="14" t="s">
        <v>88</v>
      </c>
      <c r="G411" s="14" t="s">
        <v>68</v>
      </c>
      <c r="H411" s="14" t="s">
        <v>68</v>
      </c>
      <c r="I411" s="14" t="s">
        <v>68</v>
      </c>
      <c r="J411" s="14" t="s">
        <v>102</v>
      </c>
      <c r="K411" s="14" t="s">
        <v>68</v>
      </c>
      <c r="L411" s="14" t="s">
        <v>68</v>
      </c>
      <c r="M411" s="14"/>
      <c r="N411" s="14"/>
      <c r="O411" s="15"/>
      <c r="P411" s="15"/>
      <c r="Q411" s="15"/>
      <c r="R411" s="15"/>
      <c r="S411" s="15"/>
      <c r="T411" s="15"/>
      <c r="U411" s="15"/>
      <c r="V411" s="15"/>
      <c r="W411" s="15"/>
    </row>
    <row r="412" spans="1:23" ht="45" x14ac:dyDescent="0.25">
      <c r="A412" s="14" t="s">
        <v>692</v>
      </c>
      <c r="B412" s="14" t="s">
        <v>68</v>
      </c>
      <c r="C412" s="14"/>
      <c r="D412" s="14" t="s">
        <v>279</v>
      </c>
      <c r="E412" s="14" t="s">
        <v>280</v>
      </c>
      <c r="F412" s="14" t="s">
        <v>132</v>
      </c>
      <c r="G412" s="14" t="s">
        <v>68</v>
      </c>
      <c r="H412" s="14" t="s">
        <v>68</v>
      </c>
      <c r="I412" s="14" t="s">
        <v>68</v>
      </c>
      <c r="J412" s="14" t="s">
        <v>225</v>
      </c>
      <c r="K412" s="14" t="s">
        <v>68</v>
      </c>
      <c r="L412" s="14" t="s">
        <v>68</v>
      </c>
      <c r="M412" s="14"/>
      <c r="N412" s="14"/>
      <c r="O412" s="15"/>
      <c r="P412" s="15"/>
      <c r="Q412" s="15"/>
      <c r="R412" s="15"/>
      <c r="S412" s="15"/>
      <c r="T412" s="15"/>
      <c r="U412" s="15"/>
      <c r="V412" s="15"/>
      <c r="W412" s="15"/>
    </row>
    <row r="413" spans="1:23" ht="45" x14ac:dyDescent="0.25">
      <c r="A413" s="14" t="s">
        <v>693</v>
      </c>
      <c r="B413" s="14" t="s">
        <v>68</v>
      </c>
      <c r="C413" s="14"/>
      <c r="D413" s="14" t="s">
        <v>288</v>
      </c>
      <c r="E413" s="14" t="s">
        <v>291</v>
      </c>
      <c r="F413" s="14" t="s">
        <v>68</v>
      </c>
      <c r="G413" s="14" t="s">
        <v>68</v>
      </c>
      <c r="H413" s="14" t="s">
        <v>68</v>
      </c>
      <c r="I413" s="14" t="s">
        <v>68</v>
      </c>
      <c r="J413" s="14" t="s">
        <v>68</v>
      </c>
      <c r="K413" s="14" t="s">
        <v>68</v>
      </c>
      <c r="L413" s="14" t="s">
        <v>68</v>
      </c>
      <c r="M413" s="14"/>
      <c r="N413" s="14"/>
      <c r="O413" s="15"/>
      <c r="P413" s="15"/>
      <c r="Q413" s="15"/>
      <c r="R413" s="15"/>
      <c r="S413" s="15"/>
      <c r="T413" s="15"/>
      <c r="U413" s="15"/>
      <c r="V413" s="15"/>
      <c r="W413" s="15"/>
    </row>
    <row r="414" spans="1:23" ht="45" x14ac:dyDescent="0.25">
      <c r="A414" s="14" t="s">
        <v>694</v>
      </c>
      <c r="B414" s="14" t="s">
        <v>68</v>
      </c>
      <c r="C414" s="14"/>
      <c r="D414" s="14" t="s">
        <v>288</v>
      </c>
      <c r="E414" s="14" t="s">
        <v>296</v>
      </c>
      <c r="F414" s="14" t="s">
        <v>68</v>
      </c>
      <c r="G414" s="14" t="s">
        <v>68</v>
      </c>
      <c r="H414" s="14" t="s">
        <v>68</v>
      </c>
      <c r="I414" s="14" t="s">
        <v>68</v>
      </c>
      <c r="J414" s="14" t="s">
        <v>68</v>
      </c>
      <c r="K414" s="14" t="s">
        <v>68</v>
      </c>
      <c r="L414" s="14" t="s">
        <v>68</v>
      </c>
      <c r="M414" s="14"/>
      <c r="N414" s="14"/>
      <c r="O414" s="15"/>
      <c r="P414" s="15"/>
      <c r="Q414" s="15"/>
      <c r="R414" s="15"/>
      <c r="S414" s="15"/>
      <c r="T414" s="15"/>
      <c r="U414" s="15"/>
      <c r="V414" s="15"/>
      <c r="W414" s="15"/>
    </row>
    <row r="415" spans="1:23" ht="45" x14ac:dyDescent="0.25">
      <c r="A415" s="14" t="s">
        <v>695</v>
      </c>
      <c r="B415" s="14" t="s">
        <v>68</v>
      </c>
      <c r="C415" s="14"/>
      <c r="D415" s="14" t="s">
        <v>246</v>
      </c>
      <c r="E415" s="14" t="s">
        <v>247</v>
      </c>
      <c r="F415" s="14" t="s">
        <v>68</v>
      </c>
      <c r="G415" s="14" t="s">
        <v>369</v>
      </c>
      <c r="H415" s="14" t="s">
        <v>68</v>
      </c>
      <c r="I415" s="14" t="s">
        <v>68</v>
      </c>
      <c r="J415" s="14" t="s">
        <v>102</v>
      </c>
      <c r="K415" s="14" t="s">
        <v>68</v>
      </c>
      <c r="L415" s="14" t="s">
        <v>68</v>
      </c>
      <c r="M415" s="14"/>
      <c r="N415" s="14"/>
      <c r="O415" s="15"/>
      <c r="P415" s="15"/>
      <c r="Q415" s="15"/>
      <c r="R415" s="15"/>
      <c r="S415" s="15"/>
      <c r="T415" s="15"/>
      <c r="U415" s="15"/>
      <c r="V415" s="15"/>
      <c r="W415" s="15"/>
    </row>
    <row r="416" spans="1:23" ht="60" x14ac:dyDescent="0.25">
      <c r="A416" s="14" t="s">
        <v>696</v>
      </c>
      <c r="B416" s="14" t="s">
        <v>68</v>
      </c>
      <c r="C416" s="14"/>
      <c r="D416" s="14" t="s">
        <v>208</v>
      </c>
      <c r="E416" s="14" t="s">
        <v>209</v>
      </c>
      <c r="F416" s="14" t="s">
        <v>68</v>
      </c>
      <c r="G416" s="14" t="s">
        <v>148</v>
      </c>
      <c r="H416" s="14" t="s">
        <v>68</v>
      </c>
      <c r="I416" s="14" t="s">
        <v>68</v>
      </c>
      <c r="J416" s="14" t="s">
        <v>102</v>
      </c>
      <c r="K416" s="14" t="s">
        <v>68</v>
      </c>
      <c r="L416" s="14" t="s">
        <v>68</v>
      </c>
      <c r="M416" s="14"/>
      <c r="N416" s="14"/>
      <c r="O416" s="15"/>
      <c r="P416" s="15"/>
      <c r="Q416" s="15"/>
      <c r="R416" s="15"/>
      <c r="S416" s="15"/>
      <c r="T416" s="15"/>
      <c r="U416" s="15"/>
      <c r="V416" s="15"/>
      <c r="W416" s="15"/>
    </row>
    <row r="417" spans="1:23" x14ac:dyDescent="0.25">
      <c r="A417" s="14" t="s">
        <v>697</v>
      </c>
      <c r="B417" s="14" t="s">
        <v>68</v>
      </c>
      <c r="C417" s="14"/>
      <c r="D417" s="14" t="s">
        <v>68</v>
      </c>
      <c r="E417" s="14" t="s">
        <v>68</v>
      </c>
      <c r="F417" s="14" t="s">
        <v>102</v>
      </c>
      <c r="G417" s="14" t="s">
        <v>68</v>
      </c>
      <c r="H417" s="14" t="s">
        <v>68</v>
      </c>
      <c r="I417" s="14" t="s">
        <v>68</v>
      </c>
      <c r="J417" s="14" t="s">
        <v>102</v>
      </c>
      <c r="K417" s="14" t="s">
        <v>68</v>
      </c>
      <c r="L417" s="14" t="s">
        <v>68</v>
      </c>
      <c r="M417" s="14"/>
      <c r="N417" s="14"/>
      <c r="O417" s="15"/>
      <c r="P417" s="15"/>
      <c r="Q417" s="15"/>
      <c r="R417" s="15"/>
      <c r="S417" s="15"/>
      <c r="T417" s="15"/>
      <c r="U417" s="15"/>
      <c r="V417" s="15"/>
      <c r="W417" s="15"/>
    </row>
    <row r="418" spans="1:23" ht="60" x14ac:dyDescent="0.25">
      <c r="A418" s="14" t="s">
        <v>698</v>
      </c>
      <c r="B418" s="14" t="s">
        <v>68</v>
      </c>
      <c r="C418" s="14"/>
      <c r="D418" s="14" t="s">
        <v>235</v>
      </c>
      <c r="E418" s="14" t="s">
        <v>236</v>
      </c>
      <c r="F418" s="14" t="s">
        <v>74</v>
      </c>
      <c r="G418" s="14" t="s">
        <v>68</v>
      </c>
      <c r="H418" s="14" t="s">
        <v>68</v>
      </c>
      <c r="I418" s="14" t="s">
        <v>68</v>
      </c>
      <c r="J418" s="14" t="s">
        <v>74</v>
      </c>
      <c r="K418" s="14" t="s">
        <v>68</v>
      </c>
      <c r="L418" s="14" t="s">
        <v>68</v>
      </c>
      <c r="M418" s="14"/>
      <c r="N418" s="14"/>
      <c r="O418" s="15"/>
      <c r="P418" s="15"/>
      <c r="Q418" s="15"/>
      <c r="R418" s="15"/>
      <c r="S418" s="15"/>
      <c r="T418" s="15"/>
      <c r="U418" s="15"/>
      <c r="V418" s="15"/>
      <c r="W418" s="15"/>
    </row>
    <row r="419" spans="1:23" ht="60" x14ac:dyDescent="0.25">
      <c r="A419" s="14" t="s">
        <v>699</v>
      </c>
      <c r="B419" s="14" t="s">
        <v>68</v>
      </c>
      <c r="C419" s="14"/>
      <c r="D419" s="14" t="s">
        <v>215</v>
      </c>
      <c r="E419" s="14" t="s">
        <v>216</v>
      </c>
      <c r="F419" s="14" t="s">
        <v>68</v>
      </c>
      <c r="G419" s="14" t="s">
        <v>74</v>
      </c>
      <c r="H419" s="14" t="s">
        <v>68</v>
      </c>
      <c r="I419" s="14" t="s">
        <v>68</v>
      </c>
      <c r="J419" s="14" t="s">
        <v>74</v>
      </c>
      <c r="K419" s="14" t="s">
        <v>68</v>
      </c>
      <c r="L419" s="14" t="s">
        <v>68</v>
      </c>
      <c r="M419" s="14"/>
      <c r="N419" s="14"/>
      <c r="O419" s="15"/>
      <c r="P419" s="15"/>
      <c r="Q419" s="15"/>
      <c r="R419" s="15"/>
      <c r="S419" s="15"/>
      <c r="T419" s="15"/>
      <c r="U419" s="15"/>
      <c r="V419" s="15"/>
      <c r="W419" s="15"/>
    </row>
    <row r="420" spans="1:23" ht="45" x14ac:dyDescent="0.25">
      <c r="A420" s="14" t="s">
        <v>700</v>
      </c>
      <c r="B420" s="14" t="s">
        <v>68</v>
      </c>
      <c r="C420" s="14"/>
      <c r="D420" s="14" t="s">
        <v>288</v>
      </c>
      <c r="E420" s="14" t="s">
        <v>296</v>
      </c>
      <c r="F420" s="14" t="s">
        <v>68</v>
      </c>
      <c r="G420" s="14" t="s">
        <v>68</v>
      </c>
      <c r="H420" s="14" t="s">
        <v>68</v>
      </c>
      <c r="I420" s="14" t="s">
        <v>68</v>
      </c>
      <c r="J420" s="14" t="s">
        <v>68</v>
      </c>
      <c r="K420" s="14" t="s">
        <v>68</v>
      </c>
      <c r="L420" s="14" t="s">
        <v>68</v>
      </c>
      <c r="M420" s="14"/>
      <c r="N420" s="14"/>
      <c r="O420" s="15"/>
      <c r="P420" s="15"/>
      <c r="Q420" s="15"/>
      <c r="R420" s="15"/>
      <c r="S420" s="15"/>
      <c r="T420" s="15"/>
      <c r="U420" s="15"/>
      <c r="V420" s="15"/>
      <c r="W420" s="15"/>
    </row>
    <row r="421" spans="1:23" ht="45" x14ac:dyDescent="0.25">
      <c r="A421" s="14" t="s">
        <v>701</v>
      </c>
      <c r="B421" s="14" t="s">
        <v>68</v>
      </c>
      <c r="C421" s="14"/>
      <c r="D421" s="14" t="s">
        <v>256</v>
      </c>
      <c r="E421" s="14" t="s">
        <v>291</v>
      </c>
      <c r="F421" s="14" t="s">
        <v>68</v>
      </c>
      <c r="G421" s="14" t="s">
        <v>68</v>
      </c>
      <c r="H421" s="14" t="s">
        <v>68</v>
      </c>
      <c r="I421" s="14" t="s">
        <v>68</v>
      </c>
      <c r="J421" s="14" t="s">
        <v>68</v>
      </c>
      <c r="K421" s="14" t="s">
        <v>68</v>
      </c>
      <c r="L421" s="14" t="s">
        <v>68</v>
      </c>
      <c r="M421" s="14"/>
      <c r="N421" s="14"/>
      <c r="O421" s="15"/>
      <c r="P421" s="15"/>
      <c r="Q421" s="15"/>
      <c r="R421" s="15"/>
      <c r="S421" s="15"/>
      <c r="T421" s="15"/>
      <c r="U421" s="15"/>
      <c r="V421" s="15"/>
      <c r="W421" s="15"/>
    </row>
    <row r="422" spans="1:23" ht="45" x14ac:dyDescent="0.25">
      <c r="A422" s="14" t="s">
        <v>702</v>
      </c>
      <c r="B422" s="14" t="s">
        <v>68</v>
      </c>
      <c r="C422" s="14"/>
      <c r="D422" s="14" t="s">
        <v>246</v>
      </c>
      <c r="E422" s="14" t="s">
        <v>247</v>
      </c>
      <c r="F422" s="14" t="s">
        <v>68</v>
      </c>
      <c r="G422" s="14" t="s">
        <v>102</v>
      </c>
      <c r="H422" s="14" t="s">
        <v>68</v>
      </c>
      <c r="I422" s="14" t="s">
        <v>68</v>
      </c>
      <c r="J422" s="14" t="s">
        <v>102</v>
      </c>
      <c r="K422" s="14" t="s">
        <v>68</v>
      </c>
      <c r="L422" s="14" t="s">
        <v>68</v>
      </c>
      <c r="M422" s="14"/>
      <c r="N422" s="14"/>
      <c r="O422" s="15"/>
      <c r="P422" s="15"/>
      <c r="Q422" s="15"/>
      <c r="R422" s="15"/>
      <c r="S422" s="15"/>
      <c r="T422" s="15"/>
      <c r="U422" s="15"/>
      <c r="V422" s="15"/>
      <c r="W422" s="15"/>
    </row>
    <row r="423" spans="1:23" ht="45" x14ac:dyDescent="0.25">
      <c r="A423" s="14" t="s">
        <v>703</v>
      </c>
      <c r="B423" s="14" t="s">
        <v>68</v>
      </c>
      <c r="C423" s="14"/>
      <c r="D423" s="14" t="s">
        <v>284</v>
      </c>
      <c r="E423" s="14" t="s">
        <v>285</v>
      </c>
      <c r="F423" s="14" t="s">
        <v>68</v>
      </c>
      <c r="G423" s="14" t="s">
        <v>68</v>
      </c>
      <c r="H423" s="14" t="s">
        <v>68</v>
      </c>
      <c r="I423" s="14" t="s">
        <v>68</v>
      </c>
      <c r="J423" s="14" t="s">
        <v>68</v>
      </c>
      <c r="K423" s="14" t="s">
        <v>68</v>
      </c>
      <c r="L423" s="14" t="s">
        <v>68</v>
      </c>
      <c r="M423" s="14"/>
      <c r="N423" s="14"/>
      <c r="O423" s="15"/>
      <c r="P423" s="15"/>
      <c r="Q423" s="15"/>
      <c r="R423" s="15"/>
      <c r="S423" s="15"/>
      <c r="T423" s="15"/>
      <c r="U423" s="15"/>
      <c r="V423" s="15"/>
      <c r="W423" s="15"/>
    </row>
    <row r="424" spans="1:23" ht="45" x14ac:dyDescent="0.25">
      <c r="A424" s="14" t="s">
        <v>704</v>
      </c>
      <c r="B424" s="14" t="s">
        <v>68</v>
      </c>
      <c r="C424" s="14"/>
      <c r="D424" s="14" t="s">
        <v>199</v>
      </c>
      <c r="E424" s="14" t="s">
        <v>68</v>
      </c>
      <c r="F424" s="14" t="s">
        <v>68</v>
      </c>
      <c r="G424" s="14" t="s">
        <v>68</v>
      </c>
      <c r="H424" s="14" t="s">
        <v>68</v>
      </c>
      <c r="I424" s="14" t="s">
        <v>68</v>
      </c>
      <c r="J424" s="14" t="s">
        <v>68</v>
      </c>
      <c r="K424" s="14" t="s">
        <v>68</v>
      </c>
      <c r="L424" s="14" t="s">
        <v>68</v>
      </c>
      <c r="M424" s="14"/>
      <c r="N424" s="14"/>
      <c r="O424" s="15"/>
      <c r="P424" s="15"/>
      <c r="Q424" s="15"/>
      <c r="R424" s="15"/>
      <c r="S424" s="15"/>
      <c r="T424" s="15"/>
      <c r="U424" s="15"/>
      <c r="V424" s="15"/>
      <c r="W424" s="15"/>
    </row>
    <row r="425" spans="1:23" ht="45" x14ac:dyDescent="0.25">
      <c r="A425" s="14" t="s">
        <v>705</v>
      </c>
      <c r="B425" s="14" t="s">
        <v>68</v>
      </c>
      <c r="C425" s="14"/>
      <c r="D425" s="14" t="s">
        <v>258</v>
      </c>
      <c r="E425" s="14" t="s">
        <v>227</v>
      </c>
      <c r="F425" s="14" t="s">
        <v>68</v>
      </c>
      <c r="G425" s="14" t="s">
        <v>141</v>
      </c>
      <c r="H425" s="14" t="s">
        <v>68</v>
      </c>
      <c r="I425" s="14" t="s">
        <v>68</v>
      </c>
      <c r="J425" s="14" t="s">
        <v>102</v>
      </c>
      <c r="K425" s="14" t="s">
        <v>68</v>
      </c>
      <c r="L425" s="14" t="s">
        <v>68</v>
      </c>
      <c r="M425" s="14"/>
      <c r="N425" s="14"/>
      <c r="O425" s="15"/>
      <c r="P425" s="15"/>
      <c r="Q425" s="15"/>
      <c r="R425" s="15"/>
      <c r="S425" s="15"/>
      <c r="T425" s="15"/>
      <c r="U425" s="15"/>
      <c r="V425" s="15"/>
      <c r="W425" s="15"/>
    </row>
    <row r="426" spans="1:23" ht="45" x14ac:dyDescent="0.25">
      <c r="A426" s="14" t="s">
        <v>706</v>
      </c>
      <c r="B426" s="14" t="s">
        <v>68</v>
      </c>
      <c r="C426" s="14"/>
      <c r="D426" s="14" t="s">
        <v>232</v>
      </c>
      <c r="E426" s="14" t="s">
        <v>209</v>
      </c>
      <c r="F426" s="14" t="s">
        <v>68</v>
      </c>
      <c r="G426" s="14" t="s">
        <v>68</v>
      </c>
      <c r="H426" s="14" t="s">
        <v>68</v>
      </c>
      <c r="I426" s="14" t="s">
        <v>68</v>
      </c>
      <c r="J426" s="14" t="s">
        <v>68</v>
      </c>
      <c r="K426" s="14" t="s">
        <v>68</v>
      </c>
      <c r="L426" s="14" t="s">
        <v>68</v>
      </c>
      <c r="M426" s="14"/>
      <c r="N426" s="14"/>
      <c r="O426" s="15"/>
      <c r="P426" s="15"/>
      <c r="Q426" s="15"/>
      <c r="R426" s="15"/>
      <c r="S426" s="15"/>
      <c r="T426" s="15"/>
      <c r="U426" s="15"/>
      <c r="V426" s="15"/>
      <c r="W426" s="15"/>
    </row>
    <row r="427" spans="1:23" ht="45" x14ac:dyDescent="0.25">
      <c r="A427" s="14" t="s">
        <v>707</v>
      </c>
      <c r="B427" s="14" t="s">
        <v>68</v>
      </c>
      <c r="C427" s="14"/>
      <c r="D427" s="14" t="s">
        <v>249</v>
      </c>
      <c r="E427" s="14" t="s">
        <v>250</v>
      </c>
      <c r="F427" s="14" t="s">
        <v>68</v>
      </c>
      <c r="G427" s="14" t="s">
        <v>68</v>
      </c>
      <c r="H427" s="14" t="s">
        <v>68</v>
      </c>
      <c r="I427" s="14" t="s">
        <v>68</v>
      </c>
      <c r="J427" s="14" t="s">
        <v>68</v>
      </c>
      <c r="K427" s="14" t="s">
        <v>68</v>
      </c>
      <c r="L427" s="14" t="s">
        <v>68</v>
      </c>
      <c r="M427" s="14"/>
      <c r="N427" s="14"/>
      <c r="O427" s="15"/>
      <c r="P427" s="15"/>
      <c r="Q427" s="15"/>
      <c r="R427" s="15"/>
      <c r="S427" s="15"/>
      <c r="T427" s="15"/>
      <c r="U427" s="15"/>
      <c r="V427" s="15"/>
      <c r="W427" s="15"/>
    </row>
    <row r="428" spans="1:23" ht="45" x14ac:dyDescent="0.25">
      <c r="A428" s="14" t="s">
        <v>708</v>
      </c>
      <c r="B428" s="14" t="s">
        <v>68</v>
      </c>
      <c r="C428" s="14"/>
      <c r="D428" s="14" t="s">
        <v>284</v>
      </c>
      <c r="E428" s="14" t="s">
        <v>285</v>
      </c>
      <c r="F428" s="14" t="s">
        <v>68</v>
      </c>
      <c r="G428" s="14" t="s">
        <v>68</v>
      </c>
      <c r="H428" s="14" t="s">
        <v>68</v>
      </c>
      <c r="I428" s="14" t="s">
        <v>68</v>
      </c>
      <c r="J428" s="14" t="s">
        <v>68</v>
      </c>
      <c r="K428" s="14" t="s">
        <v>68</v>
      </c>
      <c r="L428" s="14" t="s">
        <v>68</v>
      </c>
      <c r="M428" s="14"/>
      <c r="N428" s="14"/>
      <c r="O428" s="15"/>
      <c r="P428" s="15"/>
      <c r="Q428" s="15"/>
      <c r="R428" s="15"/>
      <c r="S428" s="15"/>
      <c r="T428" s="15"/>
      <c r="U428" s="15"/>
      <c r="V428" s="15"/>
      <c r="W428" s="15"/>
    </row>
    <row r="429" spans="1:23" x14ac:dyDescent="0.25">
      <c r="A429" s="14" t="s">
        <v>709</v>
      </c>
      <c r="B429" s="14" t="s">
        <v>68</v>
      </c>
      <c r="C429" s="14"/>
      <c r="D429" s="14" t="s">
        <v>68</v>
      </c>
      <c r="E429" s="14" t="s">
        <v>68</v>
      </c>
      <c r="F429" s="14" t="s">
        <v>88</v>
      </c>
      <c r="G429" s="14" t="s">
        <v>68</v>
      </c>
      <c r="H429" s="14" t="s">
        <v>68</v>
      </c>
      <c r="I429" s="14" t="s">
        <v>68</v>
      </c>
      <c r="J429" s="14" t="s">
        <v>102</v>
      </c>
      <c r="K429" s="14" t="s">
        <v>68</v>
      </c>
      <c r="L429" s="14" t="s">
        <v>68</v>
      </c>
      <c r="M429" s="14"/>
      <c r="N429" s="14"/>
      <c r="O429" s="15"/>
      <c r="P429" s="15"/>
      <c r="Q429" s="15"/>
      <c r="R429" s="15"/>
      <c r="S429" s="15"/>
      <c r="T429" s="15"/>
      <c r="U429" s="15"/>
      <c r="V429" s="15"/>
      <c r="W429" s="15"/>
    </row>
    <row r="430" spans="1:23" ht="45" x14ac:dyDescent="0.25">
      <c r="A430" s="14" t="s">
        <v>710</v>
      </c>
      <c r="B430" s="14" t="s">
        <v>68</v>
      </c>
      <c r="C430" s="14"/>
      <c r="D430" s="14" t="s">
        <v>256</v>
      </c>
      <c r="E430" s="14" t="s">
        <v>223</v>
      </c>
      <c r="F430" s="14" t="s">
        <v>68</v>
      </c>
      <c r="G430" s="14" t="s">
        <v>68</v>
      </c>
      <c r="H430" s="14" t="s">
        <v>68</v>
      </c>
      <c r="I430" s="14" t="s">
        <v>68</v>
      </c>
      <c r="J430" s="14" t="s">
        <v>68</v>
      </c>
      <c r="K430" s="14" t="s">
        <v>68</v>
      </c>
      <c r="L430" s="14" t="s">
        <v>68</v>
      </c>
      <c r="M430" s="14"/>
      <c r="N430" s="14"/>
      <c r="O430" s="15"/>
      <c r="P430" s="15"/>
      <c r="Q430" s="15"/>
      <c r="R430" s="15"/>
      <c r="S430" s="15"/>
      <c r="T430" s="15"/>
      <c r="U430" s="15"/>
      <c r="V430" s="15"/>
      <c r="W430" s="15"/>
    </row>
    <row r="431" spans="1:23" ht="60" x14ac:dyDescent="0.25">
      <c r="A431" s="14" t="s">
        <v>711</v>
      </c>
      <c r="B431" s="14" t="s">
        <v>68</v>
      </c>
      <c r="C431" s="14"/>
      <c r="D431" s="14" t="s">
        <v>235</v>
      </c>
      <c r="E431" s="14" t="s">
        <v>236</v>
      </c>
      <c r="F431" s="14" t="s">
        <v>617</v>
      </c>
      <c r="G431" s="14" t="s">
        <v>68</v>
      </c>
      <c r="H431" s="14" t="s">
        <v>68</v>
      </c>
      <c r="I431" s="14" t="s">
        <v>68</v>
      </c>
      <c r="J431" s="14" t="s">
        <v>74</v>
      </c>
      <c r="K431" s="14" t="s">
        <v>68</v>
      </c>
      <c r="L431" s="14" t="s">
        <v>68</v>
      </c>
      <c r="M431" s="14"/>
      <c r="N431" s="14"/>
      <c r="O431" s="15"/>
      <c r="P431" s="15"/>
      <c r="Q431" s="15"/>
      <c r="R431" s="15"/>
      <c r="S431" s="15"/>
      <c r="T431" s="15"/>
      <c r="U431" s="15"/>
      <c r="V431" s="15"/>
      <c r="W431" s="15"/>
    </row>
    <row r="432" spans="1:23" ht="45" x14ac:dyDescent="0.25">
      <c r="A432" s="14" t="s">
        <v>712</v>
      </c>
      <c r="B432" s="14" t="s">
        <v>68</v>
      </c>
      <c r="C432" s="14"/>
      <c r="D432" s="14" t="s">
        <v>241</v>
      </c>
      <c r="E432" s="14" t="s">
        <v>236</v>
      </c>
      <c r="F432" s="14" t="s">
        <v>91</v>
      </c>
      <c r="G432" s="14" t="s">
        <v>68</v>
      </c>
      <c r="H432" s="14" t="s">
        <v>68</v>
      </c>
      <c r="I432" s="14" t="s">
        <v>68</v>
      </c>
      <c r="J432" s="14" t="s">
        <v>201</v>
      </c>
      <c r="K432" s="14" t="s">
        <v>68</v>
      </c>
      <c r="L432" s="14" t="s">
        <v>68</v>
      </c>
      <c r="M432" s="14"/>
      <c r="N432" s="14"/>
      <c r="O432" s="15"/>
      <c r="P432" s="15"/>
      <c r="Q432" s="15"/>
      <c r="R432" s="15"/>
      <c r="S432" s="15"/>
      <c r="T432" s="15"/>
      <c r="U432" s="15"/>
      <c r="V432" s="15"/>
      <c r="W432" s="15"/>
    </row>
    <row r="433" spans="1:23" ht="45" x14ac:dyDescent="0.25">
      <c r="A433" s="14" t="s">
        <v>713</v>
      </c>
      <c r="B433" s="14" t="s">
        <v>68</v>
      </c>
      <c r="C433" s="14"/>
      <c r="D433" s="14" t="s">
        <v>284</v>
      </c>
      <c r="E433" s="14" t="s">
        <v>285</v>
      </c>
      <c r="F433" s="14" t="s">
        <v>68</v>
      </c>
      <c r="G433" s="14" t="s">
        <v>68</v>
      </c>
      <c r="H433" s="14" t="s">
        <v>68</v>
      </c>
      <c r="I433" s="14" t="s">
        <v>68</v>
      </c>
      <c r="J433" s="14" t="s">
        <v>68</v>
      </c>
      <c r="K433" s="14" t="s">
        <v>68</v>
      </c>
      <c r="L433" s="14" t="s">
        <v>68</v>
      </c>
      <c r="M433" s="14"/>
      <c r="N433" s="14"/>
      <c r="O433" s="15"/>
      <c r="P433" s="15"/>
      <c r="Q433" s="15"/>
      <c r="R433" s="15"/>
      <c r="S433" s="15"/>
      <c r="T433" s="15"/>
      <c r="U433" s="15"/>
      <c r="V433" s="15"/>
      <c r="W433" s="15"/>
    </row>
    <row r="434" spans="1:23" ht="45" x14ac:dyDescent="0.25">
      <c r="A434" s="14" t="s">
        <v>714</v>
      </c>
      <c r="B434" s="14" t="s">
        <v>68</v>
      </c>
      <c r="C434" s="14"/>
      <c r="D434" s="14" t="s">
        <v>256</v>
      </c>
      <c r="E434" s="14" t="s">
        <v>223</v>
      </c>
      <c r="F434" s="14" t="s">
        <v>68</v>
      </c>
      <c r="G434" s="14" t="s">
        <v>74</v>
      </c>
      <c r="H434" s="14" t="s">
        <v>68</v>
      </c>
      <c r="I434" s="14" t="s">
        <v>68</v>
      </c>
      <c r="J434" s="14" t="s">
        <v>74</v>
      </c>
      <c r="K434" s="14" t="s">
        <v>68</v>
      </c>
      <c r="L434" s="14" t="s">
        <v>68</v>
      </c>
      <c r="M434" s="14"/>
      <c r="N434" s="14"/>
      <c r="O434" s="15"/>
      <c r="P434" s="15"/>
      <c r="Q434" s="15"/>
      <c r="R434" s="15"/>
      <c r="S434" s="15"/>
      <c r="T434" s="15"/>
      <c r="U434" s="15"/>
      <c r="V434" s="15"/>
      <c r="W434" s="15"/>
    </row>
    <row r="435" spans="1:23" ht="45" x14ac:dyDescent="0.25">
      <c r="A435" s="14" t="s">
        <v>715</v>
      </c>
      <c r="B435" s="14" t="s">
        <v>68</v>
      </c>
      <c r="C435" s="14"/>
      <c r="D435" s="14" t="s">
        <v>246</v>
      </c>
      <c r="E435" s="14" t="s">
        <v>247</v>
      </c>
      <c r="F435" s="14" t="s">
        <v>68</v>
      </c>
      <c r="G435" s="14" t="s">
        <v>68</v>
      </c>
      <c r="H435" s="14" t="s">
        <v>68</v>
      </c>
      <c r="I435" s="14" t="s">
        <v>68</v>
      </c>
      <c r="J435" s="14" t="s">
        <v>68</v>
      </c>
      <c r="K435" s="14" t="s">
        <v>68</v>
      </c>
      <c r="L435" s="14" t="s">
        <v>68</v>
      </c>
      <c r="M435" s="14"/>
      <c r="N435" s="14"/>
      <c r="O435" s="15"/>
      <c r="P435" s="15"/>
      <c r="Q435" s="15"/>
      <c r="R435" s="15"/>
      <c r="S435" s="15"/>
      <c r="T435" s="15"/>
      <c r="U435" s="15"/>
      <c r="V435" s="15"/>
      <c r="W435" s="15"/>
    </row>
    <row r="436" spans="1:23" ht="45" x14ac:dyDescent="0.25">
      <c r="A436" s="14" t="s">
        <v>716</v>
      </c>
      <c r="B436" s="14" t="s">
        <v>68</v>
      </c>
      <c r="C436" s="14"/>
      <c r="D436" s="14" t="s">
        <v>249</v>
      </c>
      <c r="E436" s="14" t="s">
        <v>250</v>
      </c>
      <c r="F436" s="14" t="s">
        <v>68</v>
      </c>
      <c r="G436" s="14" t="s">
        <v>68</v>
      </c>
      <c r="H436" s="14" t="s">
        <v>68</v>
      </c>
      <c r="I436" s="14" t="s">
        <v>68</v>
      </c>
      <c r="J436" s="14" t="s">
        <v>68</v>
      </c>
      <c r="K436" s="14" t="s">
        <v>68</v>
      </c>
      <c r="L436" s="14" t="s">
        <v>68</v>
      </c>
      <c r="M436" s="14"/>
      <c r="N436" s="14"/>
      <c r="O436" s="15"/>
      <c r="P436" s="15"/>
      <c r="Q436" s="15"/>
      <c r="R436" s="15"/>
      <c r="S436" s="15"/>
      <c r="T436" s="15"/>
      <c r="U436" s="15"/>
      <c r="V436" s="15"/>
      <c r="W436" s="15"/>
    </row>
    <row r="437" spans="1:23" ht="60" x14ac:dyDescent="0.25">
      <c r="A437" s="14" t="s">
        <v>717</v>
      </c>
      <c r="B437" s="14" t="s">
        <v>68</v>
      </c>
      <c r="C437" s="14"/>
      <c r="D437" s="14" t="s">
        <v>235</v>
      </c>
      <c r="E437" s="14" t="s">
        <v>236</v>
      </c>
      <c r="F437" s="14" t="s">
        <v>74</v>
      </c>
      <c r="G437" s="14" t="s">
        <v>68</v>
      </c>
      <c r="H437" s="14" t="s">
        <v>68</v>
      </c>
      <c r="I437" s="14" t="s">
        <v>68</v>
      </c>
      <c r="J437" s="14" t="s">
        <v>74</v>
      </c>
      <c r="K437" s="14" t="s">
        <v>68</v>
      </c>
      <c r="L437" s="14" t="s">
        <v>68</v>
      </c>
      <c r="M437" s="14"/>
      <c r="N437" s="14"/>
      <c r="O437" s="15"/>
      <c r="P437" s="15"/>
      <c r="Q437" s="15"/>
      <c r="R437" s="15"/>
      <c r="S437" s="15"/>
      <c r="T437" s="15"/>
      <c r="U437" s="15"/>
      <c r="V437" s="15"/>
      <c r="W437" s="15"/>
    </row>
    <row r="438" spans="1:23" ht="45" x14ac:dyDescent="0.25">
      <c r="A438" s="14" t="s">
        <v>718</v>
      </c>
      <c r="B438" s="14" t="s">
        <v>68</v>
      </c>
      <c r="C438" s="14"/>
      <c r="D438" s="14" t="s">
        <v>288</v>
      </c>
      <c r="E438" s="14" t="s">
        <v>296</v>
      </c>
      <c r="F438" s="14" t="s">
        <v>68</v>
      </c>
      <c r="G438" s="14" t="s">
        <v>68</v>
      </c>
      <c r="H438" s="14" t="s">
        <v>68</v>
      </c>
      <c r="I438" s="14" t="s">
        <v>68</v>
      </c>
      <c r="J438" s="14" t="s">
        <v>68</v>
      </c>
      <c r="K438" s="14" t="s">
        <v>68</v>
      </c>
      <c r="L438" s="14" t="s">
        <v>68</v>
      </c>
      <c r="M438" s="14"/>
      <c r="N438" s="14"/>
      <c r="O438" s="15"/>
      <c r="P438" s="15"/>
      <c r="Q438" s="15"/>
      <c r="R438" s="15"/>
      <c r="S438" s="15"/>
      <c r="T438" s="15"/>
      <c r="U438" s="15"/>
      <c r="V438" s="15"/>
      <c r="W438" s="15"/>
    </row>
    <row r="439" spans="1:23" ht="45" x14ac:dyDescent="0.25">
      <c r="A439" s="14" t="s">
        <v>719</v>
      </c>
      <c r="B439" s="14" t="s">
        <v>68</v>
      </c>
      <c r="C439" s="14"/>
      <c r="D439" s="14" t="s">
        <v>288</v>
      </c>
      <c r="E439" s="14" t="s">
        <v>296</v>
      </c>
      <c r="F439" s="14" t="s">
        <v>68</v>
      </c>
      <c r="G439" s="14" t="s">
        <v>68</v>
      </c>
      <c r="H439" s="14" t="s">
        <v>68</v>
      </c>
      <c r="I439" s="14" t="s">
        <v>68</v>
      </c>
      <c r="J439" s="14" t="s">
        <v>68</v>
      </c>
      <c r="K439" s="14" t="s">
        <v>68</v>
      </c>
      <c r="L439" s="14" t="s">
        <v>68</v>
      </c>
      <c r="M439" s="14"/>
      <c r="N439" s="14"/>
      <c r="O439" s="15"/>
      <c r="P439" s="15"/>
      <c r="Q439" s="15"/>
      <c r="R439" s="15"/>
      <c r="S439" s="15"/>
      <c r="T439" s="15"/>
      <c r="U439" s="15"/>
      <c r="V439" s="15"/>
      <c r="W439" s="15"/>
    </row>
    <row r="440" spans="1:23" ht="45" x14ac:dyDescent="0.25">
      <c r="A440" s="14" t="s">
        <v>720</v>
      </c>
      <c r="B440" s="14" t="s">
        <v>68</v>
      </c>
      <c r="C440" s="14"/>
      <c r="D440" s="14" t="s">
        <v>249</v>
      </c>
      <c r="E440" s="14" t="s">
        <v>250</v>
      </c>
      <c r="F440" s="14" t="s">
        <v>68</v>
      </c>
      <c r="G440" s="14" t="s">
        <v>68</v>
      </c>
      <c r="H440" s="14" t="s">
        <v>68</v>
      </c>
      <c r="I440" s="14" t="s">
        <v>68</v>
      </c>
      <c r="J440" s="14" t="s">
        <v>68</v>
      </c>
      <c r="K440" s="14" t="s">
        <v>68</v>
      </c>
      <c r="L440" s="14" t="s">
        <v>68</v>
      </c>
      <c r="M440" s="14"/>
      <c r="N440" s="14"/>
      <c r="O440" s="15"/>
      <c r="P440" s="15"/>
      <c r="Q440" s="15"/>
      <c r="R440" s="15"/>
      <c r="S440" s="15"/>
      <c r="T440" s="15"/>
      <c r="U440" s="15"/>
      <c r="V440" s="15"/>
      <c r="W440" s="15"/>
    </row>
    <row r="441" spans="1:23" ht="45" x14ac:dyDescent="0.25">
      <c r="A441" s="14" t="s">
        <v>721</v>
      </c>
      <c r="B441" s="14" t="s">
        <v>68</v>
      </c>
      <c r="C441" s="14"/>
      <c r="D441" s="14" t="s">
        <v>312</v>
      </c>
      <c r="E441" s="14" t="s">
        <v>205</v>
      </c>
      <c r="F441" s="14" t="s">
        <v>68</v>
      </c>
      <c r="G441" s="14" t="s">
        <v>68</v>
      </c>
      <c r="H441" s="14" t="s">
        <v>68</v>
      </c>
      <c r="I441" s="14" t="s">
        <v>68</v>
      </c>
      <c r="J441" s="14" t="s">
        <v>68</v>
      </c>
      <c r="K441" s="14" t="s">
        <v>68</v>
      </c>
      <c r="L441" s="14" t="s">
        <v>68</v>
      </c>
      <c r="M441" s="14"/>
      <c r="N441" s="14"/>
      <c r="O441" s="15"/>
      <c r="P441" s="15"/>
      <c r="Q441" s="15"/>
      <c r="R441" s="15"/>
      <c r="S441" s="15"/>
      <c r="T441" s="15"/>
      <c r="U441" s="15"/>
      <c r="V441" s="15"/>
      <c r="W441" s="15"/>
    </row>
    <row r="442" spans="1:23" ht="45" x14ac:dyDescent="0.25">
      <c r="A442" s="14" t="s">
        <v>722</v>
      </c>
      <c r="B442" s="14" t="s">
        <v>68</v>
      </c>
      <c r="C442" s="14"/>
      <c r="D442" s="14" t="s">
        <v>288</v>
      </c>
      <c r="E442" s="14" t="s">
        <v>296</v>
      </c>
      <c r="F442" s="14" t="s">
        <v>68</v>
      </c>
      <c r="G442" s="14" t="s">
        <v>68</v>
      </c>
      <c r="H442" s="14" t="s">
        <v>68</v>
      </c>
      <c r="I442" s="14" t="s">
        <v>68</v>
      </c>
      <c r="J442" s="14" t="s">
        <v>68</v>
      </c>
      <c r="K442" s="14" t="s">
        <v>68</v>
      </c>
      <c r="L442" s="14" t="s">
        <v>68</v>
      </c>
      <c r="M442" s="14"/>
      <c r="N442" s="14"/>
      <c r="O442" s="15"/>
      <c r="P442" s="15"/>
      <c r="Q442" s="15"/>
      <c r="R442" s="15"/>
      <c r="S442" s="15"/>
      <c r="T442" s="15"/>
      <c r="U442" s="15"/>
      <c r="V442" s="15"/>
      <c r="W442" s="15"/>
    </row>
    <row r="443" spans="1:23" x14ac:dyDescent="0.25">
      <c r="A443" s="14" t="s">
        <v>723</v>
      </c>
      <c r="B443" s="14" t="s">
        <v>68</v>
      </c>
      <c r="C443" s="14"/>
      <c r="D443" s="14" t="s">
        <v>68</v>
      </c>
      <c r="E443" s="14" t="s">
        <v>68</v>
      </c>
      <c r="F443" s="14" t="s">
        <v>68</v>
      </c>
      <c r="G443" s="14" t="s">
        <v>68</v>
      </c>
      <c r="H443" s="14" t="s">
        <v>68</v>
      </c>
      <c r="I443" s="14" t="s">
        <v>68</v>
      </c>
      <c r="J443" s="14" t="s">
        <v>68</v>
      </c>
      <c r="K443" s="14" t="s">
        <v>68</v>
      </c>
      <c r="L443" s="14" t="s">
        <v>68</v>
      </c>
      <c r="M443" s="14"/>
      <c r="N443" s="14"/>
      <c r="O443" s="15"/>
      <c r="P443" s="15"/>
      <c r="Q443" s="15"/>
      <c r="R443" s="15"/>
      <c r="S443" s="15"/>
      <c r="T443" s="15"/>
      <c r="U443" s="15"/>
      <c r="V443" s="15"/>
      <c r="W443" s="15"/>
    </row>
    <row r="444" spans="1:23" ht="60" x14ac:dyDescent="0.25">
      <c r="A444" s="14" t="s">
        <v>724</v>
      </c>
      <c r="B444" s="14" t="s">
        <v>68</v>
      </c>
      <c r="C444" s="14"/>
      <c r="D444" s="14" t="s">
        <v>314</v>
      </c>
      <c r="E444" s="14" t="s">
        <v>68</v>
      </c>
      <c r="F444" s="14" t="s">
        <v>68</v>
      </c>
      <c r="G444" s="14" t="s">
        <v>361</v>
      </c>
      <c r="H444" s="14" t="s">
        <v>68</v>
      </c>
      <c r="I444" s="14" t="s">
        <v>68</v>
      </c>
      <c r="J444" s="14" t="s">
        <v>102</v>
      </c>
      <c r="K444" s="14" t="s">
        <v>68</v>
      </c>
      <c r="L444" s="14" t="s">
        <v>68</v>
      </c>
      <c r="M444" s="14"/>
      <c r="N444" s="14"/>
      <c r="O444" s="15"/>
      <c r="P444" s="15"/>
      <c r="Q444" s="15"/>
      <c r="R444" s="15"/>
      <c r="S444" s="15"/>
      <c r="T444" s="15"/>
      <c r="U444" s="15"/>
      <c r="V444" s="15"/>
      <c r="W444" s="15"/>
    </row>
    <row r="445" spans="1:23" ht="60" x14ac:dyDescent="0.25">
      <c r="A445" s="14" t="s">
        <v>725</v>
      </c>
      <c r="B445" s="14" t="s">
        <v>68</v>
      </c>
      <c r="C445" s="14"/>
      <c r="D445" s="14" t="s">
        <v>208</v>
      </c>
      <c r="E445" s="14" t="s">
        <v>209</v>
      </c>
      <c r="F445" s="14" t="s">
        <v>68</v>
      </c>
      <c r="G445" s="14" t="s">
        <v>148</v>
      </c>
      <c r="H445" s="14" t="s">
        <v>68</v>
      </c>
      <c r="I445" s="14" t="s">
        <v>68</v>
      </c>
      <c r="J445" s="14" t="s">
        <v>102</v>
      </c>
      <c r="K445" s="14" t="s">
        <v>68</v>
      </c>
      <c r="L445" s="14" t="s">
        <v>68</v>
      </c>
      <c r="M445" s="14"/>
      <c r="N445" s="14"/>
      <c r="O445" s="15"/>
      <c r="P445" s="15"/>
      <c r="Q445" s="15"/>
      <c r="R445" s="15"/>
      <c r="S445" s="15"/>
      <c r="T445" s="15"/>
      <c r="U445" s="15"/>
      <c r="V445" s="15"/>
      <c r="W445" s="15"/>
    </row>
    <row r="446" spans="1:23" ht="45" x14ac:dyDescent="0.25">
      <c r="A446" s="14" t="s">
        <v>726</v>
      </c>
      <c r="B446" s="14" t="s">
        <v>68</v>
      </c>
      <c r="C446" s="14"/>
      <c r="D446" s="14" t="s">
        <v>222</v>
      </c>
      <c r="E446" s="14" t="s">
        <v>223</v>
      </c>
      <c r="F446" s="14" t="s">
        <v>68</v>
      </c>
      <c r="G446" s="14" t="s">
        <v>224</v>
      </c>
      <c r="H446" s="14" t="s">
        <v>68</v>
      </c>
      <c r="I446" s="14" t="s">
        <v>68</v>
      </c>
      <c r="J446" s="14" t="s">
        <v>225</v>
      </c>
      <c r="K446" s="14" t="s">
        <v>68</v>
      </c>
      <c r="L446" s="14" t="s">
        <v>68</v>
      </c>
      <c r="M446" s="14"/>
      <c r="N446" s="14"/>
      <c r="O446" s="15"/>
      <c r="P446" s="15"/>
      <c r="Q446" s="15"/>
      <c r="R446" s="15"/>
      <c r="S446" s="15"/>
      <c r="T446" s="15"/>
      <c r="U446" s="15"/>
      <c r="V446" s="15"/>
      <c r="W446" s="15"/>
    </row>
    <row r="447" spans="1:23" ht="45" x14ac:dyDescent="0.25">
      <c r="A447" s="14" t="s">
        <v>727</v>
      </c>
      <c r="B447" s="14" t="s">
        <v>68</v>
      </c>
      <c r="C447" s="14"/>
      <c r="D447" s="14" t="s">
        <v>256</v>
      </c>
      <c r="E447" s="14" t="s">
        <v>291</v>
      </c>
      <c r="F447" s="14" t="s">
        <v>68</v>
      </c>
      <c r="G447" s="14" t="s">
        <v>68</v>
      </c>
      <c r="H447" s="14" t="s">
        <v>68</v>
      </c>
      <c r="I447" s="14" t="s">
        <v>68</v>
      </c>
      <c r="J447" s="14" t="s">
        <v>68</v>
      </c>
      <c r="K447" s="14" t="s">
        <v>68</v>
      </c>
      <c r="L447" s="14" t="s">
        <v>68</v>
      </c>
      <c r="M447" s="14"/>
      <c r="N447" s="14"/>
      <c r="O447" s="15"/>
      <c r="P447" s="15"/>
      <c r="Q447" s="15"/>
      <c r="R447" s="15"/>
      <c r="S447" s="15"/>
      <c r="T447" s="15"/>
      <c r="U447" s="15"/>
      <c r="V447" s="15"/>
      <c r="W447" s="15"/>
    </row>
    <row r="448" spans="1:23" ht="45" x14ac:dyDescent="0.25">
      <c r="A448" s="14" t="s">
        <v>728</v>
      </c>
      <c r="B448" s="14" t="s">
        <v>68</v>
      </c>
      <c r="C448" s="14"/>
      <c r="D448" s="14" t="s">
        <v>246</v>
      </c>
      <c r="E448" s="14" t="s">
        <v>247</v>
      </c>
      <c r="F448" s="14" t="s">
        <v>68</v>
      </c>
      <c r="G448" s="14" t="s">
        <v>102</v>
      </c>
      <c r="H448" s="14" t="s">
        <v>68</v>
      </c>
      <c r="I448" s="14" t="s">
        <v>68</v>
      </c>
      <c r="J448" s="14" t="s">
        <v>102</v>
      </c>
      <c r="K448" s="14" t="s">
        <v>68</v>
      </c>
      <c r="L448" s="14" t="s">
        <v>68</v>
      </c>
      <c r="M448" s="14"/>
      <c r="N448" s="14"/>
      <c r="O448" s="15"/>
      <c r="P448" s="15"/>
      <c r="Q448" s="15"/>
      <c r="R448" s="15"/>
      <c r="S448" s="15"/>
      <c r="T448" s="15"/>
      <c r="U448" s="15"/>
      <c r="V448" s="15"/>
      <c r="W448" s="15"/>
    </row>
    <row r="449" spans="1:23" ht="45" x14ac:dyDescent="0.25">
      <c r="A449" s="14" t="s">
        <v>729</v>
      </c>
      <c r="B449" s="14" t="s">
        <v>68</v>
      </c>
      <c r="C449" s="14"/>
      <c r="D449" s="14" t="s">
        <v>232</v>
      </c>
      <c r="E449" s="14" t="s">
        <v>209</v>
      </c>
      <c r="F449" s="14" t="s">
        <v>68</v>
      </c>
      <c r="G449" s="14" t="s">
        <v>68</v>
      </c>
      <c r="H449" s="14" t="s">
        <v>68</v>
      </c>
      <c r="I449" s="14" t="s">
        <v>68</v>
      </c>
      <c r="J449" s="14" t="s">
        <v>68</v>
      </c>
      <c r="K449" s="14" t="s">
        <v>68</v>
      </c>
      <c r="L449" s="14" t="s">
        <v>68</v>
      </c>
      <c r="M449" s="14"/>
      <c r="N449" s="14"/>
      <c r="O449" s="15"/>
      <c r="P449" s="15"/>
      <c r="Q449" s="15"/>
      <c r="R449" s="15"/>
      <c r="S449" s="15"/>
      <c r="T449" s="15"/>
      <c r="U449" s="15"/>
      <c r="V449" s="15"/>
      <c r="W449" s="15"/>
    </row>
    <row r="450" spans="1:23" ht="60" x14ac:dyDescent="0.25">
      <c r="A450" s="14" t="s">
        <v>730</v>
      </c>
      <c r="B450" s="14" t="s">
        <v>68</v>
      </c>
      <c r="C450" s="14"/>
      <c r="D450" s="14" t="s">
        <v>208</v>
      </c>
      <c r="E450" s="14" t="s">
        <v>209</v>
      </c>
      <c r="F450" s="14" t="s">
        <v>68</v>
      </c>
      <c r="G450" s="14" t="s">
        <v>148</v>
      </c>
      <c r="H450" s="14" t="s">
        <v>68</v>
      </c>
      <c r="I450" s="14" t="s">
        <v>68</v>
      </c>
      <c r="J450" s="14" t="s">
        <v>102</v>
      </c>
      <c r="K450" s="14" t="s">
        <v>68</v>
      </c>
      <c r="L450" s="14" t="s">
        <v>68</v>
      </c>
      <c r="M450" s="14"/>
      <c r="N450" s="14"/>
      <c r="O450" s="15"/>
      <c r="P450" s="15"/>
      <c r="Q450" s="15"/>
      <c r="R450" s="15"/>
      <c r="S450" s="15"/>
      <c r="T450" s="15"/>
      <c r="U450" s="15"/>
      <c r="V450" s="15"/>
      <c r="W450" s="15"/>
    </row>
    <row r="451" spans="1:23" ht="45" x14ac:dyDescent="0.25">
      <c r="A451" s="14" t="s">
        <v>731</v>
      </c>
      <c r="B451" s="14" t="s">
        <v>68</v>
      </c>
      <c r="C451" s="14"/>
      <c r="D451" s="14" t="s">
        <v>284</v>
      </c>
      <c r="E451" s="14" t="s">
        <v>285</v>
      </c>
      <c r="F451" s="14" t="s">
        <v>68</v>
      </c>
      <c r="G451" s="14" t="s">
        <v>68</v>
      </c>
      <c r="H451" s="14" t="s">
        <v>68</v>
      </c>
      <c r="I451" s="14" t="s">
        <v>68</v>
      </c>
      <c r="J451" s="14" t="s">
        <v>68</v>
      </c>
      <c r="K451" s="14" t="s">
        <v>68</v>
      </c>
      <c r="L451" s="14" t="s">
        <v>68</v>
      </c>
      <c r="M451" s="14"/>
      <c r="N451" s="14"/>
      <c r="O451" s="15"/>
      <c r="P451" s="15"/>
      <c r="Q451" s="15"/>
      <c r="R451" s="15"/>
      <c r="S451" s="15"/>
      <c r="T451" s="15"/>
      <c r="U451" s="15"/>
      <c r="V451" s="15"/>
      <c r="W451" s="15"/>
    </row>
    <row r="452" spans="1:23" ht="45" x14ac:dyDescent="0.25">
      <c r="A452" s="14" t="s">
        <v>732</v>
      </c>
      <c r="B452" s="14" t="s">
        <v>68</v>
      </c>
      <c r="C452" s="14"/>
      <c r="D452" s="14" t="s">
        <v>328</v>
      </c>
      <c r="E452" s="14" t="s">
        <v>296</v>
      </c>
      <c r="F452" s="14" t="s">
        <v>68</v>
      </c>
      <c r="G452" s="14" t="s">
        <v>68</v>
      </c>
      <c r="H452" s="14" t="s">
        <v>68</v>
      </c>
      <c r="I452" s="14" t="s">
        <v>68</v>
      </c>
      <c r="J452" s="14" t="s">
        <v>68</v>
      </c>
      <c r="K452" s="14" t="s">
        <v>68</v>
      </c>
      <c r="L452" s="14" t="s">
        <v>68</v>
      </c>
      <c r="M452" s="14"/>
      <c r="N452" s="14"/>
      <c r="O452" s="15"/>
      <c r="P452" s="15"/>
      <c r="Q452" s="15"/>
      <c r="R452" s="15"/>
      <c r="S452" s="15"/>
      <c r="T452" s="15"/>
      <c r="U452" s="15"/>
      <c r="V452" s="15"/>
      <c r="W452" s="15"/>
    </row>
    <row r="453" spans="1:23" ht="45" x14ac:dyDescent="0.25">
      <c r="A453" s="14" t="s">
        <v>733</v>
      </c>
      <c r="B453" s="14" t="s">
        <v>68</v>
      </c>
      <c r="C453" s="14"/>
      <c r="D453" s="14" t="s">
        <v>219</v>
      </c>
      <c r="E453" s="14" t="s">
        <v>220</v>
      </c>
      <c r="F453" s="14" t="s">
        <v>68</v>
      </c>
      <c r="G453" s="14" t="s">
        <v>125</v>
      </c>
      <c r="H453" s="14" t="s">
        <v>68</v>
      </c>
      <c r="I453" s="14" t="s">
        <v>68</v>
      </c>
      <c r="J453" s="14" t="s">
        <v>201</v>
      </c>
      <c r="K453" s="14" t="s">
        <v>68</v>
      </c>
      <c r="L453" s="14" t="s">
        <v>68</v>
      </c>
      <c r="M453" s="14"/>
      <c r="N453" s="14"/>
      <c r="O453" s="15"/>
      <c r="P453" s="15"/>
      <c r="Q453" s="15"/>
      <c r="R453" s="15"/>
      <c r="S453" s="15"/>
      <c r="T453" s="15"/>
      <c r="U453" s="15"/>
      <c r="V453" s="15"/>
      <c r="W453" s="15"/>
    </row>
    <row r="454" spans="1:23" ht="45" x14ac:dyDescent="0.25">
      <c r="A454" s="14" t="s">
        <v>734</v>
      </c>
      <c r="B454" s="14" t="s">
        <v>68</v>
      </c>
      <c r="C454" s="14"/>
      <c r="D454" s="14" t="s">
        <v>246</v>
      </c>
      <c r="E454" s="14" t="s">
        <v>247</v>
      </c>
      <c r="F454" s="14" t="s">
        <v>68</v>
      </c>
      <c r="G454" s="14" t="s">
        <v>102</v>
      </c>
      <c r="H454" s="14" t="s">
        <v>68</v>
      </c>
      <c r="I454" s="14" t="s">
        <v>68</v>
      </c>
      <c r="J454" s="14" t="s">
        <v>102</v>
      </c>
      <c r="K454" s="14" t="s">
        <v>68</v>
      </c>
      <c r="L454" s="14" t="s">
        <v>68</v>
      </c>
      <c r="M454" s="14"/>
      <c r="N454" s="14"/>
      <c r="O454" s="15"/>
      <c r="P454" s="15"/>
      <c r="Q454" s="15"/>
      <c r="R454" s="15"/>
      <c r="S454" s="15"/>
      <c r="T454" s="15"/>
      <c r="U454" s="15"/>
      <c r="V454" s="15"/>
      <c r="W454" s="15"/>
    </row>
    <row r="455" spans="1:23" x14ac:dyDescent="0.25">
      <c r="A455" s="14" t="s">
        <v>735</v>
      </c>
      <c r="B455" s="14" t="s">
        <v>68</v>
      </c>
      <c r="C455" s="14"/>
      <c r="D455" s="14" t="s">
        <v>68</v>
      </c>
      <c r="E455" s="14" t="s">
        <v>68</v>
      </c>
      <c r="F455" s="14" t="s">
        <v>88</v>
      </c>
      <c r="G455" s="14" t="s">
        <v>68</v>
      </c>
      <c r="H455" s="14" t="s">
        <v>68</v>
      </c>
      <c r="I455" s="14" t="s">
        <v>68</v>
      </c>
      <c r="J455" s="14" t="s">
        <v>102</v>
      </c>
      <c r="K455" s="14" t="s">
        <v>68</v>
      </c>
      <c r="L455" s="14" t="s">
        <v>68</v>
      </c>
      <c r="M455" s="14"/>
      <c r="N455" s="14"/>
      <c r="O455" s="15"/>
      <c r="P455" s="15"/>
      <c r="Q455" s="15"/>
      <c r="R455" s="15"/>
      <c r="S455" s="15"/>
      <c r="T455" s="15"/>
      <c r="U455" s="15"/>
      <c r="V455" s="15"/>
      <c r="W455" s="15"/>
    </row>
    <row r="456" spans="1:23" ht="45" x14ac:dyDescent="0.25">
      <c r="A456" s="14" t="s">
        <v>736</v>
      </c>
      <c r="B456" s="14" t="s">
        <v>68</v>
      </c>
      <c r="C456" s="14"/>
      <c r="D456" s="14" t="s">
        <v>229</v>
      </c>
      <c r="E456" s="14" t="s">
        <v>230</v>
      </c>
      <c r="F456" s="14" t="s">
        <v>68</v>
      </c>
      <c r="G456" s="14" t="s">
        <v>156</v>
      </c>
      <c r="H456" s="14" t="s">
        <v>68</v>
      </c>
      <c r="I456" s="14" t="s">
        <v>68</v>
      </c>
      <c r="J456" s="14" t="s">
        <v>201</v>
      </c>
      <c r="K456" s="14" t="s">
        <v>68</v>
      </c>
      <c r="L456" s="14" t="s">
        <v>68</v>
      </c>
      <c r="M456" s="14"/>
      <c r="N456" s="14"/>
      <c r="O456" s="15"/>
      <c r="P456" s="15"/>
      <c r="Q456" s="15"/>
      <c r="R456" s="15"/>
      <c r="S456" s="15"/>
      <c r="T456" s="15"/>
      <c r="U456" s="15"/>
      <c r="V456" s="15"/>
      <c r="W456" s="15"/>
    </row>
    <row r="457" spans="1:23" ht="45" x14ac:dyDescent="0.25">
      <c r="A457" s="14" t="s">
        <v>737</v>
      </c>
      <c r="B457" s="14" t="s">
        <v>68</v>
      </c>
      <c r="C457" s="14"/>
      <c r="D457" s="14" t="s">
        <v>246</v>
      </c>
      <c r="E457" s="14" t="s">
        <v>247</v>
      </c>
      <c r="F457" s="14" t="s">
        <v>68</v>
      </c>
      <c r="G457" s="14" t="s">
        <v>650</v>
      </c>
      <c r="H457" s="14" t="s">
        <v>68</v>
      </c>
      <c r="I457" s="14" t="s">
        <v>68</v>
      </c>
      <c r="J457" s="14" t="s">
        <v>102</v>
      </c>
      <c r="K457" s="14" t="s">
        <v>68</v>
      </c>
      <c r="L457" s="14" t="s">
        <v>68</v>
      </c>
      <c r="M457" s="14"/>
      <c r="N457" s="14"/>
      <c r="O457" s="15"/>
      <c r="P457" s="15"/>
      <c r="Q457" s="15"/>
      <c r="R457" s="15"/>
      <c r="S457" s="15"/>
      <c r="T457" s="15"/>
      <c r="U457" s="15"/>
      <c r="V457" s="15"/>
      <c r="W457" s="15"/>
    </row>
    <row r="458" spans="1:23" ht="45" x14ac:dyDescent="0.25">
      <c r="A458" s="14" t="s">
        <v>738</v>
      </c>
      <c r="B458" s="14" t="s">
        <v>68</v>
      </c>
      <c r="C458" s="14"/>
      <c r="D458" s="14" t="s">
        <v>279</v>
      </c>
      <c r="E458" s="14" t="s">
        <v>280</v>
      </c>
      <c r="F458" s="14" t="s">
        <v>132</v>
      </c>
      <c r="G458" s="14" t="s">
        <v>68</v>
      </c>
      <c r="H458" s="14" t="s">
        <v>68</v>
      </c>
      <c r="I458" s="14" t="s">
        <v>68</v>
      </c>
      <c r="J458" s="14" t="s">
        <v>225</v>
      </c>
      <c r="K458" s="14" t="s">
        <v>68</v>
      </c>
      <c r="L458" s="14" t="s">
        <v>68</v>
      </c>
      <c r="M458" s="14"/>
      <c r="N458" s="14"/>
      <c r="O458" s="15"/>
      <c r="P458" s="15"/>
      <c r="Q458" s="15"/>
      <c r="R458" s="15"/>
      <c r="S458" s="15"/>
      <c r="T458" s="15"/>
      <c r="U458" s="15"/>
      <c r="V458" s="15"/>
      <c r="W458" s="15"/>
    </row>
    <row r="459" spans="1:23" ht="45" x14ac:dyDescent="0.25">
      <c r="A459" s="14" t="s">
        <v>739</v>
      </c>
      <c r="B459" s="14" t="s">
        <v>68</v>
      </c>
      <c r="C459" s="14"/>
      <c r="D459" s="14" t="s">
        <v>199</v>
      </c>
      <c r="E459" s="14" t="s">
        <v>68</v>
      </c>
      <c r="F459" s="14" t="s">
        <v>68</v>
      </c>
      <c r="G459" s="14" t="s">
        <v>78</v>
      </c>
      <c r="H459" s="14" t="s">
        <v>68</v>
      </c>
      <c r="I459" s="14" t="s">
        <v>68</v>
      </c>
      <c r="J459" s="14" t="s">
        <v>201</v>
      </c>
      <c r="K459" s="14" t="s">
        <v>68</v>
      </c>
      <c r="L459" s="14" t="s">
        <v>68</v>
      </c>
      <c r="M459" s="14"/>
      <c r="N459" s="14"/>
      <c r="O459" s="15"/>
      <c r="P459" s="15"/>
      <c r="Q459" s="15"/>
      <c r="R459" s="15"/>
      <c r="S459" s="15"/>
      <c r="T459" s="15"/>
      <c r="U459" s="15"/>
      <c r="V459" s="15"/>
      <c r="W459" s="15"/>
    </row>
    <row r="460" spans="1:23" x14ac:dyDescent="0.25">
      <c r="A460" s="14" t="s">
        <v>740</v>
      </c>
      <c r="B460" s="14" t="s">
        <v>68</v>
      </c>
      <c r="C460" s="14"/>
      <c r="D460" s="14" t="s">
        <v>68</v>
      </c>
      <c r="E460" s="14" t="s">
        <v>68</v>
      </c>
      <c r="F460" s="14" t="s">
        <v>159</v>
      </c>
      <c r="G460" s="14" t="s">
        <v>68</v>
      </c>
      <c r="H460" s="14" t="s">
        <v>68</v>
      </c>
      <c r="I460" s="14" t="s">
        <v>68</v>
      </c>
      <c r="J460" s="14" t="s">
        <v>102</v>
      </c>
      <c r="K460" s="14" t="s">
        <v>68</v>
      </c>
      <c r="L460" s="14" t="s">
        <v>68</v>
      </c>
      <c r="M460" s="14"/>
      <c r="N460" s="14"/>
      <c r="O460" s="15"/>
      <c r="P460" s="15"/>
      <c r="Q460" s="15"/>
      <c r="R460" s="15"/>
      <c r="S460" s="15"/>
      <c r="T460" s="15"/>
      <c r="U460" s="15"/>
      <c r="V460" s="15"/>
      <c r="W460" s="15"/>
    </row>
    <row r="461" spans="1:23" ht="45" x14ac:dyDescent="0.25">
      <c r="A461" s="14" t="s">
        <v>741</v>
      </c>
      <c r="B461" s="14" t="s">
        <v>68</v>
      </c>
      <c r="C461" s="14"/>
      <c r="D461" s="14" t="s">
        <v>325</v>
      </c>
      <c r="E461" s="14" t="s">
        <v>326</v>
      </c>
      <c r="F461" s="14" t="s">
        <v>68</v>
      </c>
      <c r="G461" s="14" t="s">
        <v>68</v>
      </c>
      <c r="H461" s="14" t="s">
        <v>68</v>
      </c>
      <c r="I461" s="14" t="s">
        <v>68</v>
      </c>
      <c r="J461" s="14" t="s">
        <v>68</v>
      </c>
      <c r="K461" s="14" t="s">
        <v>68</v>
      </c>
      <c r="L461" s="14" t="s">
        <v>68</v>
      </c>
      <c r="M461" s="14"/>
      <c r="N461" s="14"/>
      <c r="O461" s="15"/>
      <c r="P461" s="15"/>
      <c r="Q461" s="15"/>
      <c r="R461" s="15"/>
      <c r="S461" s="15"/>
      <c r="T461" s="15"/>
      <c r="U461" s="15"/>
      <c r="V461" s="15"/>
      <c r="W461" s="15"/>
    </row>
    <row r="462" spans="1:23" ht="45" x14ac:dyDescent="0.25">
      <c r="A462" s="14" t="s">
        <v>742</v>
      </c>
      <c r="B462" s="14" t="s">
        <v>68</v>
      </c>
      <c r="C462" s="14"/>
      <c r="D462" s="14" t="s">
        <v>284</v>
      </c>
      <c r="E462" s="14" t="s">
        <v>285</v>
      </c>
      <c r="F462" s="14" t="s">
        <v>68</v>
      </c>
      <c r="G462" s="14" t="s">
        <v>68</v>
      </c>
      <c r="H462" s="14" t="s">
        <v>68</v>
      </c>
      <c r="I462" s="14" t="s">
        <v>68</v>
      </c>
      <c r="J462" s="14" t="s">
        <v>68</v>
      </c>
      <c r="K462" s="14" t="s">
        <v>68</v>
      </c>
      <c r="L462" s="14" t="s">
        <v>68</v>
      </c>
      <c r="M462" s="14"/>
      <c r="N462" s="14"/>
      <c r="O462" s="15"/>
      <c r="P462" s="15"/>
      <c r="Q462" s="15"/>
      <c r="R462" s="15"/>
      <c r="S462" s="15"/>
      <c r="T462" s="15"/>
      <c r="U462" s="15"/>
      <c r="V462" s="15"/>
      <c r="W462" s="15"/>
    </row>
    <row r="463" spans="1:23" ht="45" x14ac:dyDescent="0.25">
      <c r="A463" s="14" t="s">
        <v>743</v>
      </c>
      <c r="B463" s="14" t="s">
        <v>68</v>
      </c>
      <c r="C463" s="14"/>
      <c r="D463" s="14" t="s">
        <v>312</v>
      </c>
      <c r="E463" s="14" t="s">
        <v>205</v>
      </c>
      <c r="F463" s="14" t="s">
        <v>68</v>
      </c>
      <c r="G463" s="14" t="s">
        <v>68</v>
      </c>
      <c r="H463" s="14" t="s">
        <v>68</v>
      </c>
      <c r="I463" s="14" t="s">
        <v>68</v>
      </c>
      <c r="J463" s="14" t="s">
        <v>68</v>
      </c>
      <c r="K463" s="14" t="s">
        <v>68</v>
      </c>
      <c r="L463" s="14" t="s">
        <v>68</v>
      </c>
      <c r="M463" s="14"/>
      <c r="N463" s="14"/>
      <c r="O463" s="15"/>
      <c r="P463" s="15"/>
      <c r="Q463" s="15"/>
      <c r="R463" s="15"/>
      <c r="S463" s="15"/>
      <c r="T463" s="15"/>
      <c r="U463" s="15"/>
      <c r="V463" s="15"/>
      <c r="W463" s="15"/>
    </row>
    <row r="464" spans="1:23" ht="45" x14ac:dyDescent="0.25">
      <c r="A464" s="14" t="s">
        <v>744</v>
      </c>
      <c r="B464" s="14" t="s">
        <v>68</v>
      </c>
      <c r="C464" s="14"/>
      <c r="D464" s="14" t="s">
        <v>284</v>
      </c>
      <c r="E464" s="14" t="s">
        <v>285</v>
      </c>
      <c r="F464" s="14" t="s">
        <v>68</v>
      </c>
      <c r="G464" s="14" t="s">
        <v>68</v>
      </c>
      <c r="H464" s="14" t="s">
        <v>68</v>
      </c>
      <c r="I464" s="14" t="s">
        <v>68</v>
      </c>
      <c r="J464" s="14" t="s">
        <v>68</v>
      </c>
      <c r="K464" s="14" t="s">
        <v>68</v>
      </c>
      <c r="L464" s="14" t="s">
        <v>68</v>
      </c>
      <c r="M464" s="14"/>
      <c r="N464" s="14"/>
      <c r="O464" s="15"/>
      <c r="P464" s="15"/>
      <c r="Q464" s="15"/>
      <c r="R464" s="15"/>
      <c r="S464" s="15"/>
      <c r="T464" s="15"/>
      <c r="U464" s="15"/>
      <c r="V464" s="15"/>
      <c r="W464" s="15"/>
    </row>
    <row r="465" spans="1:23" ht="45" x14ac:dyDescent="0.25">
      <c r="A465" s="14" t="s">
        <v>745</v>
      </c>
      <c r="B465" s="14" t="s">
        <v>68</v>
      </c>
      <c r="C465" s="14"/>
      <c r="D465" s="14" t="s">
        <v>249</v>
      </c>
      <c r="E465" s="14" t="s">
        <v>250</v>
      </c>
      <c r="F465" s="14" t="s">
        <v>68</v>
      </c>
      <c r="G465" s="14" t="s">
        <v>68</v>
      </c>
      <c r="H465" s="14" t="s">
        <v>68</v>
      </c>
      <c r="I465" s="14" t="s">
        <v>68</v>
      </c>
      <c r="J465" s="14" t="s">
        <v>68</v>
      </c>
      <c r="K465" s="14" t="s">
        <v>68</v>
      </c>
      <c r="L465" s="14" t="s">
        <v>68</v>
      </c>
      <c r="M465" s="14"/>
      <c r="N465" s="14"/>
      <c r="O465" s="15"/>
      <c r="P465" s="15"/>
      <c r="Q465" s="15"/>
      <c r="R465" s="15"/>
      <c r="S465" s="15"/>
      <c r="T465" s="15"/>
      <c r="U465" s="15"/>
      <c r="V465" s="15"/>
      <c r="W465" s="15"/>
    </row>
    <row r="466" spans="1:23" ht="45" x14ac:dyDescent="0.25">
      <c r="A466" s="14" t="s">
        <v>746</v>
      </c>
      <c r="B466" s="14" t="s">
        <v>68</v>
      </c>
      <c r="C466" s="14"/>
      <c r="D466" s="14" t="s">
        <v>222</v>
      </c>
      <c r="E466" s="14" t="s">
        <v>223</v>
      </c>
      <c r="F466" s="14" t="s">
        <v>68</v>
      </c>
      <c r="G466" s="14" t="s">
        <v>224</v>
      </c>
      <c r="H466" s="14" t="s">
        <v>68</v>
      </c>
      <c r="I466" s="14" t="s">
        <v>68</v>
      </c>
      <c r="J466" s="14" t="s">
        <v>225</v>
      </c>
      <c r="K466" s="14" t="s">
        <v>68</v>
      </c>
      <c r="L466" s="14" t="s">
        <v>68</v>
      </c>
      <c r="M466" s="14"/>
      <c r="N466" s="14"/>
      <c r="O466" s="15"/>
      <c r="P466" s="15"/>
      <c r="Q466" s="15"/>
      <c r="R466" s="15"/>
      <c r="S466" s="15"/>
      <c r="T466" s="15"/>
      <c r="U466" s="15"/>
      <c r="V466" s="15"/>
      <c r="W466" s="15"/>
    </row>
    <row r="467" spans="1:23" x14ac:dyDescent="0.25">
      <c r="A467" s="14" t="s">
        <v>747</v>
      </c>
      <c r="B467" s="14" t="s">
        <v>68</v>
      </c>
      <c r="C467" s="14"/>
      <c r="D467" s="14" t="s">
        <v>68</v>
      </c>
      <c r="E467" s="14" t="s">
        <v>68</v>
      </c>
      <c r="F467" s="14" t="s">
        <v>68</v>
      </c>
      <c r="G467" s="14" t="s">
        <v>68</v>
      </c>
      <c r="H467" s="14" t="s">
        <v>68</v>
      </c>
      <c r="I467" s="14" t="s">
        <v>68</v>
      </c>
      <c r="J467" s="14" t="s">
        <v>68</v>
      </c>
      <c r="K467" s="14" t="s">
        <v>68</v>
      </c>
      <c r="L467" s="14" t="s">
        <v>68</v>
      </c>
      <c r="M467" s="14"/>
      <c r="N467" s="14"/>
      <c r="O467" s="15"/>
      <c r="P467" s="15"/>
      <c r="Q467" s="15"/>
      <c r="R467" s="15"/>
      <c r="S467" s="15"/>
      <c r="T467" s="15"/>
      <c r="U467" s="15"/>
      <c r="V467" s="15"/>
      <c r="W467" s="15"/>
    </row>
    <row r="468" spans="1:23" ht="45" x14ac:dyDescent="0.25">
      <c r="A468" s="14" t="s">
        <v>748</v>
      </c>
      <c r="B468" s="14" t="s">
        <v>68</v>
      </c>
      <c r="C468" s="14"/>
      <c r="D468" s="14" t="s">
        <v>241</v>
      </c>
      <c r="E468" s="14" t="s">
        <v>236</v>
      </c>
      <c r="F468" s="14" t="s">
        <v>749</v>
      </c>
      <c r="G468" s="14" t="s">
        <v>68</v>
      </c>
      <c r="H468" s="14" t="s">
        <v>68</v>
      </c>
      <c r="I468" s="14" t="s">
        <v>68</v>
      </c>
      <c r="J468" s="14" t="s">
        <v>201</v>
      </c>
      <c r="K468" s="14" t="s">
        <v>68</v>
      </c>
      <c r="L468" s="14" t="s">
        <v>68</v>
      </c>
      <c r="M468" s="14"/>
      <c r="N468" s="14"/>
      <c r="O468" s="15"/>
      <c r="P468" s="15"/>
      <c r="Q468" s="15"/>
      <c r="R468" s="15"/>
      <c r="S468" s="15"/>
      <c r="T468" s="15"/>
      <c r="U468" s="15"/>
      <c r="V468" s="15"/>
      <c r="W468" s="15"/>
    </row>
    <row r="469" spans="1:23" ht="45" x14ac:dyDescent="0.25">
      <c r="A469" s="14" t="s">
        <v>750</v>
      </c>
      <c r="B469" s="14" t="s">
        <v>68</v>
      </c>
      <c r="C469" s="14"/>
      <c r="D469" s="14" t="s">
        <v>284</v>
      </c>
      <c r="E469" s="14" t="s">
        <v>285</v>
      </c>
      <c r="F469" s="14" t="s">
        <v>68</v>
      </c>
      <c r="G469" s="14" t="s">
        <v>68</v>
      </c>
      <c r="H469" s="14" t="s">
        <v>68</v>
      </c>
      <c r="I469" s="14" t="s">
        <v>68</v>
      </c>
      <c r="J469" s="14" t="s">
        <v>68</v>
      </c>
      <c r="K469" s="14" t="s">
        <v>68</v>
      </c>
      <c r="L469" s="14" t="s">
        <v>68</v>
      </c>
      <c r="M469" s="14"/>
      <c r="N469" s="14"/>
      <c r="O469" s="15"/>
      <c r="P469" s="15"/>
      <c r="Q469" s="15"/>
      <c r="R469" s="15"/>
      <c r="S469" s="15"/>
      <c r="T469" s="15"/>
      <c r="U469" s="15"/>
      <c r="V469" s="15"/>
      <c r="W469" s="15"/>
    </row>
    <row r="470" spans="1:23" ht="45" x14ac:dyDescent="0.25">
      <c r="A470" s="14" t="s">
        <v>751</v>
      </c>
      <c r="B470" s="14" t="s">
        <v>68</v>
      </c>
      <c r="C470" s="14"/>
      <c r="D470" s="14" t="s">
        <v>238</v>
      </c>
      <c r="E470" s="14" t="s">
        <v>239</v>
      </c>
      <c r="F470" s="14" t="s">
        <v>68</v>
      </c>
      <c r="G470" s="14" t="s">
        <v>68</v>
      </c>
      <c r="H470" s="14" t="s">
        <v>68</v>
      </c>
      <c r="I470" s="14" t="s">
        <v>68</v>
      </c>
      <c r="J470" s="14" t="s">
        <v>68</v>
      </c>
      <c r="K470" s="14" t="s">
        <v>68</v>
      </c>
      <c r="L470" s="14" t="s">
        <v>68</v>
      </c>
      <c r="M470" s="14"/>
      <c r="N470" s="14"/>
      <c r="O470" s="15"/>
      <c r="P470" s="15"/>
      <c r="Q470" s="15"/>
      <c r="R470" s="15"/>
      <c r="S470" s="15"/>
      <c r="T470" s="15"/>
      <c r="U470" s="15"/>
      <c r="V470" s="15"/>
      <c r="W470" s="15"/>
    </row>
    <row r="471" spans="1:23" ht="45" x14ac:dyDescent="0.25">
      <c r="A471" s="14" t="s">
        <v>752</v>
      </c>
      <c r="B471" s="14" t="s">
        <v>68</v>
      </c>
      <c r="C471" s="14"/>
      <c r="D471" s="14" t="s">
        <v>199</v>
      </c>
      <c r="E471" s="14" t="s">
        <v>68</v>
      </c>
      <c r="F471" s="14" t="s">
        <v>68</v>
      </c>
      <c r="G471" s="14" t="s">
        <v>78</v>
      </c>
      <c r="H471" s="14" t="s">
        <v>68</v>
      </c>
      <c r="I471" s="14" t="s">
        <v>68</v>
      </c>
      <c r="J471" s="14" t="s">
        <v>201</v>
      </c>
      <c r="K471" s="14" t="s">
        <v>68</v>
      </c>
      <c r="L471" s="14" t="s">
        <v>68</v>
      </c>
      <c r="M471" s="14"/>
      <c r="N471" s="14"/>
      <c r="O471" s="15"/>
      <c r="P471" s="15"/>
      <c r="Q471" s="15"/>
      <c r="R471" s="15"/>
      <c r="S471" s="15"/>
      <c r="T471" s="15"/>
      <c r="U471" s="15"/>
      <c r="V471" s="15"/>
      <c r="W471" s="15"/>
    </row>
    <row r="472" spans="1:23" ht="45" x14ac:dyDescent="0.25">
      <c r="A472" s="14" t="s">
        <v>753</v>
      </c>
      <c r="B472" s="14" t="s">
        <v>68</v>
      </c>
      <c r="C472" s="14"/>
      <c r="D472" s="14" t="s">
        <v>256</v>
      </c>
      <c r="E472" s="14" t="s">
        <v>291</v>
      </c>
      <c r="F472" s="14" t="s">
        <v>68</v>
      </c>
      <c r="G472" s="14" t="s">
        <v>68</v>
      </c>
      <c r="H472" s="14" t="s">
        <v>68</v>
      </c>
      <c r="I472" s="14" t="s">
        <v>68</v>
      </c>
      <c r="J472" s="14" t="s">
        <v>68</v>
      </c>
      <c r="K472" s="14" t="s">
        <v>68</v>
      </c>
      <c r="L472" s="14" t="s">
        <v>68</v>
      </c>
      <c r="M472" s="14"/>
      <c r="N472" s="14"/>
      <c r="O472" s="15"/>
      <c r="P472" s="15"/>
      <c r="Q472" s="15"/>
      <c r="R472" s="15"/>
      <c r="S472" s="15"/>
      <c r="T472" s="15"/>
      <c r="U472" s="15"/>
      <c r="V472" s="15"/>
      <c r="W472" s="15"/>
    </row>
    <row r="473" spans="1:23" ht="45" x14ac:dyDescent="0.25">
      <c r="A473" s="14" t="s">
        <v>754</v>
      </c>
      <c r="B473" s="14" t="s">
        <v>68</v>
      </c>
      <c r="C473" s="14"/>
      <c r="D473" s="14" t="s">
        <v>263</v>
      </c>
      <c r="E473" s="14" t="s">
        <v>264</v>
      </c>
      <c r="F473" s="14" t="s">
        <v>68</v>
      </c>
      <c r="G473" s="14" t="s">
        <v>68</v>
      </c>
      <c r="H473" s="14" t="s">
        <v>68</v>
      </c>
      <c r="I473" s="14" t="s">
        <v>68</v>
      </c>
      <c r="J473" s="14" t="s">
        <v>68</v>
      </c>
      <c r="K473" s="14" t="s">
        <v>68</v>
      </c>
      <c r="L473" s="14" t="s">
        <v>68</v>
      </c>
      <c r="M473" s="14"/>
      <c r="N473" s="14"/>
      <c r="O473" s="15"/>
      <c r="P473" s="15"/>
      <c r="Q473" s="15"/>
      <c r="R473" s="15"/>
      <c r="S473" s="15"/>
      <c r="T473" s="15"/>
      <c r="U473" s="15"/>
      <c r="V473" s="15"/>
      <c r="W473" s="15"/>
    </row>
    <row r="474" spans="1:23" ht="45" x14ac:dyDescent="0.25">
      <c r="A474" s="14" t="s">
        <v>755</v>
      </c>
      <c r="B474" s="14" t="s">
        <v>68</v>
      </c>
      <c r="C474" s="14"/>
      <c r="D474" s="14" t="s">
        <v>199</v>
      </c>
      <c r="E474" s="14" t="s">
        <v>68</v>
      </c>
      <c r="F474" s="14" t="s">
        <v>68</v>
      </c>
      <c r="G474" s="14" t="s">
        <v>80</v>
      </c>
      <c r="H474" s="14" t="s">
        <v>68</v>
      </c>
      <c r="I474" s="14" t="s">
        <v>68</v>
      </c>
      <c r="J474" s="14" t="s">
        <v>80</v>
      </c>
      <c r="K474" s="14" t="s">
        <v>68</v>
      </c>
      <c r="L474" s="14" t="s">
        <v>68</v>
      </c>
      <c r="M474" s="14"/>
      <c r="N474" s="14"/>
      <c r="O474" s="15"/>
      <c r="P474" s="15"/>
      <c r="Q474" s="15"/>
      <c r="R474" s="15"/>
      <c r="S474" s="15"/>
      <c r="T474" s="15"/>
      <c r="U474" s="15"/>
      <c r="V474" s="15"/>
      <c r="W474" s="15"/>
    </row>
    <row r="475" spans="1:23" ht="45" x14ac:dyDescent="0.25">
      <c r="A475" s="14" t="s">
        <v>756</v>
      </c>
      <c r="B475" s="14" t="s">
        <v>68</v>
      </c>
      <c r="C475" s="14"/>
      <c r="D475" s="14" t="s">
        <v>312</v>
      </c>
      <c r="E475" s="14" t="s">
        <v>205</v>
      </c>
      <c r="F475" s="14" t="s">
        <v>68</v>
      </c>
      <c r="G475" s="14" t="s">
        <v>68</v>
      </c>
      <c r="H475" s="14" t="s">
        <v>68</v>
      </c>
      <c r="I475" s="14" t="s">
        <v>68</v>
      </c>
      <c r="J475" s="14" t="s">
        <v>68</v>
      </c>
      <c r="K475" s="14" t="s">
        <v>68</v>
      </c>
      <c r="L475" s="14" t="s">
        <v>68</v>
      </c>
      <c r="M475" s="14"/>
      <c r="N475" s="14"/>
      <c r="O475" s="15"/>
      <c r="P475" s="15"/>
      <c r="Q475" s="15"/>
      <c r="R475" s="15"/>
      <c r="S475" s="15"/>
      <c r="T475" s="15"/>
      <c r="U475" s="15"/>
      <c r="V475" s="15"/>
      <c r="W475" s="15"/>
    </row>
    <row r="476" spans="1:23" ht="45" x14ac:dyDescent="0.25">
      <c r="A476" s="14" t="s">
        <v>757</v>
      </c>
      <c r="B476" s="14" t="s">
        <v>68</v>
      </c>
      <c r="C476" s="14"/>
      <c r="D476" s="14" t="s">
        <v>515</v>
      </c>
      <c r="E476" s="14" t="s">
        <v>516</v>
      </c>
      <c r="F476" s="14" t="s">
        <v>68</v>
      </c>
      <c r="G476" s="14" t="s">
        <v>68</v>
      </c>
      <c r="H476" s="14" t="s">
        <v>68</v>
      </c>
      <c r="I476" s="14" t="s">
        <v>68</v>
      </c>
      <c r="J476" s="14" t="s">
        <v>68</v>
      </c>
      <c r="K476" s="14" t="s">
        <v>68</v>
      </c>
      <c r="L476" s="14" t="s">
        <v>68</v>
      </c>
      <c r="M476" s="14"/>
      <c r="N476" s="14"/>
      <c r="O476" s="15"/>
      <c r="P476" s="15"/>
      <c r="Q476" s="15"/>
      <c r="R476" s="15"/>
      <c r="S476" s="15"/>
      <c r="T476" s="15"/>
      <c r="U476" s="15"/>
      <c r="V476" s="15"/>
      <c r="W476" s="15"/>
    </row>
    <row r="477" spans="1:23" ht="45" x14ac:dyDescent="0.25">
      <c r="A477" s="14" t="s">
        <v>758</v>
      </c>
      <c r="B477" s="14" t="s">
        <v>68</v>
      </c>
      <c r="C477" s="14"/>
      <c r="D477" s="14" t="s">
        <v>204</v>
      </c>
      <c r="E477" s="14" t="s">
        <v>205</v>
      </c>
      <c r="F477" s="14" t="s">
        <v>68</v>
      </c>
      <c r="G477" s="14" t="s">
        <v>68</v>
      </c>
      <c r="H477" s="14" t="s">
        <v>68</v>
      </c>
      <c r="I477" s="14" t="s">
        <v>68</v>
      </c>
      <c r="J477" s="14" t="s">
        <v>68</v>
      </c>
      <c r="K477" s="14" t="s">
        <v>68</v>
      </c>
      <c r="L477" s="14" t="s">
        <v>68</v>
      </c>
      <c r="M477" s="14"/>
      <c r="N477" s="14"/>
      <c r="O477" s="15"/>
      <c r="P477" s="15"/>
      <c r="Q477" s="15"/>
      <c r="R477" s="15"/>
      <c r="S477" s="15"/>
      <c r="T477" s="15"/>
      <c r="U477" s="15"/>
      <c r="V477" s="15"/>
      <c r="W477" s="15"/>
    </row>
    <row r="478" spans="1:23" ht="45" x14ac:dyDescent="0.25">
      <c r="A478" s="14" t="s">
        <v>759</v>
      </c>
      <c r="B478" s="14" t="s">
        <v>68</v>
      </c>
      <c r="C478" s="14"/>
      <c r="D478" s="14" t="s">
        <v>229</v>
      </c>
      <c r="E478" s="14" t="s">
        <v>230</v>
      </c>
      <c r="F478" s="14" t="s">
        <v>68</v>
      </c>
      <c r="G478" s="14" t="s">
        <v>172</v>
      </c>
      <c r="H478" s="14" t="s">
        <v>68</v>
      </c>
      <c r="I478" s="14" t="s">
        <v>68</v>
      </c>
      <c r="J478" s="14" t="s">
        <v>201</v>
      </c>
      <c r="K478" s="14" t="s">
        <v>68</v>
      </c>
      <c r="L478" s="14" t="s">
        <v>68</v>
      </c>
      <c r="M478" s="14"/>
      <c r="N478" s="14"/>
      <c r="O478" s="15"/>
      <c r="P478" s="15"/>
      <c r="Q478" s="15"/>
      <c r="R478" s="15"/>
      <c r="S478" s="15"/>
      <c r="T478" s="15"/>
      <c r="U478" s="15"/>
      <c r="V478" s="15"/>
      <c r="W478" s="15"/>
    </row>
    <row r="479" spans="1:23" ht="45" x14ac:dyDescent="0.25">
      <c r="A479" s="14" t="s">
        <v>760</v>
      </c>
      <c r="B479" s="14" t="s">
        <v>68</v>
      </c>
      <c r="C479" s="14"/>
      <c r="D479" s="14" t="s">
        <v>246</v>
      </c>
      <c r="E479" s="14" t="s">
        <v>247</v>
      </c>
      <c r="F479" s="14" t="s">
        <v>68</v>
      </c>
      <c r="G479" s="14" t="s">
        <v>102</v>
      </c>
      <c r="H479" s="14" t="s">
        <v>68</v>
      </c>
      <c r="I479" s="14" t="s">
        <v>68</v>
      </c>
      <c r="J479" s="14" t="s">
        <v>102</v>
      </c>
      <c r="K479" s="14" t="s">
        <v>68</v>
      </c>
      <c r="L479" s="14" t="s">
        <v>68</v>
      </c>
      <c r="M479" s="14"/>
      <c r="N479" s="14"/>
      <c r="O479" s="15"/>
      <c r="P479" s="15"/>
      <c r="Q479" s="15"/>
      <c r="R479" s="15"/>
      <c r="S479" s="15"/>
      <c r="T479" s="15"/>
      <c r="U479" s="15"/>
      <c r="V479" s="15"/>
      <c r="W479" s="15"/>
    </row>
    <row r="480" spans="1:23" ht="45" x14ac:dyDescent="0.25">
      <c r="A480" s="14" t="s">
        <v>761</v>
      </c>
      <c r="B480" s="14" t="s">
        <v>68</v>
      </c>
      <c r="C480" s="14"/>
      <c r="D480" s="14" t="s">
        <v>204</v>
      </c>
      <c r="E480" s="14" t="s">
        <v>205</v>
      </c>
      <c r="F480" s="14" t="s">
        <v>68</v>
      </c>
      <c r="G480" s="14" t="s">
        <v>68</v>
      </c>
      <c r="H480" s="14" t="s">
        <v>68</v>
      </c>
      <c r="I480" s="14" t="s">
        <v>68</v>
      </c>
      <c r="J480" s="14" t="s">
        <v>68</v>
      </c>
      <c r="K480" s="14" t="s">
        <v>68</v>
      </c>
      <c r="L480" s="14" t="s">
        <v>68</v>
      </c>
      <c r="M480" s="14"/>
      <c r="N480" s="14"/>
      <c r="O480" s="15"/>
      <c r="P480" s="15"/>
      <c r="Q480" s="15"/>
      <c r="R480" s="15"/>
      <c r="S480" s="15"/>
      <c r="T480" s="15"/>
      <c r="U480" s="15"/>
      <c r="V480" s="15"/>
      <c r="W480" s="15"/>
    </row>
    <row r="481" spans="1:23" ht="60" x14ac:dyDescent="0.25">
      <c r="A481" s="14" t="s">
        <v>762</v>
      </c>
      <c r="B481" s="14" t="s">
        <v>68</v>
      </c>
      <c r="C481" s="14"/>
      <c r="D481" s="14" t="s">
        <v>208</v>
      </c>
      <c r="E481" s="14" t="s">
        <v>209</v>
      </c>
      <c r="F481" s="14" t="s">
        <v>68</v>
      </c>
      <c r="G481" s="14" t="s">
        <v>138</v>
      </c>
      <c r="H481" s="14" t="s">
        <v>68</v>
      </c>
      <c r="I481" s="14" t="s">
        <v>68</v>
      </c>
      <c r="J481" s="14" t="s">
        <v>102</v>
      </c>
      <c r="K481" s="14" t="s">
        <v>68</v>
      </c>
      <c r="L481" s="14" t="s">
        <v>68</v>
      </c>
      <c r="M481" s="14"/>
      <c r="N481" s="14"/>
      <c r="O481" s="15"/>
      <c r="P481" s="15"/>
      <c r="Q481" s="15"/>
      <c r="R481" s="15"/>
      <c r="S481" s="15"/>
      <c r="T481" s="15"/>
      <c r="U481" s="15"/>
      <c r="V481" s="15"/>
      <c r="W481" s="15"/>
    </row>
    <row r="482" spans="1:23" ht="45" x14ac:dyDescent="0.25">
      <c r="A482" s="14" t="s">
        <v>763</v>
      </c>
      <c r="B482" s="14" t="s">
        <v>68</v>
      </c>
      <c r="C482" s="14"/>
      <c r="D482" s="14" t="s">
        <v>241</v>
      </c>
      <c r="E482" s="14" t="s">
        <v>236</v>
      </c>
      <c r="F482" s="14" t="s">
        <v>91</v>
      </c>
      <c r="G482" s="14" t="s">
        <v>68</v>
      </c>
      <c r="H482" s="14" t="s">
        <v>68</v>
      </c>
      <c r="I482" s="14" t="s">
        <v>68</v>
      </c>
      <c r="J482" s="14" t="s">
        <v>201</v>
      </c>
      <c r="K482" s="14" t="s">
        <v>68</v>
      </c>
      <c r="L482" s="14" t="s">
        <v>68</v>
      </c>
      <c r="M482" s="14"/>
      <c r="N482" s="14"/>
      <c r="O482" s="15"/>
      <c r="P482" s="15"/>
      <c r="Q482" s="15"/>
      <c r="R482" s="15"/>
      <c r="S482" s="15"/>
      <c r="T482" s="15"/>
      <c r="U482" s="15"/>
      <c r="V482" s="15"/>
      <c r="W482" s="15"/>
    </row>
    <row r="483" spans="1:23" ht="45" x14ac:dyDescent="0.25">
      <c r="A483" s="14" t="s">
        <v>764</v>
      </c>
      <c r="B483" s="14" t="s">
        <v>68</v>
      </c>
      <c r="C483" s="14"/>
      <c r="D483" s="14" t="s">
        <v>204</v>
      </c>
      <c r="E483" s="14" t="s">
        <v>205</v>
      </c>
      <c r="F483" s="14" t="s">
        <v>68</v>
      </c>
      <c r="G483" s="14" t="s">
        <v>68</v>
      </c>
      <c r="H483" s="14" t="s">
        <v>68</v>
      </c>
      <c r="I483" s="14" t="s">
        <v>68</v>
      </c>
      <c r="J483" s="14" t="s">
        <v>68</v>
      </c>
      <c r="K483" s="14" t="s">
        <v>68</v>
      </c>
      <c r="L483" s="14" t="s">
        <v>68</v>
      </c>
      <c r="M483" s="14"/>
      <c r="N483" s="14"/>
      <c r="O483" s="15"/>
      <c r="P483" s="15"/>
      <c r="Q483" s="15"/>
      <c r="R483" s="15"/>
      <c r="S483" s="15"/>
      <c r="T483" s="15"/>
      <c r="U483" s="15"/>
      <c r="V483" s="15"/>
      <c r="W483" s="15"/>
    </row>
    <row r="484" spans="1:23" ht="60" x14ac:dyDescent="0.25">
      <c r="A484" s="14" t="s">
        <v>765</v>
      </c>
      <c r="B484" s="14" t="s">
        <v>68</v>
      </c>
      <c r="C484" s="14"/>
      <c r="D484" s="14" t="s">
        <v>314</v>
      </c>
      <c r="E484" s="14" t="s">
        <v>68</v>
      </c>
      <c r="F484" s="14" t="s">
        <v>68</v>
      </c>
      <c r="G484" s="14" t="s">
        <v>361</v>
      </c>
      <c r="H484" s="14" t="s">
        <v>68</v>
      </c>
      <c r="I484" s="14" t="s">
        <v>68</v>
      </c>
      <c r="J484" s="14" t="s">
        <v>102</v>
      </c>
      <c r="K484" s="14" t="s">
        <v>68</v>
      </c>
      <c r="L484" s="14" t="s">
        <v>68</v>
      </c>
      <c r="M484" s="14"/>
      <c r="N484" s="14"/>
      <c r="O484" s="15"/>
      <c r="P484" s="15"/>
      <c r="Q484" s="15"/>
      <c r="R484" s="15"/>
      <c r="S484" s="15"/>
      <c r="T484" s="15"/>
      <c r="U484" s="15"/>
      <c r="V484" s="15"/>
      <c r="W484" s="15"/>
    </row>
    <row r="485" spans="1:23" ht="60" x14ac:dyDescent="0.25">
      <c r="A485" s="14" t="s">
        <v>766</v>
      </c>
      <c r="B485" s="14" t="s">
        <v>68</v>
      </c>
      <c r="C485" s="14"/>
      <c r="D485" s="14" t="s">
        <v>235</v>
      </c>
      <c r="E485" s="14" t="s">
        <v>236</v>
      </c>
      <c r="F485" s="14" t="s">
        <v>74</v>
      </c>
      <c r="G485" s="14" t="s">
        <v>68</v>
      </c>
      <c r="H485" s="14" t="s">
        <v>68</v>
      </c>
      <c r="I485" s="14" t="s">
        <v>68</v>
      </c>
      <c r="J485" s="14" t="s">
        <v>74</v>
      </c>
      <c r="K485" s="14" t="s">
        <v>68</v>
      </c>
      <c r="L485" s="14" t="s">
        <v>68</v>
      </c>
      <c r="M485" s="14"/>
      <c r="N485" s="14"/>
      <c r="O485" s="15"/>
      <c r="P485" s="15"/>
      <c r="Q485" s="15"/>
      <c r="R485" s="15"/>
      <c r="S485" s="15"/>
      <c r="T485" s="15"/>
      <c r="U485" s="15"/>
      <c r="V485" s="15"/>
      <c r="W485" s="15"/>
    </row>
    <row r="486" spans="1:23" ht="45" x14ac:dyDescent="0.25">
      <c r="A486" s="14" t="s">
        <v>767</v>
      </c>
      <c r="B486" s="14" t="s">
        <v>68</v>
      </c>
      <c r="C486" s="14"/>
      <c r="D486" s="14" t="s">
        <v>241</v>
      </c>
      <c r="E486" s="14" t="s">
        <v>236</v>
      </c>
      <c r="F486" s="14" t="s">
        <v>768</v>
      </c>
      <c r="G486" s="14" t="s">
        <v>68</v>
      </c>
      <c r="H486" s="14" t="s">
        <v>68</v>
      </c>
      <c r="I486" s="14" t="s">
        <v>68</v>
      </c>
      <c r="J486" s="14" t="s">
        <v>68</v>
      </c>
      <c r="K486" s="14" t="s">
        <v>68</v>
      </c>
      <c r="L486" s="14" t="s">
        <v>68</v>
      </c>
      <c r="M486" s="14"/>
      <c r="N486" s="14"/>
      <c r="O486" s="15"/>
      <c r="P486" s="15"/>
      <c r="Q486" s="15"/>
      <c r="R486" s="15"/>
      <c r="S486" s="15"/>
      <c r="T486" s="15"/>
      <c r="U486" s="15"/>
      <c r="V486" s="15"/>
      <c r="W486" s="15"/>
    </row>
    <row r="487" spans="1:23" ht="45" x14ac:dyDescent="0.25">
      <c r="A487" s="14" t="s">
        <v>769</v>
      </c>
      <c r="B487" s="14" t="s">
        <v>68</v>
      </c>
      <c r="C487" s="14"/>
      <c r="D487" s="14" t="s">
        <v>249</v>
      </c>
      <c r="E487" s="14" t="s">
        <v>250</v>
      </c>
      <c r="F487" s="14" t="s">
        <v>68</v>
      </c>
      <c r="G487" s="14" t="s">
        <v>162</v>
      </c>
      <c r="H487" s="14" t="s">
        <v>68</v>
      </c>
      <c r="I487" s="14" t="s">
        <v>68</v>
      </c>
      <c r="J487" s="14" t="s">
        <v>68</v>
      </c>
      <c r="K487" s="14" t="s">
        <v>68</v>
      </c>
      <c r="L487" s="14" t="s">
        <v>68</v>
      </c>
      <c r="M487" s="14"/>
      <c r="N487" s="14"/>
      <c r="O487" s="15"/>
      <c r="P487" s="15"/>
      <c r="Q487" s="15"/>
      <c r="R487" s="15"/>
      <c r="S487" s="15"/>
      <c r="T487" s="15"/>
      <c r="U487" s="15"/>
      <c r="V487" s="15"/>
      <c r="W487" s="15"/>
    </row>
    <row r="488" spans="1:23" ht="60" x14ac:dyDescent="0.25">
      <c r="A488" s="14" t="s">
        <v>770</v>
      </c>
      <c r="B488" s="14" t="s">
        <v>68</v>
      </c>
      <c r="C488" s="14"/>
      <c r="D488" s="14" t="s">
        <v>208</v>
      </c>
      <c r="E488" s="14" t="s">
        <v>209</v>
      </c>
      <c r="F488" s="14" t="s">
        <v>68</v>
      </c>
      <c r="G488" s="14" t="s">
        <v>148</v>
      </c>
      <c r="H488" s="14" t="s">
        <v>68</v>
      </c>
      <c r="I488" s="14" t="s">
        <v>68</v>
      </c>
      <c r="J488" s="14" t="s">
        <v>102</v>
      </c>
      <c r="K488" s="14" t="s">
        <v>68</v>
      </c>
      <c r="L488" s="14" t="s">
        <v>68</v>
      </c>
      <c r="M488" s="14"/>
      <c r="N488" s="14"/>
      <c r="O488" s="15"/>
      <c r="P488" s="15"/>
      <c r="Q488" s="15"/>
      <c r="R488" s="15"/>
      <c r="S488" s="15"/>
      <c r="T488" s="15"/>
      <c r="U488" s="15"/>
      <c r="V488" s="15"/>
      <c r="W488" s="15"/>
    </row>
    <row r="489" spans="1:23" ht="45" x14ac:dyDescent="0.25">
      <c r="A489" s="14" t="s">
        <v>771</v>
      </c>
      <c r="B489" s="14" t="s">
        <v>68</v>
      </c>
      <c r="C489" s="14"/>
      <c r="D489" s="14" t="s">
        <v>229</v>
      </c>
      <c r="E489" s="14" t="s">
        <v>230</v>
      </c>
      <c r="F489" s="14" t="s">
        <v>68</v>
      </c>
      <c r="G489" s="14" t="s">
        <v>68</v>
      </c>
      <c r="H489" s="14" t="s">
        <v>68</v>
      </c>
      <c r="I489" s="14" t="s">
        <v>68</v>
      </c>
      <c r="J489" s="14" t="s">
        <v>68</v>
      </c>
      <c r="K489" s="14" t="s">
        <v>68</v>
      </c>
      <c r="L489" s="14" t="s">
        <v>68</v>
      </c>
      <c r="M489" s="14"/>
      <c r="N489" s="14"/>
      <c r="O489" s="15"/>
      <c r="P489" s="15"/>
      <c r="Q489" s="15"/>
      <c r="R489" s="15"/>
      <c r="S489" s="15"/>
      <c r="T489" s="15"/>
      <c r="U489" s="15"/>
      <c r="V489" s="15"/>
      <c r="W489" s="15"/>
    </row>
    <row r="490" spans="1:23" ht="45" x14ac:dyDescent="0.25">
      <c r="A490" s="14" t="s">
        <v>772</v>
      </c>
      <c r="B490" s="14" t="s">
        <v>68</v>
      </c>
      <c r="C490" s="14"/>
      <c r="D490" s="14" t="s">
        <v>199</v>
      </c>
      <c r="E490" s="14" t="s">
        <v>68</v>
      </c>
      <c r="F490" s="14" t="s">
        <v>68</v>
      </c>
      <c r="G490" s="14" t="s">
        <v>68</v>
      </c>
      <c r="H490" s="14" t="s">
        <v>68</v>
      </c>
      <c r="I490" s="14" t="s">
        <v>68</v>
      </c>
      <c r="J490" s="14" t="s">
        <v>68</v>
      </c>
      <c r="K490" s="14" t="s">
        <v>68</v>
      </c>
      <c r="L490" s="14" t="s">
        <v>68</v>
      </c>
      <c r="M490" s="14"/>
      <c r="N490" s="14"/>
      <c r="O490" s="15"/>
      <c r="P490" s="15"/>
      <c r="Q490" s="15"/>
      <c r="R490" s="15"/>
      <c r="S490" s="15"/>
      <c r="T490" s="15"/>
      <c r="U490" s="15"/>
      <c r="V490" s="15"/>
      <c r="W490" s="15"/>
    </row>
    <row r="491" spans="1:23" ht="60" x14ac:dyDescent="0.25">
      <c r="A491" s="14" t="s">
        <v>773</v>
      </c>
      <c r="B491" s="14" t="s">
        <v>68</v>
      </c>
      <c r="C491" s="14"/>
      <c r="D491" s="14" t="s">
        <v>208</v>
      </c>
      <c r="E491" s="14" t="s">
        <v>209</v>
      </c>
      <c r="F491" s="14" t="s">
        <v>68</v>
      </c>
      <c r="G491" s="14" t="s">
        <v>138</v>
      </c>
      <c r="H491" s="14" t="s">
        <v>68</v>
      </c>
      <c r="I491" s="14" t="s">
        <v>68</v>
      </c>
      <c r="J491" s="14" t="s">
        <v>102</v>
      </c>
      <c r="K491" s="14" t="s">
        <v>68</v>
      </c>
      <c r="L491" s="14" t="s">
        <v>68</v>
      </c>
      <c r="M491" s="14"/>
      <c r="N491" s="14"/>
      <c r="O491" s="15"/>
      <c r="P491" s="15"/>
      <c r="Q491" s="15"/>
      <c r="R491" s="15"/>
      <c r="S491" s="15"/>
      <c r="T491" s="15"/>
      <c r="U491" s="15"/>
      <c r="V491" s="15"/>
      <c r="W491" s="15"/>
    </row>
    <row r="492" spans="1:23" x14ac:dyDescent="0.25">
      <c r="A492" s="14" t="s">
        <v>774</v>
      </c>
      <c r="B492" s="14" t="s">
        <v>68</v>
      </c>
      <c r="C492" s="14"/>
      <c r="D492" s="14" t="s">
        <v>68</v>
      </c>
      <c r="E492" s="14" t="s">
        <v>68</v>
      </c>
      <c r="F492" s="14" t="s">
        <v>88</v>
      </c>
      <c r="G492" s="14" t="s">
        <v>68</v>
      </c>
      <c r="H492" s="14" t="s">
        <v>68</v>
      </c>
      <c r="I492" s="14" t="s">
        <v>68</v>
      </c>
      <c r="J492" s="14" t="s">
        <v>102</v>
      </c>
      <c r="K492" s="14" t="s">
        <v>68</v>
      </c>
      <c r="L492" s="14" t="s">
        <v>68</v>
      </c>
      <c r="M492" s="14"/>
      <c r="N492" s="14"/>
      <c r="O492" s="15"/>
      <c r="P492" s="15"/>
      <c r="Q492" s="15"/>
      <c r="R492" s="15"/>
      <c r="S492" s="15"/>
      <c r="T492" s="15"/>
      <c r="U492" s="15"/>
      <c r="V492" s="15"/>
      <c r="W492" s="15"/>
    </row>
    <row r="493" spans="1:23" ht="45" x14ac:dyDescent="0.25">
      <c r="A493" s="14" t="s">
        <v>775</v>
      </c>
      <c r="B493" s="14" t="s">
        <v>68</v>
      </c>
      <c r="C493" s="14"/>
      <c r="D493" s="14" t="s">
        <v>328</v>
      </c>
      <c r="E493" s="14" t="s">
        <v>296</v>
      </c>
      <c r="F493" s="14" t="s">
        <v>68</v>
      </c>
      <c r="G493" s="14" t="s">
        <v>68</v>
      </c>
      <c r="H493" s="14" t="s">
        <v>68</v>
      </c>
      <c r="I493" s="14" t="s">
        <v>68</v>
      </c>
      <c r="J493" s="14" t="s">
        <v>68</v>
      </c>
      <c r="K493" s="14" t="s">
        <v>68</v>
      </c>
      <c r="L493" s="14" t="s">
        <v>68</v>
      </c>
      <c r="M493" s="14"/>
      <c r="N493" s="14"/>
      <c r="O493" s="15"/>
      <c r="P493" s="15"/>
      <c r="Q493" s="15"/>
      <c r="R493" s="15"/>
      <c r="S493" s="15"/>
      <c r="T493" s="15"/>
      <c r="U493" s="15"/>
      <c r="V493" s="15"/>
      <c r="W493" s="15"/>
    </row>
    <row r="494" spans="1:23" ht="45" x14ac:dyDescent="0.25">
      <c r="A494" s="14" t="s">
        <v>776</v>
      </c>
      <c r="B494" s="14" t="s">
        <v>68</v>
      </c>
      <c r="C494" s="14"/>
      <c r="D494" s="14" t="s">
        <v>238</v>
      </c>
      <c r="E494" s="14" t="s">
        <v>239</v>
      </c>
      <c r="F494" s="14" t="s">
        <v>68</v>
      </c>
      <c r="G494" s="14" t="s">
        <v>68</v>
      </c>
      <c r="H494" s="14" t="s">
        <v>68</v>
      </c>
      <c r="I494" s="14" t="s">
        <v>68</v>
      </c>
      <c r="J494" s="14" t="s">
        <v>68</v>
      </c>
      <c r="K494" s="14" t="s">
        <v>68</v>
      </c>
      <c r="L494" s="14" t="s">
        <v>68</v>
      </c>
      <c r="M494" s="14"/>
      <c r="N494" s="14"/>
      <c r="O494" s="15"/>
      <c r="P494" s="15"/>
      <c r="Q494" s="15"/>
      <c r="R494" s="15"/>
      <c r="S494" s="15"/>
      <c r="T494" s="15"/>
      <c r="U494" s="15"/>
      <c r="V494" s="15"/>
      <c r="W494" s="15"/>
    </row>
    <row r="495" spans="1:23" ht="45" x14ac:dyDescent="0.25">
      <c r="A495" s="14" t="s">
        <v>777</v>
      </c>
      <c r="B495" s="14" t="s">
        <v>68</v>
      </c>
      <c r="C495" s="14"/>
      <c r="D495" s="14" t="s">
        <v>199</v>
      </c>
      <c r="E495" s="14" t="s">
        <v>68</v>
      </c>
      <c r="F495" s="14" t="s">
        <v>68</v>
      </c>
      <c r="G495" s="14" t="s">
        <v>78</v>
      </c>
      <c r="H495" s="14" t="s">
        <v>68</v>
      </c>
      <c r="I495" s="14" t="s">
        <v>68</v>
      </c>
      <c r="J495" s="14" t="s">
        <v>201</v>
      </c>
      <c r="K495" s="14" t="s">
        <v>68</v>
      </c>
      <c r="L495" s="14" t="s">
        <v>68</v>
      </c>
      <c r="M495" s="14"/>
      <c r="N495" s="14"/>
      <c r="O495" s="15"/>
      <c r="P495" s="15"/>
      <c r="Q495" s="15"/>
      <c r="R495" s="15"/>
      <c r="S495" s="15"/>
      <c r="T495" s="15"/>
      <c r="U495" s="15"/>
      <c r="V495" s="15"/>
      <c r="W495" s="15"/>
    </row>
    <row r="496" spans="1:23" ht="60" x14ac:dyDescent="0.25">
      <c r="A496" s="14" t="s">
        <v>778</v>
      </c>
      <c r="B496" s="14" t="s">
        <v>68</v>
      </c>
      <c r="C496" s="14"/>
      <c r="D496" s="14" t="s">
        <v>208</v>
      </c>
      <c r="E496" s="14" t="s">
        <v>209</v>
      </c>
      <c r="F496" s="14" t="s">
        <v>68</v>
      </c>
      <c r="G496" s="14" t="s">
        <v>148</v>
      </c>
      <c r="H496" s="14" t="s">
        <v>68</v>
      </c>
      <c r="I496" s="14" t="s">
        <v>68</v>
      </c>
      <c r="J496" s="14" t="s">
        <v>102</v>
      </c>
      <c r="K496" s="14" t="s">
        <v>68</v>
      </c>
      <c r="L496" s="14" t="s">
        <v>68</v>
      </c>
      <c r="M496" s="14"/>
      <c r="N496" s="14"/>
      <c r="O496" s="15"/>
      <c r="P496" s="15"/>
      <c r="Q496" s="15"/>
      <c r="R496" s="15"/>
      <c r="S496" s="15"/>
      <c r="T496" s="15"/>
      <c r="U496" s="15"/>
      <c r="V496" s="15"/>
      <c r="W496" s="15"/>
    </row>
    <row r="497" spans="1:23" ht="45" x14ac:dyDescent="0.25">
      <c r="A497" s="14" t="s">
        <v>779</v>
      </c>
      <c r="B497" s="14" t="s">
        <v>68</v>
      </c>
      <c r="C497" s="14"/>
      <c r="D497" s="14" t="s">
        <v>325</v>
      </c>
      <c r="E497" s="14" t="s">
        <v>326</v>
      </c>
      <c r="F497" s="14" t="s">
        <v>68</v>
      </c>
      <c r="G497" s="14" t="s">
        <v>68</v>
      </c>
      <c r="H497" s="14" t="s">
        <v>68</v>
      </c>
      <c r="I497" s="14" t="s">
        <v>68</v>
      </c>
      <c r="J497" s="14" t="s">
        <v>68</v>
      </c>
      <c r="K497" s="14" t="s">
        <v>68</v>
      </c>
      <c r="L497" s="14" t="s">
        <v>68</v>
      </c>
      <c r="M497" s="14"/>
      <c r="N497" s="14"/>
      <c r="O497" s="15"/>
      <c r="P497" s="15"/>
      <c r="Q497" s="15"/>
      <c r="R497" s="15"/>
      <c r="S497" s="15"/>
      <c r="T497" s="15"/>
      <c r="U497" s="15"/>
      <c r="V497" s="15"/>
      <c r="W497" s="15"/>
    </row>
    <row r="498" spans="1:23" ht="45" x14ac:dyDescent="0.25">
      <c r="A498" s="14" t="s">
        <v>780</v>
      </c>
      <c r="B498" s="14" t="s">
        <v>68</v>
      </c>
      <c r="C498" s="14"/>
      <c r="D498" s="14" t="s">
        <v>279</v>
      </c>
      <c r="E498" s="14" t="s">
        <v>280</v>
      </c>
      <c r="F498" s="14" t="s">
        <v>634</v>
      </c>
      <c r="G498" s="14" t="s">
        <v>68</v>
      </c>
      <c r="H498" s="14" t="s">
        <v>68</v>
      </c>
      <c r="I498" s="14" t="s">
        <v>68</v>
      </c>
      <c r="J498" s="14" t="s">
        <v>225</v>
      </c>
      <c r="K498" s="14" t="s">
        <v>68</v>
      </c>
      <c r="L498" s="14" t="s">
        <v>68</v>
      </c>
      <c r="M498" s="14"/>
      <c r="N498" s="14"/>
      <c r="O498" s="15"/>
      <c r="P498" s="15"/>
      <c r="Q498" s="15"/>
      <c r="R498" s="15"/>
      <c r="S498" s="15"/>
      <c r="T498" s="15"/>
      <c r="U498" s="15"/>
      <c r="V498" s="15"/>
      <c r="W498" s="15"/>
    </row>
    <row r="499" spans="1:23" ht="60" x14ac:dyDescent="0.25">
      <c r="A499" s="14" t="s">
        <v>781</v>
      </c>
      <c r="B499" s="14" t="s">
        <v>68</v>
      </c>
      <c r="C499" s="14"/>
      <c r="D499" s="14" t="s">
        <v>314</v>
      </c>
      <c r="E499" s="14" t="s">
        <v>68</v>
      </c>
      <c r="F499" s="14" t="s">
        <v>68</v>
      </c>
      <c r="G499" s="14" t="s">
        <v>404</v>
      </c>
      <c r="H499" s="14" t="s">
        <v>68</v>
      </c>
      <c r="I499" s="14" t="s">
        <v>68</v>
      </c>
      <c r="J499" s="14" t="s">
        <v>102</v>
      </c>
      <c r="K499" s="14" t="s">
        <v>68</v>
      </c>
      <c r="L499" s="14" t="s">
        <v>68</v>
      </c>
      <c r="M499" s="14"/>
      <c r="N499" s="14"/>
      <c r="O499" s="15"/>
      <c r="P499" s="15"/>
      <c r="Q499" s="15"/>
      <c r="R499" s="15"/>
      <c r="S499" s="15"/>
      <c r="T499" s="15"/>
      <c r="U499" s="15"/>
      <c r="V499" s="15"/>
      <c r="W499" s="15"/>
    </row>
    <row r="500" spans="1:23" ht="45" x14ac:dyDescent="0.25">
      <c r="A500" s="14" t="s">
        <v>782</v>
      </c>
      <c r="B500" s="14" t="s">
        <v>68</v>
      </c>
      <c r="C500" s="14"/>
      <c r="D500" s="14" t="s">
        <v>241</v>
      </c>
      <c r="E500" s="14" t="s">
        <v>236</v>
      </c>
      <c r="F500" s="14" t="s">
        <v>83</v>
      </c>
      <c r="G500" s="14" t="s">
        <v>68</v>
      </c>
      <c r="H500" s="14" t="s">
        <v>68</v>
      </c>
      <c r="I500" s="14" t="s">
        <v>68</v>
      </c>
      <c r="J500" s="14" t="s">
        <v>201</v>
      </c>
      <c r="K500" s="14" t="s">
        <v>68</v>
      </c>
      <c r="L500" s="14" t="s">
        <v>68</v>
      </c>
      <c r="M500" s="14"/>
      <c r="N500" s="14"/>
      <c r="O500" s="15"/>
      <c r="P500" s="15"/>
      <c r="Q500" s="15"/>
      <c r="R500" s="15"/>
      <c r="S500" s="15"/>
      <c r="T500" s="15"/>
      <c r="U500" s="15"/>
      <c r="V500" s="15"/>
      <c r="W500" s="15"/>
    </row>
    <row r="501" spans="1:23" ht="45" x14ac:dyDescent="0.25">
      <c r="A501" s="14" t="s">
        <v>783</v>
      </c>
      <c r="B501" s="14" t="s">
        <v>68</v>
      </c>
      <c r="C501" s="14"/>
      <c r="D501" s="14" t="s">
        <v>288</v>
      </c>
      <c r="E501" s="14" t="s">
        <v>291</v>
      </c>
      <c r="F501" s="14" t="s">
        <v>68</v>
      </c>
      <c r="G501" s="14" t="s">
        <v>68</v>
      </c>
      <c r="H501" s="14" t="s">
        <v>68</v>
      </c>
      <c r="I501" s="14" t="s">
        <v>68</v>
      </c>
      <c r="J501" s="14" t="s">
        <v>68</v>
      </c>
      <c r="K501" s="14" t="s">
        <v>68</v>
      </c>
      <c r="L501" s="14" t="s">
        <v>68</v>
      </c>
      <c r="M501" s="14"/>
      <c r="N501" s="14"/>
      <c r="O501" s="15"/>
      <c r="P501" s="15"/>
      <c r="Q501" s="15"/>
      <c r="R501" s="15"/>
      <c r="S501" s="15"/>
      <c r="T501" s="15"/>
      <c r="U501" s="15"/>
      <c r="V501" s="15"/>
      <c r="W501" s="15"/>
    </row>
    <row r="502" spans="1:23" ht="45" x14ac:dyDescent="0.25">
      <c r="A502" s="14" t="s">
        <v>784</v>
      </c>
      <c r="B502" s="14" t="s">
        <v>68</v>
      </c>
      <c r="C502" s="14"/>
      <c r="D502" s="14" t="s">
        <v>229</v>
      </c>
      <c r="E502" s="14" t="s">
        <v>230</v>
      </c>
      <c r="F502" s="14" t="s">
        <v>68</v>
      </c>
      <c r="G502" s="14" t="s">
        <v>68</v>
      </c>
      <c r="H502" s="14" t="s">
        <v>68</v>
      </c>
      <c r="I502" s="14" t="s">
        <v>68</v>
      </c>
      <c r="J502" s="14" t="s">
        <v>68</v>
      </c>
      <c r="K502" s="14" t="s">
        <v>68</v>
      </c>
      <c r="L502" s="14" t="s">
        <v>68</v>
      </c>
      <c r="M502" s="14"/>
      <c r="N502" s="14"/>
      <c r="O502" s="15"/>
      <c r="P502" s="15"/>
      <c r="Q502" s="15"/>
      <c r="R502" s="15"/>
      <c r="S502" s="15"/>
      <c r="T502" s="15"/>
      <c r="U502" s="15"/>
      <c r="V502" s="15"/>
      <c r="W502" s="15"/>
    </row>
    <row r="503" spans="1:23" ht="45" x14ac:dyDescent="0.25">
      <c r="A503" s="14" t="s">
        <v>785</v>
      </c>
      <c r="B503" s="14" t="s">
        <v>68</v>
      </c>
      <c r="C503" s="14"/>
      <c r="D503" s="14" t="s">
        <v>199</v>
      </c>
      <c r="E503" s="14" t="s">
        <v>68</v>
      </c>
      <c r="F503" s="14" t="s">
        <v>68</v>
      </c>
      <c r="G503" s="14" t="s">
        <v>78</v>
      </c>
      <c r="H503" s="14" t="s">
        <v>68</v>
      </c>
      <c r="I503" s="14" t="s">
        <v>68</v>
      </c>
      <c r="J503" s="14" t="s">
        <v>201</v>
      </c>
      <c r="K503" s="14" t="s">
        <v>68</v>
      </c>
      <c r="L503" s="14" t="s">
        <v>68</v>
      </c>
      <c r="M503" s="14"/>
      <c r="N503" s="14"/>
      <c r="O503" s="15"/>
      <c r="P503" s="15"/>
      <c r="Q503" s="15"/>
      <c r="R503" s="15"/>
      <c r="S503" s="15"/>
      <c r="T503" s="15"/>
      <c r="U503" s="15"/>
      <c r="V503" s="15"/>
      <c r="W503" s="15"/>
    </row>
    <row r="504" spans="1:23" ht="45" x14ac:dyDescent="0.25">
      <c r="A504" s="14" t="s">
        <v>786</v>
      </c>
      <c r="B504" s="14" t="s">
        <v>68</v>
      </c>
      <c r="C504" s="14"/>
      <c r="D504" s="14" t="s">
        <v>284</v>
      </c>
      <c r="E504" s="14" t="s">
        <v>285</v>
      </c>
      <c r="F504" s="14" t="s">
        <v>68</v>
      </c>
      <c r="G504" s="14" t="s">
        <v>68</v>
      </c>
      <c r="H504" s="14" t="s">
        <v>68</v>
      </c>
      <c r="I504" s="14" t="s">
        <v>68</v>
      </c>
      <c r="J504" s="14" t="s">
        <v>68</v>
      </c>
      <c r="K504" s="14" t="s">
        <v>68</v>
      </c>
      <c r="L504" s="14" t="s">
        <v>68</v>
      </c>
      <c r="M504" s="14"/>
      <c r="N504" s="14"/>
      <c r="O504" s="15"/>
      <c r="P504" s="15"/>
      <c r="Q504" s="15"/>
      <c r="R504" s="15"/>
      <c r="S504" s="15"/>
      <c r="T504" s="15"/>
      <c r="U504" s="15"/>
      <c r="V504" s="15"/>
      <c r="W504" s="15"/>
    </row>
    <row r="505" spans="1:23" ht="45" x14ac:dyDescent="0.25">
      <c r="A505" s="14" t="s">
        <v>787</v>
      </c>
      <c r="B505" s="14" t="s">
        <v>68</v>
      </c>
      <c r="C505" s="14"/>
      <c r="D505" s="14" t="s">
        <v>241</v>
      </c>
      <c r="E505" s="14" t="s">
        <v>236</v>
      </c>
      <c r="F505" s="14" t="s">
        <v>68</v>
      </c>
      <c r="G505" s="14" t="s">
        <v>68</v>
      </c>
      <c r="H505" s="14" t="s">
        <v>68</v>
      </c>
      <c r="I505" s="14" t="s">
        <v>68</v>
      </c>
      <c r="J505" s="14" t="s">
        <v>68</v>
      </c>
      <c r="K505" s="14" t="s">
        <v>68</v>
      </c>
      <c r="L505" s="14" t="s">
        <v>68</v>
      </c>
      <c r="M505" s="14"/>
      <c r="N505" s="14"/>
      <c r="O505" s="15"/>
      <c r="P505" s="15"/>
      <c r="Q505" s="15"/>
      <c r="R505" s="15"/>
      <c r="S505" s="15"/>
      <c r="T505" s="15"/>
      <c r="U505" s="15"/>
      <c r="V505" s="15"/>
      <c r="W505" s="15"/>
    </row>
    <row r="506" spans="1:23" ht="45" x14ac:dyDescent="0.25">
      <c r="A506" s="14" t="s">
        <v>788</v>
      </c>
      <c r="B506" s="14" t="s">
        <v>68</v>
      </c>
      <c r="C506" s="14"/>
      <c r="D506" s="14" t="s">
        <v>204</v>
      </c>
      <c r="E506" s="14" t="s">
        <v>205</v>
      </c>
      <c r="F506" s="14" t="s">
        <v>68</v>
      </c>
      <c r="G506" s="14" t="s">
        <v>68</v>
      </c>
      <c r="H506" s="14" t="s">
        <v>68</v>
      </c>
      <c r="I506" s="14" t="s">
        <v>68</v>
      </c>
      <c r="J506" s="14" t="s">
        <v>68</v>
      </c>
      <c r="K506" s="14" t="s">
        <v>68</v>
      </c>
      <c r="L506" s="14" t="s">
        <v>68</v>
      </c>
      <c r="M506" s="14"/>
      <c r="N506" s="14"/>
      <c r="O506" s="15"/>
      <c r="P506" s="15"/>
      <c r="Q506" s="15"/>
      <c r="R506" s="15"/>
      <c r="S506" s="15"/>
      <c r="T506" s="15"/>
      <c r="U506" s="15"/>
      <c r="V506" s="15"/>
      <c r="W506" s="15"/>
    </row>
    <row r="507" spans="1:23" ht="45" x14ac:dyDescent="0.25">
      <c r="A507" s="14" t="s">
        <v>789</v>
      </c>
      <c r="B507" s="14" t="s">
        <v>68</v>
      </c>
      <c r="C507" s="14"/>
      <c r="D507" s="14" t="s">
        <v>246</v>
      </c>
      <c r="E507" s="14" t="s">
        <v>247</v>
      </c>
      <c r="F507" s="14" t="s">
        <v>68</v>
      </c>
      <c r="G507" s="14" t="s">
        <v>102</v>
      </c>
      <c r="H507" s="14" t="s">
        <v>68</v>
      </c>
      <c r="I507" s="14" t="s">
        <v>68</v>
      </c>
      <c r="J507" s="14" t="s">
        <v>102</v>
      </c>
      <c r="K507" s="14" t="s">
        <v>68</v>
      </c>
      <c r="L507" s="14" t="s">
        <v>68</v>
      </c>
      <c r="M507" s="14"/>
      <c r="N507" s="14"/>
      <c r="O507" s="15"/>
      <c r="P507" s="15"/>
      <c r="Q507" s="15"/>
      <c r="R507" s="15"/>
      <c r="S507" s="15"/>
      <c r="T507" s="15"/>
      <c r="U507" s="15"/>
      <c r="V507" s="15"/>
      <c r="W507" s="15"/>
    </row>
    <row r="508" spans="1:23" ht="45" x14ac:dyDescent="0.25">
      <c r="A508" s="14" t="s">
        <v>790</v>
      </c>
      <c r="B508" s="14" t="s">
        <v>68</v>
      </c>
      <c r="C508" s="14"/>
      <c r="D508" s="14" t="s">
        <v>232</v>
      </c>
      <c r="E508" s="14" t="s">
        <v>233</v>
      </c>
      <c r="F508" s="14" t="s">
        <v>68</v>
      </c>
      <c r="G508" s="14" t="s">
        <v>68</v>
      </c>
      <c r="H508" s="14" t="s">
        <v>68</v>
      </c>
      <c r="I508" s="14" t="s">
        <v>68</v>
      </c>
      <c r="J508" s="14" t="s">
        <v>68</v>
      </c>
      <c r="K508" s="14" t="s">
        <v>68</v>
      </c>
      <c r="L508" s="14" t="s">
        <v>68</v>
      </c>
      <c r="M508" s="14"/>
      <c r="N508" s="14"/>
      <c r="O508" s="15"/>
      <c r="P508" s="15"/>
      <c r="Q508" s="15"/>
      <c r="R508" s="15"/>
      <c r="S508" s="15"/>
      <c r="T508" s="15"/>
      <c r="U508" s="15"/>
      <c r="V508" s="15"/>
      <c r="W508" s="15"/>
    </row>
    <row r="509" spans="1:23" ht="45" x14ac:dyDescent="0.25">
      <c r="A509" s="14" t="s">
        <v>791</v>
      </c>
      <c r="B509" s="14" t="s">
        <v>68</v>
      </c>
      <c r="C509" s="14"/>
      <c r="D509" s="14" t="s">
        <v>199</v>
      </c>
      <c r="E509" s="14" t="s">
        <v>68</v>
      </c>
      <c r="F509" s="14" t="s">
        <v>68</v>
      </c>
      <c r="G509" s="14" t="s">
        <v>78</v>
      </c>
      <c r="H509" s="14" t="s">
        <v>68</v>
      </c>
      <c r="I509" s="14" t="s">
        <v>68</v>
      </c>
      <c r="J509" s="14" t="s">
        <v>201</v>
      </c>
      <c r="K509" s="14" t="s">
        <v>68</v>
      </c>
      <c r="L509" s="14" t="s">
        <v>68</v>
      </c>
      <c r="M509" s="14"/>
      <c r="N509" s="14"/>
      <c r="O509" s="15"/>
      <c r="P509" s="15"/>
      <c r="Q509" s="15"/>
      <c r="R509" s="15"/>
      <c r="S509" s="15"/>
      <c r="T509" s="15"/>
      <c r="U509" s="15"/>
      <c r="V509" s="15"/>
      <c r="W509" s="15"/>
    </row>
    <row r="510" spans="1:23" ht="60" x14ac:dyDescent="0.25">
      <c r="A510" s="14" t="s">
        <v>792</v>
      </c>
      <c r="B510" s="14" t="s">
        <v>68</v>
      </c>
      <c r="C510" s="14"/>
      <c r="D510" s="14" t="s">
        <v>235</v>
      </c>
      <c r="E510" s="14" t="s">
        <v>236</v>
      </c>
      <c r="F510" s="14" t="s">
        <v>74</v>
      </c>
      <c r="G510" s="14" t="s">
        <v>68</v>
      </c>
      <c r="H510" s="14" t="s">
        <v>68</v>
      </c>
      <c r="I510" s="14" t="s">
        <v>68</v>
      </c>
      <c r="J510" s="14" t="s">
        <v>74</v>
      </c>
      <c r="K510" s="14" t="s">
        <v>68</v>
      </c>
      <c r="L510" s="14" t="s">
        <v>68</v>
      </c>
      <c r="M510" s="14"/>
      <c r="N510" s="14"/>
      <c r="O510" s="15"/>
      <c r="P510" s="15"/>
      <c r="Q510" s="15"/>
      <c r="R510" s="15"/>
      <c r="S510" s="15"/>
      <c r="T510" s="15"/>
      <c r="U510" s="15"/>
      <c r="V510" s="15"/>
      <c r="W510" s="15"/>
    </row>
    <row r="511" spans="1:23" x14ac:dyDescent="0.25">
      <c r="A511" s="14" t="s">
        <v>793</v>
      </c>
      <c r="B511" s="14" t="s">
        <v>68</v>
      </c>
      <c r="C511" s="14"/>
      <c r="D511" s="14" t="s">
        <v>68</v>
      </c>
      <c r="E511" s="14" t="s">
        <v>68</v>
      </c>
      <c r="F511" s="14" t="s">
        <v>148</v>
      </c>
      <c r="G511" s="14" t="s">
        <v>68</v>
      </c>
      <c r="H511" s="14" t="s">
        <v>68</v>
      </c>
      <c r="I511" s="14" t="s">
        <v>68</v>
      </c>
      <c r="J511" s="14" t="s">
        <v>102</v>
      </c>
      <c r="K511" s="14" t="s">
        <v>68</v>
      </c>
      <c r="L511" s="14" t="s">
        <v>68</v>
      </c>
      <c r="M511" s="14"/>
      <c r="N511" s="14"/>
      <c r="O511" s="15"/>
      <c r="P511" s="15"/>
      <c r="Q511" s="15"/>
      <c r="R511" s="15"/>
      <c r="S511" s="15"/>
      <c r="T511" s="15"/>
      <c r="U511" s="15"/>
      <c r="V511" s="15"/>
      <c r="W511" s="15"/>
    </row>
    <row r="512" spans="1:23" ht="45" x14ac:dyDescent="0.25">
      <c r="A512" s="14" t="s">
        <v>794</v>
      </c>
      <c r="B512" s="14" t="s">
        <v>68</v>
      </c>
      <c r="C512" s="14"/>
      <c r="D512" s="14" t="s">
        <v>328</v>
      </c>
      <c r="E512" s="14" t="s">
        <v>296</v>
      </c>
      <c r="F512" s="14" t="s">
        <v>68</v>
      </c>
      <c r="G512" s="14" t="s">
        <v>68</v>
      </c>
      <c r="H512" s="14" t="s">
        <v>68</v>
      </c>
      <c r="I512" s="14" t="s">
        <v>68</v>
      </c>
      <c r="J512" s="14" t="s">
        <v>68</v>
      </c>
      <c r="K512" s="14" t="s">
        <v>68</v>
      </c>
      <c r="L512" s="14" t="s">
        <v>68</v>
      </c>
      <c r="M512" s="14"/>
      <c r="N512" s="14"/>
      <c r="O512" s="15"/>
      <c r="P512" s="15"/>
      <c r="Q512" s="15"/>
      <c r="R512" s="15"/>
      <c r="S512" s="15"/>
      <c r="T512" s="15"/>
      <c r="U512" s="15"/>
      <c r="V512" s="15"/>
      <c r="W512" s="15"/>
    </row>
    <row r="513" spans="1:23" ht="45" x14ac:dyDescent="0.25">
      <c r="A513" s="14" t="s">
        <v>795</v>
      </c>
      <c r="B513" s="14" t="s">
        <v>68</v>
      </c>
      <c r="C513" s="14"/>
      <c r="D513" s="14" t="s">
        <v>288</v>
      </c>
      <c r="E513" s="14" t="s">
        <v>291</v>
      </c>
      <c r="F513" s="14" t="s">
        <v>68</v>
      </c>
      <c r="G513" s="14" t="s">
        <v>68</v>
      </c>
      <c r="H513" s="14" t="s">
        <v>68</v>
      </c>
      <c r="I513" s="14" t="s">
        <v>68</v>
      </c>
      <c r="J513" s="14" t="s">
        <v>68</v>
      </c>
      <c r="K513" s="14" t="s">
        <v>68</v>
      </c>
      <c r="L513" s="14" t="s">
        <v>68</v>
      </c>
      <c r="M513" s="14"/>
      <c r="N513" s="14"/>
      <c r="O513" s="15"/>
      <c r="P513" s="15"/>
      <c r="Q513" s="15"/>
      <c r="R513" s="15"/>
      <c r="S513" s="15"/>
      <c r="T513" s="15"/>
      <c r="U513" s="15"/>
      <c r="V513" s="15"/>
      <c r="W513" s="15"/>
    </row>
    <row r="514" spans="1:23" ht="45" x14ac:dyDescent="0.25">
      <c r="A514" s="14" t="s">
        <v>796</v>
      </c>
      <c r="B514" s="14" t="s">
        <v>68</v>
      </c>
      <c r="C514" s="14"/>
      <c r="D514" s="14" t="s">
        <v>288</v>
      </c>
      <c r="E514" s="14" t="s">
        <v>296</v>
      </c>
      <c r="F514" s="14" t="s">
        <v>68</v>
      </c>
      <c r="G514" s="14" t="s">
        <v>68</v>
      </c>
      <c r="H514" s="14" t="s">
        <v>68</v>
      </c>
      <c r="I514" s="14" t="s">
        <v>68</v>
      </c>
      <c r="J514" s="14" t="s">
        <v>68</v>
      </c>
      <c r="K514" s="14" t="s">
        <v>68</v>
      </c>
      <c r="L514" s="14" t="s">
        <v>68</v>
      </c>
      <c r="M514" s="14"/>
      <c r="N514" s="14"/>
      <c r="O514" s="15"/>
      <c r="P514" s="15"/>
      <c r="Q514" s="15"/>
      <c r="R514" s="15"/>
      <c r="S514" s="15"/>
      <c r="T514" s="15"/>
      <c r="U514" s="15"/>
      <c r="V514" s="15"/>
      <c r="W514" s="15"/>
    </row>
    <row r="515" spans="1:23" ht="45" x14ac:dyDescent="0.25">
      <c r="A515" s="14" t="s">
        <v>797</v>
      </c>
      <c r="B515" s="14" t="s">
        <v>68</v>
      </c>
      <c r="C515" s="14"/>
      <c r="D515" s="14" t="s">
        <v>238</v>
      </c>
      <c r="E515" s="14" t="s">
        <v>239</v>
      </c>
      <c r="F515" s="14" t="s">
        <v>68</v>
      </c>
      <c r="G515" s="14" t="s">
        <v>68</v>
      </c>
      <c r="H515" s="14" t="s">
        <v>68</v>
      </c>
      <c r="I515" s="14" t="s">
        <v>68</v>
      </c>
      <c r="J515" s="14" t="s">
        <v>68</v>
      </c>
      <c r="K515" s="14" t="s">
        <v>68</v>
      </c>
      <c r="L515" s="14" t="s">
        <v>68</v>
      </c>
      <c r="M515" s="14"/>
      <c r="N515" s="14"/>
      <c r="O515" s="15"/>
      <c r="P515" s="15"/>
      <c r="Q515" s="15"/>
      <c r="R515" s="15"/>
      <c r="S515" s="15"/>
      <c r="T515" s="15"/>
      <c r="U515" s="15"/>
      <c r="V515" s="15"/>
      <c r="W515" s="15"/>
    </row>
    <row r="516" spans="1:23" ht="45" x14ac:dyDescent="0.25">
      <c r="A516" s="14" t="s">
        <v>798</v>
      </c>
      <c r="B516" s="14" t="s">
        <v>68</v>
      </c>
      <c r="C516" s="14"/>
      <c r="D516" s="14" t="s">
        <v>288</v>
      </c>
      <c r="E516" s="14" t="s">
        <v>291</v>
      </c>
      <c r="F516" s="14" t="s">
        <v>68</v>
      </c>
      <c r="G516" s="14" t="s">
        <v>68</v>
      </c>
      <c r="H516" s="14" t="s">
        <v>68</v>
      </c>
      <c r="I516" s="14" t="s">
        <v>68</v>
      </c>
      <c r="J516" s="14" t="s">
        <v>68</v>
      </c>
      <c r="K516" s="14" t="s">
        <v>68</v>
      </c>
      <c r="L516" s="14" t="s">
        <v>68</v>
      </c>
      <c r="M516" s="14"/>
      <c r="N516" s="14"/>
      <c r="O516" s="15"/>
      <c r="P516" s="15"/>
      <c r="Q516" s="15"/>
      <c r="R516" s="15"/>
      <c r="S516" s="15"/>
      <c r="T516" s="15"/>
      <c r="U516" s="15"/>
      <c r="V516" s="15"/>
      <c r="W516" s="15"/>
    </row>
    <row r="517" spans="1:23" ht="45" x14ac:dyDescent="0.25">
      <c r="A517" s="14" t="s">
        <v>799</v>
      </c>
      <c r="B517" s="14" t="s">
        <v>68</v>
      </c>
      <c r="C517" s="14"/>
      <c r="D517" s="14" t="s">
        <v>246</v>
      </c>
      <c r="E517" s="14" t="s">
        <v>247</v>
      </c>
      <c r="F517" s="14" t="s">
        <v>68</v>
      </c>
      <c r="G517" s="14" t="s">
        <v>102</v>
      </c>
      <c r="H517" s="14" t="s">
        <v>68</v>
      </c>
      <c r="I517" s="14" t="s">
        <v>68</v>
      </c>
      <c r="J517" s="14" t="s">
        <v>102</v>
      </c>
      <c r="K517" s="14" t="s">
        <v>68</v>
      </c>
      <c r="L517" s="14" t="s">
        <v>68</v>
      </c>
      <c r="M517" s="14"/>
      <c r="N517" s="14"/>
      <c r="O517" s="15"/>
      <c r="P517" s="15"/>
      <c r="Q517" s="15"/>
      <c r="R517" s="15"/>
      <c r="S517" s="15"/>
      <c r="T517" s="15"/>
      <c r="U517" s="15"/>
      <c r="V517" s="15"/>
      <c r="W517" s="15"/>
    </row>
    <row r="518" spans="1:23" ht="60" x14ac:dyDescent="0.25">
      <c r="A518" s="14" t="s">
        <v>800</v>
      </c>
      <c r="B518" s="14" t="s">
        <v>68</v>
      </c>
      <c r="C518" s="14"/>
      <c r="D518" s="14" t="s">
        <v>235</v>
      </c>
      <c r="E518" s="14" t="s">
        <v>236</v>
      </c>
      <c r="F518" s="14" t="s">
        <v>74</v>
      </c>
      <c r="G518" s="14" t="s">
        <v>68</v>
      </c>
      <c r="H518" s="14" t="s">
        <v>68</v>
      </c>
      <c r="I518" s="14" t="s">
        <v>68</v>
      </c>
      <c r="J518" s="14" t="s">
        <v>74</v>
      </c>
      <c r="K518" s="14" t="s">
        <v>68</v>
      </c>
      <c r="L518" s="14" t="s">
        <v>68</v>
      </c>
      <c r="M518" s="14"/>
      <c r="N518" s="14"/>
      <c r="O518" s="15"/>
      <c r="P518" s="15"/>
      <c r="Q518" s="15"/>
      <c r="R518" s="15"/>
      <c r="S518" s="15"/>
      <c r="T518" s="15"/>
      <c r="U518" s="15"/>
      <c r="V518" s="15"/>
      <c r="W518" s="15"/>
    </row>
    <row r="519" spans="1:23" ht="45" x14ac:dyDescent="0.25">
      <c r="A519" s="14" t="s">
        <v>801</v>
      </c>
      <c r="B519" s="14" t="s">
        <v>68</v>
      </c>
      <c r="C519" s="14"/>
      <c r="D519" s="14" t="s">
        <v>204</v>
      </c>
      <c r="E519" s="14" t="s">
        <v>205</v>
      </c>
      <c r="F519" s="14" t="s">
        <v>68</v>
      </c>
      <c r="G519" s="14" t="s">
        <v>68</v>
      </c>
      <c r="H519" s="14" t="s">
        <v>68</v>
      </c>
      <c r="I519" s="14" t="s">
        <v>68</v>
      </c>
      <c r="J519" s="14" t="s">
        <v>68</v>
      </c>
      <c r="K519" s="14" t="s">
        <v>68</v>
      </c>
      <c r="L519" s="14" t="s">
        <v>68</v>
      </c>
      <c r="M519" s="14"/>
      <c r="N519" s="14"/>
      <c r="O519" s="15"/>
      <c r="P519" s="15"/>
      <c r="Q519" s="15"/>
      <c r="R519" s="15"/>
      <c r="S519" s="15"/>
      <c r="T519" s="15"/>
      <c r="U519" s="15"/>
      <c r="V519" s="15"/>
      <c r="W519" s="15"/>
    </row>
    <row r="520" spans="1:23" ht="45" x14ac:dyDescent="0.25">
      <c r="A520" s="14" t="s">
        <v>802</v>
      </c>
      <c r="B520" s="14" t="s">
        <v>68</v>
      </c>
      <c r="C520" s="14"/>
      <c r="D520" s="14" t="s">
        <v>256</v>
      </c>
      <c r="E520" s="14" t="s">
        <v>223</v>
      </c>
      <c r="F520" s="14" t="s">
        <v>68</v>
      </c>
      <c r="G520" s="14" t="s">
        <v>68</v>
      </c>
      <c r="H520" s="14" t="s">
        <v>68</v>
      </c>
      <c r="I520" s="14" t="s">
        <v>68</v>
      </c>
      <c r="J520" s="14" t="s">
        <v>68</v>
      </c>
      <c r="K520" s="14" t="s">
        <v>68</v>
      </c>
      <c r="L520" s="14" t="s">
        <v>68</v>
      </c>
      <c r="M520" s="14"/>
      <c r="N520" s="14"/>
      <c r="O520" s="15"/>
      <c r="P520" s="15"/>
      <c r="Q520" s="15"/>
      <c r="R520" s="15"/>
      <c r="S520" s="15"/>
      <c r="T520" s="15"/>
      <c r="U520" s="15"/>
      <c r="V520" s="15"/>
      <c r="W520" s="15"/>
    </row>
    <row r="521" spans="1:23" ht="45" x14ac:dyDescent="0.25">
      <c r="A521" s="14" t="s">
        <v>803</v>
      </c>
      <c r="B521" s="14" t="s">
        <v>68</v>
      </c>
      <c r="C521" s="14"/>
      <c r="D521" s="14" t="s">
        <v>204</v>
      </c>
      <c r="E521" s="14" t="s">
        <v>205</v>
      </c>
      <c r="F521" s="14" t="s">
        <v>68</v>
      </c>
      <c r="G521" s="14" t="s">
        <v>68</v>
      </c>
      <c r="H521" s="14" t="s">
        <v>68</v>
      </c>
      <c r="I521" s="14" t="s">
        <v>68</v>
      </c>
      <c r="J521" s="14" t="s">
        <v>68</v>
      </c>
      <c r="K521" s="14" t="s">
        <v>68</v>
      </c>
      <c r="L521" s="14" t="s">
        <v>68</v>
      </c>
      <c r="M521" s="14"/>
      <c r="N521" s="14"/>
      <c r="O521" s="15"/>
      <c r="P521" s="15"/>
      <c r="Q521" s="15"/>
      <c r="R521" s="15"/>
      <c r="S521" s="15"/>
      <c r="T521" s="15"/>
      <c r="U521" s="15"/>
      <c r="V521" s="15"/>
      <c r="W521" s="15"/>
    </row>
    <row r="522" spans="1:23" ht="45" x14ac:dyDescent="0.25">
      <c r="A522" s="14" t="s">
        <v>804</v>
      </c>
      <c r="B522" s="14" t="s">
        <v>68</v>
      </c>
      <c r="C522" s="14"/>
      <c r="D522" s="14" t="s">
        <v>249</v>
      </c>
      <c r="E522" s="14" t="s">
        <v>250</v>
      </c>
      <c r="F522" s="14" t="s">
        <v>68</v>
      </c>
      <c r="G522" s="14" t="s">
        <v>68</v>
      </c>
      <c r="H522" s="14" t="s">
        <v>68</v>
      </c>
      <c r="I522" s="14" t="s">
        <v>68</v>
      </c>
      <c r="J522" s="14" t="s">
        <v>68</v>
      </c>
      <c r="K522" s="14" t="s">
        <v>68</v>
      </c>
      <c r="L522" s="14" t="s">
        <v>68</v>
      </c>
      <c r="M522" s="14"/>
      <c r="N522" s="14"/>
      <c r="O522" s="15"/>
      <c r="P522" s="15"/>
      <c r="Q522" s="15"/>
      <c r="R522" s="15"/>
      <c r="S522" s="15"/>
      <c r="T522" s="15"/>
      <c r="U522" s="15"/>
      <c r="V522" s="15"/>
      <c r="W522" s="15"/>
    </row>
    <row r="523" spans="1:23" ht="45" x14ac:dyDescent="0.25">
      <c r="A523" s="14" t="s">
        <v>805</v>
      </c>
      <c r="B523" s="14" t="s">
        <v>68</v>
      </c>
      <c r="C523" s="14"/>
      <c r="D523" s="14" t="s">
        <v>238</v>
      </c>
      <c r="E523" s="14" t="s">
        <v>239</v>
      </c>
      <c r="F523" s="14" t="s">
        <v>68</v>
      </c>
      <c r="G523" s="14" t="s">
        <v>68</v>
      </c>
      <c r="H523" s="14" t="s">
        <v>68</v>
      </c>
      <c r="I523" s="14" t="s">
        <v>68</v>
      </c>
      <c r="J523" s="14" t="s">
        <v>68</v>
      </c>
      <c r="K523" s="14" t="s">
        <v>68</v>
      </c>
      <c r="L523" s="14" t="s">
        <v>68</v>
      </c>
      <c r="M523" s="14"/>
      <c r="N523" s="14"/>
      <c r="O523" s="15"/>
      <c r="P523" s="15"/>
      <c r="Q523" s="15"/>
      <c r="R523" s="15"/>
      <c r="S523" s="15"/>
      <c r="T523" s="15"/>
      <c r="U523" s="15"/>
      <c r="V523" s="15"/>
      <c r="W523" s="15"/>
    </row>
    <row r="524" spans="1:23" ht="60" x14ac:dyDescent="0.25">
      <c r="A524" s="14" t="s">
        <v>806</v>
      </c>
      <c r="B524" s="14" t="s">
        <v>68</v>
      </c>
      <c r="C524" s="14"/>
      <c r="D524" s="14" t="s">
        <v>208</v>
      </c>
      <c r="E524" s="14" t="s">
        <v>209</v>
      </c>
      <c r="F524" s="14" t="s">
        <v>68</v>
      </c>
      <c r="G524" s="14" t="s">
        <v>148</v>
      </c>
      <c r="H524" s="14" t="s">
        <v>68</v>
      </c>
      <c r="I524" s="14" t="s">
        <v>68</v>
      </c>
      <c r="J524" s="14" t="s">
        <v>102</v>
      </c>
      <c r="K524" s="14" t="s">
        <v>68</v>
      </c>
      <c r="L524" s="14" t="s">
        <v>68</v>
      </c>
      <c r="M524" s="14"/>
      <c r="N524" s="14"/>
      <c r="O524" s="15"/>
      <c r="P524" s="15"/>
      <c r="Q524" s="15"/>
      <c r="R524" s="15"/>
      <c r="S524" s="15"/>
      <c r="T524" s="15"/>
      <c r="U524" s="15"/>
      <c r="V524" s="15"/>
      <c r="W524" s="15"/>
    </row>
    <row r="525" spans="1:23" ht="45" x14ac:dyDescent="0.25">
      <c r="A525" s="14" t="s">
        <v>807</v>
      </c>
      <c r="B525" s="14" t="s">
        <v>68</v>
      </c>
      <c r="C525" s="14"/>
      <c r="D525" s="14" t="s">
        <v>279</v>
      </c>
      <c r="E525" s="14" t="s">
        <v>280</v>
      </c>
      <c r="F525" s="14" t="s">
        <v>117</v>
      </c>
      <c r="G525" s="14" t="s">
        <v>68</v>
      </c>
      <c r="H525" s="14" t="s">
        <v>68</v>
      </c>
      <c r="I525" s="14" t="s">
        <v>68</v>
      </c>
      <c r="J525" s="14" t="s">
        <v>225</v>
      </c>
      <c r="K525" s="14" t="s">
        <v>68</v>
      </c>
      <c r="L525" s="14" t="s">
        <v>68</v>
      </c>
      <c r="M525" s="14"/>
      <c r="N525" s="14"/>
      <c r="O525" s="15"/>
      <c r="P525" s="15"/>
      <c r="Q525" s="15"/>
      <c r="R525" s="15"/>
      <c r="S525" s="15"/>
      <c r="T525" s="15"/>
      <c r="U525" s="15"/>
      <c r="V525" s="15"/>
      <c r="W525" s="15"/>
    </row>
    <row r="526" spans="1:23" x14ac:dyDescent="0.25">
      <c r="A526" s="14" t="s">
        <v>808</v>
      </c>
      <c r="B526" s="14" t="s">
        <v>68</v>
      </c>
      <c r="C526" s="14"/>
      <c r="D526" s="14" t="s">
        <v>68</v>
      </c>
      <c r="E526" s="14" t="s">
        <v>68</v>
      </c>
      <c r="F526" s="14" t="s">
        <v>145</v>
      </c>
      <c r="G526" s="14" t="s">
        <v>68</v>
      </c>
      <c r="H526" s="14" t="s">
        <v>68</v>
      </c>
      <c r="I526" s="14" t="s">
        <v>68</v>
      </c>
      <c r="J526" s="14" t="s">
        <v>102</v>
      </c>
      <c r="K526" s="14" t="s">
        <v>68</v>
      </c>
      <c r="L526" s="14" t="s">
        <v>68</v>
      </c>
      <c r="M526" s="14"/>
      <c r="N526" s="14"/>
      <c r="O526" s="15"/>
      <c r="P526" s="15"/>
      <c r="Q526" s="15"/>
      <c r="R526" s="15"/>
      <c r="S526" s="15"/>
      <c r="T526" s="15"/>
      <c r="U526" s="15"/>
      <c r="V526" s="15"/>
      <c r="W526" s="15"/>
    </row>
    <row r="527" spans="1:23" ht="60" x14ac:dyDescent="0.25">
      <c r="A527" s="14" t="s">
        <v>809</v>
      </c>
      <c r="B527" s="14" t="s">
        <v>68</v>
      </c>
      <c r="C527" s="14"/>
      <c r="D527" s="14" t="s">
        <v>215</v>
      </c>
      <c r="E527" s="14" t="s">
        <v>216</v>
      </c>
      <c r="F527" s="14" t="s">
        <v>68</v>
      </c>
      <c r="G527" s="14" t="s">
        <v>810</v>
      </c>
      <c r="H527" s="14" t="s">
        <v>68</v>
      </c>
      <c r="I527" s="14" t="s">
        <v>68</v>
      </c>
      <c r="J527" s="14" t="s">
        <v>74</v>
      </c>
      <c r="K527" s="14" t="s">
        <v>68</v>
      </c>
      <c r="L527" s="14" t="s">
        <v>68</v>
      </c>
      <c r="M527" s="14"/>
      <c r="N527" s="14"/>
      <c r="O527" s="15"/>
      <c r="P527" s="15"/>
      <c r="Q527" s="15"/>
      <c r="R527" s="15"/>
      <c r="S527" s="15"/>
      <c r="T527" s="15"/>
      <c r="U527" s="15"/>
      <c r="V527" s="15"/>
      <c r="W527" s="15"/>
    </row>
    <row r="528" spans="1:23" ht="45" x14ac:dyDescent="0.25">
      <c r="A528" s="14" t="s">
        <v>811</v>
      </c>
      <c r="B528" s="14" t="s">
        <v>68</v>
      </c>
      <c r="C528" s="14"/>
      <c r="D528" s="14" t="s">
        <v>241</v>
      </c>
      <c r="E528" s="14" t="s">
        <v>236</v>
      </c>
      <c r="F528" s="14" t="s">
        <v>135</v>
      </c>
      <c r="G528" s="14" t="s">
        <v>68</v>
      </c>
      <c r="H528" s="14" t="s">
        <v>68</v>
      </c>
      <c r="I528" s="14" t="s">
        <v>68</v>
      </c>
      <c r="J528" s="14" t="s">
        <v>201</v>
      </c>
      <c r="K528" s="14" t="s">
        <v>68</v>
      </c>
      <c r="L528" s="14" t="s">
        <v>68</v>
      </c>
      <c r="M528" s="14"/>
      <c r="N528" s="14"/>
      <c r="O528" s="15"/>
      <c r="P528" s="15"/>
      <c r="Q528" s="15"/>
      <c r="R528" s="15"/>
      <c r="S528" s="15"/>
      <c r="T528" s="15"/>
      <c r="U528" s="15"/>
      <c r="V528" s="15"/>
      <c r="W528" s="15"/>
    </row>
    <row r="529" spans="1:23" ht="60" x14ac:dyDescent="0.25">
      <c r="A529" s="14" t="s">
        <v>812</v>
      </c>
      <c r="B529" s="14" t="s">
        <v>68</v>
      </c>
      <c r="C529" s="14"/>
      <c r="D529" s="14" t="s">
        <v>235</v>
      </c>
      <c r="E529" s="14" t="s">
        <v>236</v>
      </c>
      <c r="F529" s="14" t="s">
        <v>74</v>
      </c>
      <c r="G529" s="14" t="s">
        <v>68</v>
      </c>
      <c r="H529" s="14" t="s">
        <v>68</v>
      </c>
      <c r="I529" s="14" t="s">
        <v>68</v>
      </c>
      <c r="J529" s="14" t="s">
        <v>74</v>
      </c>
      <c r="K529" s="14" t="s">
        <v>68</v>
      </c>
      <c r="L529" s="14" t="s">
        <v>68</v>
      </c>
      <c r="M529" s="14"/>
      <c r="N529" s="14"/>
      <c r="O529" s="15"/>
      <c r="P529" s="15"/>
      <c r="Q529" s="15"/>
      <c r="R529" s="15"/>
      <c r="S529" s="15"/>
      <c r="T529" s="15"/>
      <c r="U529" s="15"/>
      <c r="V529" s="15"/>
      <c r="W529" s="15"/>
    </row>
    <row r="530" spans="1:23" ht="45" x14ac:dyDescent="0.25">
      <c r="A530" s="14" t="s">
        <v>813</v>
      </c>
      <c r="B530" s="14" t="s">
        <v>68</v>
      </c>
      <c r="C530" s="14"/>
      <c r="D530" s="14" t="s">
        <v>238</v>
      </c>
      <c r="E530" s="14" t="s">
        <v>239</v>
      </c>
      <c r="F530" s="14" t="s">
        <v>68</v>
      </c>
      <c r="G530" s="14" t="s">
        <v>68</v>
      </c>
      <c r="H530" s="14" t="s">
        <v>68</v>
      </c>
      <c r="I530" s="14" t="s">
        <v>68</v>
      </c>
      <c r="J530" s="14" t="s">
        <v>68</v>
      </c>
      <c r="K530" s="14" t="s">
        <v>68</v>
      </c>
      <c r="L530" s="14" t="s">
        <v>68</v>
      </c>
      <c r="M530" s="14"/>
      <c r="N530" s="14"/>
      <c r="O530" s="15"/>
      <c r="P530" s="15"/>
      <c r="Q530" s="15"/>
      <c r="R530" s="15"/>
      <c r="S530" s="15"/>
      <c r="T530" s="15"/>
      <c r="U530" s="15"/>
      <c r="V530" s="15"/>
      <c r="W530" s="15"/>
    </row>
    <row r="531" spans="1:23" ht="45" x14ac:dyDescent="0.25">
      <c r="A531" s="14" t="s">
        <v>814</v>
      </c>
      <c r="B531" s="14" t="s">
        <v>68</v>
      </c>
      <c r="C531" s="14"/>
      <c r="D531" s="14" t="s">
        <v>288</v>
      </c>
      <c r="E531" s="14" t="s">
        <v>296</v>
      </c>
      <c r="F531" s="14" t="s">
        <v>68</v>
      </c>
      <c r="G531" s="14" t="s">
        <v>68</v>
      </c>
      <c r="H531" s="14" t="s">
        <v>68</v>
      </c>
      <c r="I531" s="14" t="s">
        <v>68</v>
      </c>
      <c r="J531" s="14" t="s">
        <v>68</v>
      </c>
      <c r="K531" s="14" t="s">
        <v>68</v>
      </c>
      <c r="L531" s="14" t="s">
        <v>68</v>
      </c>
      <c r="M531" s="14"/>
      <c r="N531" s="14"/>
      <c r="O531" s="15"/>
      <c r="P531" s="15"/>
      <c r="Q531" s="15"/>
      <c r="R531" s="15"/>
      <c r="S531" s="15"/>
      <c r="T531" s="15"/>
      <c r="U531" s="15"/>
      <c r="V531" s="15"/>
      <c r="W531" s="15"/>
    </row>
    <row r="532" spans="1:23" ht="45" x14ac:dyDescent="0.25">
      <c r="A532" s="14" t="s">
        <v>815</v>
      </c>
      <c r="B532" s="14" t="s">
        <v>68</v>
      </c>
      <c r="C532" s="14"/>
      <c r="D532" s="14" t="s">
        <v>246</v>
      </c>
      <c r="E532" s="14" t="s">
        <v>247</v>
      </c>
      <c r="F532" s="14" t="s">
        <v>68</v>
      </c>
      <c r="G532" s="14" t="s">
        <v>102</v>
      </c>
      <c r="H532" s="14" t="s">
        <v>68</v>
      </c>
      <c r="I532" s="14" t="s">
        <v>68</v>
      </c>
      <c r="J532" s="14" t="s">
        <v>102</v>
      </c>
      <c r="K532" s="14" t="s">
        <v>68</v>
      </c>
      <c r="L532" s="14" t="s">
        <v>68</v>
      </c>
      <c r="M532" s="14"/>
      <c r="N532" s="14"/>
      <c r="O532" s="15"/>
      <c r="P532" s="15"/>
      <c r="Q532" s="15"/>
      <c r="R532" s="15"/>
      <c r="S532" s="15"/>
      <c r="T532" s="15"/>
      <c r="U532" s="15"/>
      <c r="V532" s="15"/>
      <c r="W532" s="15"/>
    </row>
    <row r="533" spans="1:23" ht="60" x14ac:dyDescent="0.25">
      <c r="A533" s="14" t="s">
        <v>816</v>
      </c>
      <c r="B533" s="14" t="s">
        <v>68</v>
      </c>
      <c r="C533" s="14"/>
      <c r="D533" s="14" t="s">
        <v>235</v>
      </c>
      <c r="E533" s="14" t="s">
        <v>236</v>
      </c>
      <c r="F533" s="14" t="s">
        <v>97</v>
      </c>
      <c r="G533" s="14" t="s">
        <v>68</v>
      </c>
      <c r="H533" s="14" t="s">
        <v>68</v>
      </c>
      <c r="I533" s="14" t="s">
        <v>68</v>
      </c>
      <c r="J533" s="14" t="s">
        <v>74</v>
      </c>
      <c r="K533" s="14" t="s">
        <v>68</v>
      </c>
      <c r="L533" s="14" t="s">
        <v>68</v>
      </c>
      <c r="M533" s="14"/>
      <c r="N533" s="14"/>
      <c r="O533" s="15"/>
      <c r="P533" s="15"/>
      <c r="Q533" s="15"/>
      <c r="R533" s="15"/>
      <c r="S533" s="15"/>
      <c r="T533" s="15"/>
      <c r="U533" s="15"/>
      <c r="V533" s="15"/>
      <c r="W533" s="15"/>
    </row>
    <row r="534" spans="1:23" ht="45" x14ac:dyDescent="0.25">
      <c r="A534" s="14" t="s">
        <v>817</v>
      </c>
      <c r="B534" s="14" t="s">
        <v>68</v>
      </c>
      <c r="C534" s="14"/>
      <c r="D534" s="14" t="s">
        <v>204</v>
      </c>
      <c r="E534" s="14" t="s">
        <v>205</v>
      </c>
      <c r="F534" s="14" t="s">
        <v>68</v>
      </c>
      <c r="G534" s="14" t="s">
        <v>68</v>
      </c>
      <c r="H534" s="14" t="s">
        <v>68</v>
      </c>
      <c r="I534" s="14" t="s">
        <v>68</v>
      </c>
      <c r="J534" s="14" t="s">
        <v>68</v>
      </c>
      <c r="K534" s="14" t="s">
        <v>68</v>
      </c>
      <c r="L534" s="14" t="s">
        <v>68</v>
      </c>
      <c r="M534" s="14"/>
      <c r="N534" s="14"/>
      <c r="O534" s="15"/>
      <c r="P534" s="15"/>
      <c r="Q534" s="15"/>
      <c r="R534" s="15"/>
      <c r="S534" s="15"/>
      <c r="T534" s="15"/>
      <c r="U534" s="15"/>
      <c r="V534" s="15"/>
      <c r="W534" s="15"/>
    </row>
    <row r="535" spans="1:23" ht="45" x14ac:dyDescent="0.25">
      <c r="A535" s="14" t="s">
        <v>818</v>
      </c>
      <c r="B535" s="14" t="s">
        <v>68</v>
      </c>
      <c r="C535" s="14"/>
      <c r="D535" s="14" t="s">
        <v>288</v>
      </c>
      <c r="E535" s="14" t="s">
        <v>296</v>
      </c>
      <c r="F535" s="14" t="s">
        <v>68</v>
      </c>
      <c r="G535" s="14" t="s">
        <v>68</v>
      </c>
      <c r="H535" s="14" t="s">
        <v>68</v>
      </c>
      <c r="I535" s="14" t="s">
        <v>68</v>
      </c>
      <c r="J535" s="14" t="s">
        <v>68</v>
      </c>
      <c r="K535" s="14" t="s">
        <v>68</v>
      </c>
      <c r="L535" s="14" t="s">
        <v>68</v>
      </c>
      <c r="M535" s="14"/>
      <c r="N535" s="14"/>
      <c r="O535" s="15"/>
      <c r="P535" s="15"/>
      <c r="Q535" s="15"/>
      <c r="R535" s="15"/>
      <c r="S535" s="15"/>
      <c r="T535" s="15"/>
      <c r="U535" s="15"/>
      <c r="V535" s="15"/>
      <c r="W535" s="15"/>
    </row>
    <row r="536" spans="1:23" ht="45" x14ac:dyDescent="0.25">
      <c r="A536" s="14" t="s">
        <v>819</v>
      </c>
      <c r="B536" s="14" t="s">
        <v>68</v>
      </c>
      <c r="C536" s="14"/>
      <c r="D536" s="14" t="s">
        <v>328</v>
      </c>
      <c r="E536" s="14" t="s">
        <v>296</v>
      </c>
      <c r="F536" s="14" t="s">
        <v>68</v>
      </c>
      <c r="G536" s="14" t="s">
        <v>68</v>
      </c>
      <c r="H536" s="14" t="s">
        <v>68</v>
      </c>
      <c r="I536" s="14" t="s">
        <v>68</v>
      </c>
      <c r="J536" s="14" t="s">
        <v>68</v>
      </c>
      <c r="K536" s="14" t="s">
        <v>68</v>
      </c>
      <c r="L536" s="14" t="s">
        <v>68</v>
      </c>
      <c r="M536" s="14"/>
      <c r="N536" s="14"/>
      <c r="O536" s="15"/>
      <c r="P536" s="15"/>
      <c r="Q536" s="15"/>
      <c r="R536" s="15"/>
      <c r="S536" s="15"/>
      <c r="T536" s="15"/>
      <c r="U536" s="15"/>
      <c r="V536" s="15"/>
      <c r="W536" s="15"/>
    </row>
    <row r="537" spans="1:23" ht="45" x14ac:dyDescent="0.25">
      <c r="A537" s="14" t="s">
        <v>820</v>
      </c>
      <c r="B537" s="14" t="s">
        <v>68</v>
      </c>
      <c r="C537" s="14"/>
      <c r="D537" s="14" t="s">
        <v>256</v>
      </c>
      <c r="E537" s="14" t="s">
        <v>223</v>
      </c>
      <c r="F537" s="14" t="s">
        <v>68</v>
      </c>
      <c r="G537" s="14" t="s">
        <v>68</v>
      </c>
      <c r="H537" s="14" t="s">
        <v>68</v>
      </c>
      <c r="I537" s="14" t="s">
        <v>68</v>
      </c>
      <c r="J537" s="14" t="s">
        <v>68</v>
      </c>
      <c r="K537" s="14" t="s">
        <v>68</v>
      </c>
      <c r="L537" s="14" t="s">
        <v>68</v>
      </c>
      <c r="M537" s="14"/>
      <c r="N537" s="14"/>
      <c r="O537" s="15"/>
      <c r="P537" s="15"/>
      <c r="Q537" s="15"/>
      <c r="R537" s="15"/>
      <c r="S537" s="15"/>
      <c r="T537" s="15"/>
      <c r="U537" s="15"/>
      <c r="V537" s="15"/>
      <c r="W537" s="15"/>
    </row>
    <row r="538" spans="1:23" ht="45" x14ac:dyDescent="0.25">
      <c r="A538" s="14" t="s">
        <v>821</v>
      </c>
      <c r="B538" s="14" t="s">
        <v>68</v>
      </c>
      <c r="C538" s="14"/>
      <c r="D538" s="14" t="s">
        <v>325</v>
      </c>
      <c r="E538" s="14" t="s">
        <v>326</v>
      </c>
      <c r="F538" s="14" t="s">
        <v>68</v>
      </c>
      <c r="G538" s="14" t="s">
        <v>68</v>
      </c>
      <c r="H538" s="14" t="s">
        <v>68</v>
      </c>
      <c r="I538" s="14" t="s">
        <v>68</v>
      </c>
      <c r="J538" s="14" t="s">
        <v>68</v>
      </c>
      <c r="K538" s="14" t="s">
        <v>68</v>
      </c>
      <c r="L538" s="14" t="s">
        <v>68</v>
      </c>
      <c r="M538" s="14"/>
      <c r="N538" s="14"/>
      <c r="O538" s="15"/>
      <c r="P538" s="15"/>
      <c r="Q538" s="15"/>
      <c r="R538" s="15"/>
      <c r="S538" s="15"/>
      <c r="T538" s="15"/>
      <c r="U538" s="15"/>
      <c r="V538" s="15"/>
      <c r="W538" s="15"/>
    </row>
    <row r="539" spans="1:23" ht="45" x14ac:dyDescent="0.25">
      <c r="A539" s="14" t="s">
        <v>822</v>
      </c>
      <c r="B539" s="14" t="s">
        <v>68</v>
      </c>
      <c r="C539" s="14"/>
      <c r="D539" s="14" t="s">
        <v>199</v>
      </c>
      <c r="E539" s="14" t="s">
        <v>68</v>
      </c>
      <c r="F539" s="14" t="s">
        <v>68</v>
      </c>
      <c r="G539" s="14" t="s">
        <v>90</v>
      </c>
      <c r="H539" s="14" t="s">
        <v>68</v>
      </c>
      <c r="I539" s="14" t="s">
        <v>68</v>
      </c>
      <c r="J539" s="14" t="s">
        <v>201</v>
      </c>
      <c r="K539" s="14" t="s">
        <v>68</v>
      </c>
      <c r="L539" s="14" t="s">
        <v>68</v>
      </c>
      <c r="M539" s="14"/>
      <c r="N539" s="14"/>
      <c r="O539" s="15"/>
      <c r="P539" s="15"/>
      <c r="Q539" s="15"/>
      <c r="R539" s="15"/>
      <c r="S539" s="15"/>
      <c r="T539" s="15"/>
      <c r="U539" s="15"/>
      <c r="V539" s="15"/>
      <c r="W539" s="15"/>
    </row>
    <row r="540" spans="1:23" ht="45" x14ac:dyDescent="0.25">
      <c r="A540" s="14" t="s">
        <v>823</v>
      </c>
      <c r="B540" s="14" t="s">
        <v>68</v>
      </c>
      <c r="C540" s="14"/>
      <c r="D540" s="14" t="s">
        <v>328</v>
      </c>
      <c r="E540" s="14" t="s">
        <v>296</v>
      </c>
      <c r="F540" s="14" t="s">
        <v>68</v>
      </c>
      <c r="G540" s="14" t="s">
        <v>68</v>
      </c>
      <c r="H540" s="14" t="s">
        <v>68</v>
      </c>
      <c r="I540" s="14" t="s">
        <v>68</v>
      </c>
      <c r="J540" s="14" t="s">
        <v>68</v>
      </c>
      <c r="K540" s="14" t="s">
        <v>68</v>
      </c>
      <c r="L540" s="14" t="s">
        <v>68</v>
      </c>
      <c r="M540" s="14"/>
      <c r="N540" s="14"/>
      <c r="O540" s="15"/>
      <c r="P540" s="15"/>
      <c r="Q540" s="15"/>
      <c r="R540" s="15"/>
      <c r="S540" s="15"/>
      <c r="T540" s="15"/>
      <c r="U540" s="15"/>
      <c r="V540" s="15"/>
      <c r="W540" s="15"/>
    </row>
    <row r="541" spans="1:23" ht="45" x14ac:dyDescent="0.25">
      <c r="A541" s="14" t="s">
        <v>824</v>
      </c>
      <c r="B541" s="14" t="s">
        <v>68</v>
      </c>
      <c r="C541" s="14"/>
      <c r="D541" s="14" t="s">
        <v>199</v>
      </c>
      <c r="E541" s="14" t="s">
        <v>68</v>
      </c>
      <c r="F541" s="14" t="s">
        <v>68</v>
      </c>
      <c r="G541" s="14" t="s">
        <v>78</v>
      </c>
      <c r="H541" s="14" t="s">
        <v>68</v>
      </c>
      <c r="I541" s="14" t="s">
        <v>68</v>
      </c>
      <c r="J541" s="14" t="s">
        <v>201</v>
      </c>
      <c r="K541" s="14" t="s">
        <v>68</v>
      </c>
      <c r="L541" s="14" t="s">
        <v>68</v>
      </c>
      <c r="M541" s="14"/>
      <c r="N541" s="14"/>
      <c r="O541" s="15"/>
      <c r="P541" s="15"/>
      <c r="Q541" s="15"/>
      <c r="R541" s="15"/>
      <c r="S541" s="15"/>
      <c r="T541" s="15"/>
      <c r="U541" s="15"/>
      <c r="V541" s="15"/>
      <c r="W541" s="15"/>
    </row>
    <row r="542" spans="1:23" ht="45" x14ac:dyDescent="0.25">
      <c r="A542" s="14" t="s">
        <v>825</v>
      </c>
      <c r="B542" s="14" t="s">
        <v>68</v>
      </c>
      <c r="C542" s="14"/>
      <c r="D542" s="14" t="s">
        <v>219</v>
      </c>
      <c r="E542" s="14" t="s">
        <v>220</v>
      </c>
      <c r="F542" s="14" t="s">
        <v>68</v>
      </c>
      <c r="G542" s="14" t="s">
        <v>125</v>
      </c>
      <c r="H542" s="14" t="s">
        <v>68</v>
      </c>
      <c r="I542" s="14" t="s">
        <v>68</v>
      </c>
      <c r="J542" s="14" t="s">
        <v>201</v>
      </c>
      <c r="K542" s="14" t="s">
        <v>68</v>
      </c>
      <c r="L542" s="14" t="s">
        <v>68</v>
      </c>
      <c r="M542" s="14"/>
      <c r="N542" s="14"/>
      <c r="O542" s="15"/>
      <c r="P542" s="15"/>
      <c r="Q542" s="15"/>
      <c r="R542" s="15"/>
      <c r="S542" s="15"/>
      <c r="T542" s="15"/>
      <c r="U542" s="15"/>
      <c r="V542" s="15"/>
      <c r="W542" s="15"/>
    </row>
    <row r="543" spans="1:23" ht="60" x14ac:dyDescent="0.25">
      <c r="A543" s="14" t="s">
        <v>826</v>
      </c>
      <c r="B543" s="14" t="s">
        <v>68</v>
      </c>
      <c r="C543" s="14"/>
      <c r="D543" s="14" t="s">
        <v>215</v>
      </c>
      <c r="E543" s="14" t="s">
        <v>216</v>
      </c>
      <c r="F543" s="14" t="s">
        <v>68</v>
      </c>
      <c r="G543" s="14" t="s">
        <v>676</v>
      </c>
      <c r="H543" s="14" t="s">
        <v>68</v>
      </c>
      <c r="I543" s="14" t="s">
        <v>68</v>
      </c>
      <c r="J543" s="14" t="s">
        <v>74</v>
      </c>
      <c r="K543" s="14" t="s">
        <v>68</v>
      </c>
      <c r="L543" s="14" t="s">
        <v>68</v>
      </c>
      <c r="M543" s="14"/>
      <c r="N543" s="14"/>
      <c r="O543" s="15"/>
      <c r="P543" s="15"/>
      <c r="Q543" s="15"/>
      <c r="R543" s="15"/>
      <c r="S543" s="15"/>
      <c r="T543" s="15"/>
      <c r="U543" s="15"/>
      <c r="V543" s="15"/>
      <c r="W543" s="15"/>
    </row>
    <row r="544" spans="1:23" ht="45" x14ac:dyDescent="0.25">
      <c r="A544" s="14" t="s">
        <v>827</v>
      </c>
      <c r="B544" s="14" t="s">
        <v>68</v>
      </c>
      <c r="C544" s="14"/>
      <c r="D544" s="14" t="s">
        <v>256</v>
      </c>
      <c r="E544" s="14" t="s">
        <v>291</v>
      </c>
      <c r="F544" s="14" t="s">
        <v>68</v>
      </c>
      <c r="G544" s="14" t="s">
        <v>68</v>
      </c>
      <c r="H544" s="14" t="s">
        <v>68</v>
      </c>
      <c r="I544" s="14" t="s">
        <v>68</v>
      </c>
      <c r="J544" s="14" t="s">
        <v>68</v>
      </c>
      <c r="K544" s="14" t="s">
        <v>68</v>
      </c>
      <c r="L544" s="14" t="s">
        <v>68</v>
      </c>
      <c r="M544" s="14"/>
      <c r="N544" s="14"/>
      <c r="O544" s="15"/>
      <c r="P544" s="15"/>
      <c r="Q544" s="15"/>
      <c r="R544" s="15"/>
      <c r="S544" s="15"/>
      <c r="T544" s="15"/>
      <c r="U544" s="15"/>
      <c r="V544" s="15"/>
      <c r="W544" s="15"/>
    </row>
    <row r="545" spans="1:23" x14ac:dyDescent="0.25">
      <c r="A545" s="14" t="s">
        <v>828</v>
      </c>
      <c r="B545" s="14" t="s">
        <v>68</v>
      </c>
      <c r="C545" s="14"/>
      <c r="D545" s="14" t="s">
        <v>68</v>
      </c>
      <c r="E545" s="14" t="s">
        <v>68</v>
      </c>
      <c r="F545" s="14" t="s">
        <v>88</v>
      </c>
      <c r="G545" s="14" t="s">
        <v>68</v>
      </c>
      <c r="H545" s="14" t="s">
        <v>68</v>
      </c>
      <c r="I545" s="14" t="s">
        <v>68</v>
      </c>
      <c r="J545" s="14" t="s">
        <v>102</v>
      </c>
      <c r="K545" s="14" t="s">
        <v>68</v>
      </c>
      <c r="L545" s="14" t="s">
        <v>68</v>
      </c>
      <c r="M545" s="14"/>
      <c r="N545" s="14"/>
      <c r="O545" s="15"/>
      <c r="P545" s="15"/>
      <c r="Q545" s="15"/>
      <c r="R545" s="15"/>
      <c r="S545" s="15"/>
      <c r="T545" s="15"/>
      <c r="U545" s="15"/>
      <c r="V545" s="15"/>
      <c r="W545" s="15"/>
    </row>
    <row r="546" spans="1:23" x14ac:dyDescent="0.25">
      <c r="A546" s="14" t="s">
        <v>829</v>
      </c>
      <c r="B546" s="14" t="s">
        <v>68</v>
      </c>
      <c r="C546" s="14"/>
      <c r="D546" s="14" t="s">
        <v>68</v>
      </c>
      <c r="E546" s="14" t="s">
        <v>68</v>
      </c>
      <c r="F546" s="14" t="s">
        <v>88</v>
      </c>
      <c r="G546" s="14" t="s">
        <v>68</v>
      </c>
      <c r="H546" s="14" t="s">
        <v>68</v>
      </c>
      <c r="I546" s="14" t="s">
        <v>68</v>
      </c>
      <c r="J546" s="14" t="s">
        <v>102</v>
      </c>
      <c r="K546" s="14" t="s">
        <v>68</v>
      </c>
      <c r="L546" s="14" t="s">
        <v>68</v>
      </c>
      <c r="M546" s="14"/>
      <c r="N546" s="14"/>
      <c r="O546" s="15"/>
      <c r="P546" s="15"/>
      <c r="Q546" s="15"/>
      <c r="R546" s="15"/>
      <c r="S546" s="15"/>
      <c r="T546" s="15"/>
      <c r="U546" s="15"/>
      <c r="V546" s="15"/>
      <c r="W546" s="15"/>
    </row>
    <row r="547" spans="1:23" ht="45" x14ac:dyDescent="0.25">
      <c r="A547" s="14" t="s">
        <v>830</v>
      </c>
      <c r="B547" s="14" t="s">
        <v>68</v>
      </c>
      <c r="C547" s="14"/>
      <c r="D547" s="14" t="s">
        <v>211</v>
      </c>
      <c r="E547" s="14" t="s">
        <v>212</v>
      </c>
      <c r="F547" s="14" t="s">
        <v>100</v>
      </c>
      <c r="G547" s="14" t="s">
        <v>68</v>
      </c>
      <c r="H547" s="14" t="s">
        <v>68</v>
      </c>
      <c r="I547" s="14" t="s">
        <v>68</v>
      </c>
      <c r="J547" s="14" t="s">
        <v>309</v>
      </c>
      <c r="K547" s="14" t="s">
        <v>68</v>
      </c>
      <c r="L547" s="14" t="s">
        <v>68</v>
      </c>
      <c r="M547" s="14"/>
      <c r="N547" s="14"/>
      <c r="O547" s="15"/>
      <c r="P547" s="15"/>
      <c r="Q547" s="15"/>
      <c r="R547" s="15"/>
      <c r="S547" s="15"/>
      <c r="T547" s="15"/>
      <c r="U547" s="15"/>
      <c r="V547" s="15"/>
      <c r="W547" s="15"/>
    </row>
    <row r="548" spans="1:23" ht="45" x14ac:dyDescent="0.25">
      <c r="A548" s="14" t="s">
        <v>831</v>
      </c>
      <c r="B548" s="14" t="s">
        <v>68</v>
      </c>
      <c r="C548" s="14"/>
      <c r="D548" s="14" t="s">
        <v>256</v>
      </c>
      <c r="E548" s="14" t="s">
        <v>223</v>
      </c>
      <c r="F548" s="14" t="s">
        <v>68</v>
      </c>
      <c r="G548" s="14" t="s">
        <v>74</v>
      </c>
      <c r="H548" s="14" t="s">
        <v>68</v>
      </c>
      <c r="I548" s="14" t="s">
        <v>68</v>
      </c>
      <c r="J548" s="14" t="s">
        <v>74</v>
      </c>
      <c r="K548" s="14" t="s">
        <v>68</v>
      </c>
      <c r="L548" s="14" t="s">
        <v>68</v>
      </c>
      <c r="M548" s="14"/>
      <c r="N548" s="14"/>
      <c r="O548" s="15"/>
      <c r="P548" s="15"/>
      <c r="Q548" s="15"/>
      <c r="R548" s="15"/>
      <c r="S548" s="15"/>
      <c r="T548" s="15"/>
      <c r="U548" s="15"/>
      <c r="V548" s="15"/>
      <c r="W548" s="15"/>
    </row>
    <row r="549" spans="1:23" ht="45" x14ac:dyDescent="0.25">
      <c r="A549" s="14" t="s">
        <v>832</v>
      </c>
      <c r="B549" s="14" t="s">
        <v>68</v>
      </c>
      <c r="C549" s="14"/>
      <c r="D549" s="14" t="s">
        <v>204</v>
      </c>
      <c r="E549" s="14" t="s">
        <v>205</v>
      </c>
      <c r="F549" s="14" t="s">
        <v>68</v>
      </c>
      <c r="G549" s="14" t="s">
        <v>68</v>
      </c>
      <c r="H549" s="14" t="s">
        <v>68</v>
      </c>
      <c r="I549" s="14" t="s">
        <v>68</v>
      </c>
      <c r="J549" s="14" t="s">
        <v>68</v>
      </c>
      <c r="K549" s="14" t="s">
        <v>68</v>
      </c>
      <c r="L549" s="14" t="s">
        <v>68</v>
      </c>
      <c r="M549" s="14"/>
      <c r="N549" s="14"/>
      <c r="O549" s="15"/>
      <c r="P549" s="15"/>
      <c r="Q549" s="15"/>
      <c r="R549" s="15"/>
      <c r="S549" s="15"/>
      <c r="T549" s="15"/>
      <c r="U549" s="15"/>
      <c r="V549" s="15"/>
      <c r="W549" s="15"/>
    </row>
    <row r="550" spans="1:23" ht="45" x14ac:dyDescent="0.25">
      <c r="A550" s="14" t="s">
        <v>833</v>
      </c>
      <c r="B550" s="14" t="s">
        <v>68</v>
      </c>
      <c r="C550" s="14"/>
      <c r="D550" s="14" t="s">
        <v>199</v>
      </c>
      <c r="E550" s="14" t="s">
        <v>68</v>
      </c>
      <c r="F550" s="14" t="s">
        <v>68</v>
      </c>
      <c r="G550" s="14" t="s">
        <v>98</v>
      </c>
      <c r="H550" s="14" t="s">
        <v>68</v>
      </c>
      <c r="I550" s="14" t="s">
        <v>68</v>
      </c>
      <c r="J550" s="14" t="s">
        <v>201</v>
      </c>
      <c r="K550" s="14" t="s">
        <v>68</v>
      </c>
      <c r="L550" s="14" t="s">
        <v>68</v>
      </c>
      <c r="M550" s="14"/>
      <c r="N550" s="14"/>
      <c r="O550" s="15"/>
      <c r="P550" s="15"/>
      <c r="Q550" s="15"/>
      <c r="R550" s="15"/>
      <c r="S550" s="15"/>
      <c r="T550" s="15"/>
      <c r="U550" s="15"/>
      <c r="V550" s="15"/>
      <c r="W550" s="15"/>
    </row>
    <row r="551" spans="1:23" ht="45" x14ac:dyDescent="0.25">
      <c r="A551" s="14" t="s">
        <v>834</v>
      </c>
      <c r="B551" s="14" t="s">
        <v>68</v>
      </c>
      <c r="C551" s="14"/>
      <c r="D551" s="14" t="s">
        <v>211</v>
      </c>
      <c r="E551" s="14" t="s">
        <v>212</v>
      </c>
      <c r="F551" s="14" t="s">
        <v>332</v>
      </c>
      <c r="G551" s="14" t="s">
        <v>68</v>
      </c>
      <c r="H551" s="14" t="s">
        <v>68</v>
      </c>
      <c r="I551" s="14" t="s">
        <v>68</v>
      </c>
      <c r="J551" s="14" t="s">
        <v>309</v>
      </c>
      <c r="K551" s="14" t="s">
        <v>68</v>
      </c>
      <c r="L551" s="14" t="s">
        <v>68</v>
      </c>
      <c r="M551" s="14"/>
      <c r="N551" s="14"/>
      <c r="O551" s="15"/>
      <c r="P551" s="15"/>
      <c r="Q551" s="15"/>
      <c r="R551" s="15"/>
      <c r="S551" s="15"/>
      <c r="T551" s="15"/>
      <c r="U551" s="15"/>
      <c r="V551" s="15"/>
      <c r="W551" s="15"/>
    </row>
    <row r="552" spans="1:23" x14ac:dyDescent="0.25">
      <c r="A552" s="14" t="s">
        <v>835</v>
      </c>
      <c r="B552" s="14" t="s">
        <v>68</v>
      </c>
      <c r="C552" s="14"/>
      <c r="D552" s="14" t="s">
        <v>68</v>
      </c>
      <c r="E552" s="14" t="s">
        <v>68</v>
      </c>
      <c r="F552" s="14" t="s">
        <v>88</v>
      </c>
      <c r="G552" s="14" t="s">
        <v>68</v>
      </c>
      <c r="H552" s="14" t="s">
        <v>68</v>
      </c>
      <c r="I552" s="14" t="s">
        <v>68</v>
      </c>
      <c r="J552" s="14" t="s">
        <v>102</v>
      </c>
      <c r="K552" s="14" t="s">
        <v>68</v>
      </c>
      <c r="L552" s="14" t="s">
        <v>68</v>
      </c>
      <c r="M552" s="14"/>
      <c r="N552" s="14"/>
      <c r="O552" s="15"/>
      <c r="P552" s="15"/>
      <c r="Q552" s="15"/>
      <c r="R552" s="15"/>
      <c r="S552" s="15"/>
      <c r="T552" s="15"/>
      <c r="U552" s="15"/>
      <c r="V552" s="15"/>
      <c r="W552" s="15"/>
    </row>
    <row r="553" spans="1:23" ht="45" x14ac:dyDescent="0.25">
      <c r="A553" s="14" t="s">
        <v>836</v>
      </c>
      <c r="B553" s="14" t="s">
        <v>68</v>
      </c>
      <c r="C553" s="14"/>
      <c r="D553" s="14" t="s">
        <v>256</v>
      </c>
      <c r="E553" s="14" t="s">
        <v>223</v>
      </c>
      <c r="F553" s="14" t="s">
        <v>68</v>
      </c>
      <c r="G553" s="14" t="s">
        <v>68</v>
      </c>
      <c r="H553" s="14" t="s">
        <v>68</v>
      </c>
      <c r="I553" s="14" t="s">
        <v>68</v>
      </c>
      <c r="J553" s="14" t="s">
        <v>68</v>
      </c>
      <c r="K553" s="14" t="s">
        <v>68</v>
      </c>
      <c r="L553" s="14" t="s">
        <v>68</v>
      </c>
      <c r="M553" s="14"/>
      <c r="N553" s="14"/>
      <c r="O553" s="15"/>
      <c r="P553" s="15"/>
      <c r="Q553" s="15"/>
      <c r="R553" s="15"/>
      <c r="S553" s="15"/>
      <c r="T553" s="15"/>
      <c r="U553" s="15"/>
      <c r="V553" s="15"/>
      <c r="W553" s="15"/>
    </row>
    <row r="554" spans="1:23" ht="60" x14ac:dyDescent="0.25">
      <c r="A554" s="14" t="s">
        <v>837</v>
      </c>
      <c r="B554" s="14" t="s">
        <v>68</v>
      </c>
      <c r="C554" s="14"/>
      <c r="D554" s="14" t="s">
        <v>208</v>
      </c>
      <c r="E554" s="14" t="s">
        <v>209</v>
      </c>
      <c r="F554" s="14" t="s">
        <v>68</v>
      </c>
      <c r="G554" s="14" t="s">
        <v>138</v>
      </c>
      <c r="H554" s="14" t="s">
        <v>68</v>
      </c>
      <c r="I554" s="14" t="s">
        <v>68</v>
      </c>
      <c r="J554" s="14" t="s">
        <v>102</v>
      </c>
      <c r="K554" s="14" t="s">
        <v>68</v>
      </c>
      <c r="L554" s="14" t="s">
        <v>68</v>
      </c>
      <c r="M554" s="14"/>
      <c r="N554" s="14"/>
      <c r="O554" s="15"/>
      <c r="P554" s="15"/>
      <c r="Q554" s="15"/>
      <c r="R554" s="15"/>
      <c r="S554" s="15"/>
      <c r="T554" s="15"/>
      <c r="U554" s="15"/>
      <c r="V554" s="15"/>
      <c r="W554" s="15"/>
    </row>
    <row r="555" spans="1:23" ht="45" x14ac:dyDescent="0.25">
      <c r="A555" s="14" t="s">
        <v>838</v>
      </c>
      <c r="B555" s="14" t="s">
        <v>68</v>
      </c>
      <c r="C555" s="14"/>
      <c r="D555" s="14" t="s">
        <v>284</v>
      </c>
      <c r="E555" s="14" t="s">
        <v>285</v>
      </c>
      <c r="F555" s="14" t="s">
        <v>68</v>
      </c>
      <c r="G555" s="14" t="s">
        <v>68</v>
      </c>
      <c r="H555" s="14" t="s">
        <v>68</v>
      </c>
      <c r="I555" s="14" t="s">
        <v>68</v>
      </c>
      <c r="J555" s="14" t="s">
        <v>68</v>
      </c>
      <c r="K555" s="14" t="s">
        <v>68</v>
      </c>
      <c r="L555" s="14" t="s">
        <v>68</v>
      </c>
      <c r="M555" s="14"/>
      <c r="N555" s="14"/>
      <c r="O555" s="15"/>
      <c r="P555" s="15"/>
      <c r="Q555" s="15"/>
      <c r="R555" s="15"/>
      <c r="S555" s="15"/>
      <c r="T555" s="15"/>
      <c r="U555" s="15"/>
      <c r="V555" s="15"/>
      <c r="W555" s="15"/>
    </row>
    <row r="556" spans="1:23" ht="45" x14ac:dyDescent="0.25">
      <c r="A556" s="14" t="s">
        <v>839</v>
      </c>
      <c r="B556" s="14" t="s">
        <v>68</v>
      </c>
      <c r="C556" s="14"/>
      <c r="D556" s="14" t="s">
        <v>258</v>
      </c>
      <c r="E556" s="14" t="s">
        <v>227</v>
      </c>
      <c r="F556" s="14" t="s">
        <v>68</v>
      </c>
      <c r="G556" s="14" t="s">
        <v>163</v>
      </c>
      <c r="H556" s="14" t="s">
        <v>68</v>
      </c>
      <c r="I556" s="14" t="s">
        <v>68</v>
      </c>
      <c r="J556" s="14" t="s">
        <v>102</v>
      </c>
      <c r="K556" s="14" t="s">
        <v>68</v>
      </c>
      <c r="L556" s="14" t="s">
        <v>68</v>
      </c>
      <c r="M556" s="14"/>
      <c r="N556" s="14"/>
      <c r="O556" s="15"/>
      <c r="P556" s="15"/>
      <c r="Q556" s="15"/>
      <c r="R556" s="15"/>
      <c r="S556" s="15"/>
      <c r="T556" s="15"/>
      <c r="U556" s="15"/>
      <c r="V556" s="15"/>
      <c r="W556" s="15"/>
    </row>
    <row r="557" spans="1:23" ht="60" x14ac:dyDescent="0.25">
      <c r="A557" s="14" t="s">
        <v>840</v>
      </c>
      <c r="B557" s="14" t="s">
        <v>68</v>
      </c>
      <c r="C557" s="14"/>
      <c r="D557" s="14" t="s">
        <v>208</v>
      </c>
      <c r="E557" s="14" t="s">
        <v>209</v>
      </c>
      <c r="F557" s="14" t="s">
        <v>68</v>
      </c>
      <c r="G557" s="14" t="s">
        <v>88</v>
      </c>
      <c r="H557" s="14" t="s">
        <v>68</v>
      </c>
      <c r="I557" s="14" t="s">
        <v>68</v>
      </c>
      <c r="J557" s="14" t="s">
        <v>102</v>
      </c>
      <c r="K557" s="14" t="s">
        <v>68</v>
      </c>
      <c r="L557" s="14" t="s">
        <v>68</v>
      </c>
      <c r="M557" s="14"/>
      <c r="N557" s="14"/>
      <c r="O557" s="15"/>
      <c r="P557" s="15"/>
      <c r="Q557" s="15"/>
      <c r="R557" s="15"/>
      <c r="S557" s="15"/>
      <c r="T557" s="15"/>
      <c r="U557" s="15"/>
      <c r="V557" s="15"/>
      <c r="W557" s="15"/>
    </row>
    <row r="558" spans="1:23" ht="45" x14ac:dyDescent="0.25">
      <c r="A558" s="14" t="s">
        <v>841</v>
      </c>
      <c r="B558" s="14" t="s">
        <v>68</v>
      </c>
      <c r="C558" s="14"/>
      <c r="D558" s="14" t="s">
        <v>199</v>
      </c>
      <c r="E558" s="14" t="s">
        <v>68</v>
      </c>
      <c r="F558" s="14" t="s">
        <v>68</v>
      </c>
      <c r="G558" s="14" t="s">
        <v>78</v>
      </c>
      <c r="H558" s="14" t="s">
        <v>68</v>
      </c>
      <c r="I558" s="14" t="s">
        <v>68</v>
      </c>
      <c r="J558" s="14" t="s">
        <v>201</v>
      </c>
      <c r="K558" s="14" t="s">
        <v>68</v>
      </c>
      <c r="L558" s="14" t="s">
        <v>68</v>
      </c>
      <c r="M558" s="14"/>
      <c r="N558" s="14"/>
      <c r="O558" s="15"/>
      <c r="P558" s="15"/>
      <c r="Q558" s="15"/>
      <c r="R558" s="15"/>
      <c r="S558" s="15"/>
      <c r="T558" s="15"/>
      <c r="U558" s="15"/>
      <c r="V558" s="15"/>
      <c r="W558" s="15"/>
    </row>
    <row r="559" spans="1:23" ht="45" x14ac:dyDescent="0.25">
      <c r="A559" s="14" t="s">
        <v>842</v>
      </c>
      <c r="B559" s="14" t="s">
        <v>68</v>
      </c>
      <c r="C559" s="14"/>
      <c r="D559" s="14" t="s">
        <v>241</v>
      </c>
      <c r="E559" s="14" t="s">
        <v>236</v>
      </c>
      <c r="F559" s="14" t="s">
        <v>83</v>
      </c>
      <c r="G559" s="14" t="s">
        <v>68</v>
      </c>
      <c r="H559" s="14" t="s">
        <v>68</v>
      </c>
      <c r="I559" s="14" t="s">
        <v>68</v>
      </c>
      <c r="J559" s="14" t="s">
        <v>201</v>
      </c>
      <c r="K559" s="14" t="s">
        <v>68</v>
      </c>
      <c r="L559" s="14" t="s">
        <v>68</v>
      </c>
      <c r="M559" s="14"/>
      <c r="N559" s="14"/>
      <c r="O559" s="15"/>
      <c r="P559" s="15"/>
      <c r="Q559" s="15"/>
      <c r="R559" s="15"/>
      <c r="S559" s="15"/>
      <c r="T559" s="15"/>
      <c r="U559" s="15"/>
      <c r="V559" s="15"/>
      <c r="W559" s="15"/>
    </row>
    <row r="560" spans="1:23" ht="60" x14ac:dyDescent="0.25">
      <c r="A560" s="14" t="s">
        <v>843</v>
      </c>
      <c r="B560" s="14" t="s">
        <v>68</v>
      </c>
      <c r="C560" s="14"/>
      <c r="D560" s="14" t="s">
        <v>844</v>
      </c>
      <c r="E560" s="14" t="s">
        <v>227</v>
      </c>
      <c r="F560" s="14" t="s">
        <v>68</v>
      </c>
      <c r="G560" s="14" t="s">
        <v>163</v>
      </c>
      <c r="H560" s="14" t="s">
        <v>68</v>
      </c>
      <c r="I560" s="14" t="s">
        <v>68</v>
      </c>
      <c r="J560" s="14" t="s">
        <v>102</v>
      </c>
      <c r="K560" s="14" t="s">
        <v>68</v>
      </c>
      <c r="L560" s="14" t="s">
        <v>68</v>
      </c>
      <c r="M560" s="14"/>
      <c r="N560" s="14"/>
      <c r="O560" s="15"/>
      <c r="P560" s="15"/>
      <c r="Q560" s="15"/>
      <c r="R560" s="15"/>
      <c r="S560" s="15"/>
      <c r="T560" s="15"/>
      <c r="U560" s="15"/>
      <c r="V560" s="15"/>
      <c r="W560" s="15"/>
    </row>
    <row r="561" spans="1:23" ht="45" x14ac:dyDescent="0.25">
      <c r="A561" s="14" t="s">
        <v>845</v>
      </c>
      <c r="B561" s="14" t="s">
        <v>68</v>
      </c>
      <c r="C561" s="14"/>
      <c r="D561" s="14" t="s">
        <v>312</v>
      </c>
      <c r="E561" s="14" t="s">
        <v>205</v>
      </c>
      <c r="F561" s="14" t="s">
        <v>68</v>
      </c>
      <c r="G561" s="14" t="s">
        <v>68</v>
      </c>
      <c r="H561" s="14" t="s">
        <v>68</v>
      </c>
      <c r="I561" s="14" t="s">
        <v>68</v>
      </c>
      <c r="J561" s="14" t="s">
        <v>68</v>
      </c>
      <c r="K561" s="14" t="s">
        <v>68</v>
      </c>
      <c r="L561" s="14" t="s">
        <v>68</v>
      </c>
      <c r="M561" s="14"/>
      <c r="N561" s="14"/>
      <c r="O561" s="15"/>
      <c r="P561" s="15"/>
      <c r="Q561" s="15"/>
      <c r="R561" s="15"/>
      <c r="S561" s="15"/>
      <c r="T561" s="15"/>
      <c r="U561" s="15"/>
      <c r="V561" s="15"/>
      <c r="W561" s="15"/>
    </row>
    <row r="562" spans="1:23" ht="45" x14ac:dyDescent="0.25">
      <c r="A562" s="14" t="s">
        <v>846</v>
      </c>
      <c r="B562" s="14" t="s">
        <v>68</v>
      </c>
      <c r="C562" s="14"/>
      <c r="D562" s="14" t="s">
        <v>246</v>
      </c>
      <c r="E562" s="14" t="s">
        <v>247</v>
      </c>
      <c r="F562" s="14" t="s">
        <v>68</v>
      </c>
      <c r="G562" s="14" t="s">
        <v>148</v>
      </c>
      <c r="H562" s="14" t="s">
        <v>68</v>
      </c>
      <c r="I562" s="14" t="s">
        <v>68</v>
      </c>
      <c r="J562" s="14" t="s">
        <v>102</v>
      </c>
      <c r="K562" s="14" t="s">
        <v>68</v>
      </c>
      <c r="L562" s="14" t="s">
        <v>68</v>
      </c>
      <c r="M562" s="14"/>
      <c r="N562" s="14"/>
      <c r="O562" s="15"/>
      <c r="P562" s="15"/>
      <c r="Q562" s="15"/>
      <c r="R562" s="15"/>
      <c r="S562" s="15"/>
      <c r="T562" s="15"/>
      <c r="U562" s="15"/>
      <c r="V562" s="15"/>
      <c r="W562" s="15"/>
    </row>
    <row r="563" spans="1:23" ht="45" x14ac:dyDescent="0.25">
      <c r="A563" s="14" t="s">
        <v>847</v>
      </c>
      <c r="B563" s="14" t="s">
        <v>68</v>
      </c>
      <c r="C563" s="14"/>
      <c r="D563" s="14" t="s">
        <v>232</v>
      </c>
      <c r="E563" s="14" t="s">
        <v>209</v>
      </c>
      <c r="F563" s="14" t="s">
        <v>68</v>
      </c>
      <c r="G563" s="14" t="s">
        <v>68</v>
      </c>
      <c r="H563" s="14" t="s">
        <v>68</v>
      </c>
      <c r="I563" s="14" t="s">
        <v>68</v>
      </c>
      <c r="J563" s="14" t="s">
        <v>68</v>
      </c>
      <c r="K563" s="14" t="s">
        <v>68</v>
      </c>
      <c r="L563" s="14" t="s">
        <v>68</v>
      </c>
      <c r="M563" s="14"/>
      <c r="N563" s="14"/>
      <c r="O563" s="15"/>
      <c r="P563" s="15"/>
      <c r="Q563" s="15"/>
      <c r="R563" s="15"/>
      <c r="S563" s="15"/>
      <c r="T563" s="15"/>
      <c r="U563" s="15"/>
      <c r="V563" s="15"/>
      <c r="W563" s="15"/>
    </row>
    <row r="564" spans="1:23" ht="45" x14ac:dyDescent="0.25">
      <c r="A564" s="14" t="s">
        <v>848</v>
      </c>
      <c r="B564" s="14" t="s">
        <v>68</v>
      </c>
      <c r="C564" s="14"/>
      <c r="D564" s="14" t="s">
        <v>288</v>
      </c>
      <c r="E564" s="14" t="s">
        <v>296</v>
      </c>
      <c r="F564" s="14" t="s">
        <v>68</v>
      </c>
      <c r="G564" s="14" t="s">
        <v>68</v>
      </c>
      <c r="H564" s="14" t="s">
        <v>68</v>
      </c>
      <c r="I564" s="14" t="s">
        <v>68</v>
      </c>
      <c r="J564" s="14" t="s">
        <v>68</v>
      </c>
      <c r="K564" s="14" t="s">
        <v>68</v>
      </c>
      <c r="L564" s="14" t="s">
        <v>68</v>
      </c>
      <c r="M564" s="14"/>
      <c r="N564" s="14"/>
      <c r="O564" s="15"/>
      <c r="P564" s="15"/>
      <c r="Q564" s="15"/>
      <c r="R564" s="15"/>
      <c r="S564" s="15"/>
      <c r="T564" s="15"/>
      <c r="U564" s="15"/>
      <c r="V564" s="15"/>
      <c r="W564" s="15"/>
    </row>
    <row r="565" spans="1:23" ht="45" x14ac:dyDescent="0.25">
      <c r="A565" s="14" t="s">
        <v>849</v>
      </c>
      <c r="B565" s="14" t="s">
        <v>68</v>
      </c>
      <c r="C565" s="14"/>
      <c r="D565" s="14" t="s">
        <v>211</v>
      </c>
      <c r="E565" s="14" t="s">
        <v>212</v>
      </c>
      <c r="F565" s="14" t="s">
        <v>850</v>
      </c>
      <c r="G565" s="14" t="s">
        <v>68</v>
      </c>
      <c r="H565" s="14" t="s">
        <v>68</v>
      </c>
      <c r="I565" s="14" t="s">
        <v>68</v>
      </c>
      <c r="J565" s="14" t="s">
        <v>201</v>
      </c>
      <c r="K565" s="14" t="s">
        <v>68</v>
      </c>
      <c r="L565" s="14" t="s">
        <v>68</v>
      </c>
      <c r="M565" s="14"/>
      <c r="N565" s="14"/>
      <c r="O565" s="15"/>
      <c r="P565" s="15"/>
      <c r="Q565" s="15"/>
      <c r="R565" s="15"/>
      <c r="S565" s="15"/>
      <c r="T565" s="15"/>
      <c r="U565" s="15"/>
      <c r="V565" s="15"/>
      <c r="W565" s="15"/>
    </row>
    <row r="566" spans="1:23" ht="45" x14ac:dyDescent="0.25">
      <c r="A566" s="14" t="s">
        <v>851</v>
      </c>
      <c r="B566" s="14" t="s">
        <v>68</v>
      </c>
      <c r="C566" s="14"/>
      <c r="D566" s="14" t="s">
        <v>219</v>
      </c>
      <c r="E566" s="14" t="s">
        <v>220</v>
      </c>
      <c r="F566" s="14" t="s">
        <v>68</v>
      </c>
      <c r="G566" s="14" t="s">
        <v>68</v>
      </c>
      <c r="H566" s="14" t="s">
        <v>68</v>
      </c>
      <c r="I566" s="14" t="s">
        <v>68</v>
      </c>
      <c r="J566" s="14" t="s">
        <v>68</v>
      </c>
      <c r="K566" s="14" t="s">
        <v>68</v>
      </c>
      <c r="L566" s="14" t="s">
        <v>68</v>
      </c>
      <c r="M566" s="14"/>
      <c r="N566" s="14"/>
      <c r="O566" s="15"/>
      <c r="P566" s="15"/>
      <c r="Q566" s="15"/>
      <c r="R566" s="15"/>
      <c r="S566" s="15"/>
      <c r="T566" s="15"/>
      <c r="U566" s="15"/>
      <c r="V566" s="15"/>
      <c r="W566" s="15"/>
    </row>
    <row r="567" spans="1:23" ht="45" x14ac:dyDescent="0.25">
      <c r="A567" s="14" t="s">
        <v>852</v>
      </c>
      <c r="B567" s="14" t="s">
        <v>68</v>
      </c>
      <c r="C567" s="14"/>
      <c r="D567" s="14" t="s">
        <v>284</v>
      </c>
      <c r="E567" s="14" t="s">
        <v>285</v>
      </c>
      <c r="F567" s="14" t="s">
        <v>68</v>
      </c>
      <c r="G567" s="14" t="s">
        <v>68</v>
      </c>
      <c r="H567" s="14" t="s">
        <v>68</v>
      </c>
      <c r="I567" s="14" t="s">
        <v>68</v>
      </c>
      <c r="J567" s="14" t="s">
        <v>68</v>
      </c>
      <c r="K567" s="14" t="s">
        <v>68</v>
      </c>
      <c r="L567" s="14" t="s">
        <v>68</v>
      </c>
      <c r="M567" s="14"/>
      <c r="N567" s="14"/>
      <c r="O567" s="15"/>
      <c r="P567" s="15"/>
      <c r="Q567" s="15"/>
      <c r="R567" s="15"/>
      <c r="S567" s="15"/>
      <c r="T567" s="15"/>
      <c r="U567" s="15"/>
      <c r="V567" s="15"/>
      <c r="W567" s="15"/>
    </row>
    <row r="568" spans="1:23" ht="60" x14ac:dyDescent="0.25">
      <c r="A568" s="14" t="s">
        <v>853</v>
      </c>
      <c r="B568" s="14" t="s">
        <v>68</v>
      </c>
      <c r="C568" s="14"/>
      <c r="D568" s="14" t="s">
        <v>235</v>
      </c>
      <c r="E568" s="14" t="s">
        <v>236</v>
      </c>
      <c r="F568" s="14" t="s">
        <v>129</v>
      </c>
      <c r="G568" s="14" t="s">
        <v>68</v>
      </c>
      <c r="H568" s="14" t="s">
        <v>68</v>
      </c>
      <c r="I568" s="14" t="s">
        <v>68</v>
      </c>
      <c r="J568" s="14" t="s">
        <v>129</v>
      </c>
      <c r="K568" s="14" t="s">
        <v>68</v>
      </c>
      <c r="L568" s="14" t="s">
        <v>68</v>
      </c>
      <c r="M568" s="14"/>
      <c r="N568" s="14"/>
      <c r="O568" s="15"/>
      <c r="P568" s="15"/>
      <c r="Q568" s="15"/>
      <c r="R568" s="15"/>
      <c r="S568" s="15"/>
      <c r="T568" s="15"/>
      <c r="U568" s="15"/>
      <c r="V568" s="15"/>
      <c r="W568" s="15"/>
    </row>
    <row r="569" spans="1:23" ht="45" x14ac:dyDescent="0.25">
      <c r="A569" s="14" t="s">
        <v>854</v>
      </c>
      <c r="B569" s="14" t="s">
        <v>68</v>
      </c>
      <c r="C569" s="14"/>
      <c r="D569" s="14" t="s">
        <v>199</v>
      </c>
      <c r="E569" s="14" t="s">
        <v>855</v>
      </c>
      <c r="F569" s="14" t="s">
        <v>68</v>
      </c>
      <c r="G569" s="14" t="s">
        <v>856</v>
      </c>
      <c r="H569" s="14" t="s">
        <v>68</v>
      </c>
      <c r="I569" s="14" t="s">
        <v>68</v>
      </c>
      <c r="J569" s="14" t="s">
        <v>68</v>
      </c>
      <c r="K569" s="14" t="s">
        <v>68</v>
      </c>
      <c r="L569" s="14" t="s">
        <v>68</v>
      </c>
      <c r="M569" s="14"/>
      <c r="N569" s="14"/>
      <c r="O569" s="15"/>
      <c r="P569" s="15"/>
      <c r="Q569" s="15"/>
      <c r="R569" s="15"/>
      <c r="S569" s="15"/>
      <c r="T569" s="15"/>
      <c r="U569" s="15"/>
      <c r="V569" s="15"/>
      <c r="W569" s="15"/>
    </row>
    <row r="570" spans="1:23" ht="60" x14ac:dyDescent="0.25">
      <c r="A570" s="14" t="s">
        <v>857</v>
      </c>
      <c r="B570" s="14" t="s">
        <v>68</v>
      </c>
      <c r="C570" s="14"/>
      <c r="D570" s="14" t="s">
        <v>208</v>
      </c>
      <c r="E570" s="14" t="s">
        <v>209</v>
      </c>
      <c r="F570" s="14" t="s">
        <v>68</v>
      </c>
      <c r="G570" s="14" t="s">
        <v>68</v>
      </c>
      <c r="H570" s="14" t="s">
        <v>68</v>
      </c>
      <c r="I570" s="14" t="s">
        <v>68</v>
      </c>
      <c r="J570" s="14" t="s">
        <v>68</v>
      </c>
      <c r="K570" s="14" t="s">
        <v>68</v>
      </c>
      <c r="L570" s="14" t="s">
        <v>68</v>
      </c>
      <c r="M570" s="14"/>
      <c r="N570" s="14"/>
      <c r="O570" s="15"/>
      <c r="P570" s="15"/>
      <c r="Q570" s="15"/>
      <c r="R570" s="15"/>
      <c r="S570" s="15"/>
      <c r="T570" s="15"/>
      <c r="U570" s="15"/>
      <c r="V570" s="15"/>
      <c r="W570" s="15"/>
    </row>
    <row r="571" spans="1:23" ht="60" x14ac:dyDescent="0.25">
      <c r="A571" s="14" t="s">
        <v>858</v>
      </c>
      <c r="B571" s="14" t="s">
        <v>68</v>
      </c>
      <c r="C571" s="14"/>
      <c r="D571" s="14" t="s">
        <v>215</v>
      </c>
      <c r="E571" s="14" t="s">
        <v>216</v>
      </c>
      <c r="F571" s="14" t="s">
        <v>68</v>
      </c>
      <c r="G571" s="14" t="s">
        <v>74</v>
      </c>
      <c r="H571" s="14" t="s">
        <v>68</v>
      </c>
      <c r="I571" s="14" t="s">
        <v>68</v>
      </c>
      <c r="J571" s="14" t="s">
        <v>74</v>
      </c>
      <c r="K571" s="14" t="s">
        <v>68</v>
      </c>
      <c r="L571" s="14" t="s">
        <v>68</v>
      </c>
      <c r="M571" s="14"/>
      <c r="N571" s="14"/>
      <c r="O571" s="15"/>
      <c r="P571" s="15"/>
      <c r="Q571" s="15"/>
      <c r="R571" s="15"/>
      <c r="S571" s="15"/>
      <c r="T571" s="15"/>
      <c r="U571" s="15"/>
      <c r="V571" s="15"/>
      <c r="W571" s="15"/>
    </row>
    <row r="572" spans="1:23" ht="45" x14ac:dyDescent="0.25">
      <c r="A572" s="14" t="s">
        <v>859</v>
      </c>
      <c r="B572" s="14" t="s">
        <v>68</v>
      </c>
      <c r="C572" s="14"/>
      <c r="D572" s="14" t="s">
        <v>284</v>
      </c>
      <c r="E572" s="14" t="s">
        <v>285</v>
      </c>
      <c r="F572" s="14" t="s">
        <v>68</v>
      </c>
      <c r="G572" s="14" t="s">
        <v>68</v>
      </c>
      <c r="H572" s="14" t="s">
        <v>68</v>
      </c>
      <c r="I572" s="14" t="s">
        <v>68</v>
      </c>
      <c r="J572" s="14" t="s">
        <v>68</v>
      </c>
      <c r="K572" s="14" t="s">
        <v>68</v>
      </c>
      <c r="L572" s="14" t="s">
        <v>68</v>
      </c>
      <c r="M572" s="14"/>
      <c r="N572" s="14"/>
      <c r="O572" s="15"/>
      <c r="P572" s="15"/>
      <c r="Q572" s="15"/>
      <c r="R572" s="15"/>
      <c r="S572" s="15"/>
      <c r="T572" s="15"/>
      <c r="U572" s="15"/>
      <c r="V572" s="15"/>
      <c r="W572" s="15"/>
    </row>
    <row r="573" spans="1:23" ht="45" x14ac:dyDescent="0.25">
      <c r="A573" s="14" t="s">
        <v>860</v>
      </c>
      <c r="B573" s="14" t="s">
        <v>68</v>
      </c>
      <c r="C573" s="14"/>
      <c r="D573" s="14" t="s">
        <v>279</v>
      </c>
      <c r="E573" s="14" t="s">
        <v>280</v>
      </c>
      <c r="F573" s="14" t="s">
        <v>132</v>
      </c>
      <c r="G573" s="14" t="s">
        <v>68</v>
      </c>
      <c r="H573" s="14" t="s">
        <v>68</v>
      </c>
      <c r="I573" s="14" t="s">
        <v>68</v>
      </c>
      <c r="J573" s="14" t="s">
        <v>225</v>
      </c>
      <c r="K573" s="14" t="s">
        <v>68</v>
      </c>
      <c r="L573" s="14" t="s">
        <v>68</v>
      </c>
      <c r="M573" s="14"/>
      <c r="N573" s="14"/>
      <c r="O573" s="15"/>
      <c r="P573" s="15"/>
      <c r="Q573" s="15"/>
      <c r="R573" s="15"/>
      <c r="S573" s="15"/>
      <c r="T573" s="15"/>
      <c r="U573" s="15"/>
      <c r="V573" s="15"/>
      <c r="W573" s="15"/>
    </row>
    <row r="574" spans="1:23" ht="45" x14ac:dyDescent="0.25">
      <c r="A574" s="14" t="s">
        <v>861</v>
      </c>
      <c r="B574" s="14" t="s">
        <v>68</v>
      </c>
      <c r="C574" s="14"/>
      <c r="D574" s="14" t="s">
        <v>241</v>
      </c>
      <c r="E574" s="14" t="s">
        <v>236</v>
      </c>
      <c r="F574" s="14" t="s">
        <v>83</v>
      </c>
      <c r="G574" s="14" t="s">
        <v>68</v>
      </c>
      <c r="H574" s="14" t="s">
        <v>68</v>
      </c>
      <c r="I574" s="14" t="s">
        <v>68</v>
      </c>
      <c r="J574" s="14" t="s">
        <v>201</v>
      </c>
      <c r="K574" s="14" t="s">
        <v>68</v>
      </c>
      <c r="L574" s="14" t="s">
        <v>68</v>
      </c>
      <c r="M574" s="14"/>
      <c r="N574" s="14"/>
      <c r="O574" s="15"/>
      <c r="P574" s="15"/>
      <c r="Q574" s="15"/>
      <c r="R574" s="15"/>
      <c r="S574" s="15"/>
      <c r="T574" s="15"/>
      <c r="U574" s="15"/>
      <c r="V574" s="15"/>
      <c r="W574" s="15"/>
    </row>
    <row r="575" spans="1:23" ht="45" x14ac:dyDescent="0.25">
      <c r="A575" s="14" t="s">
        <v>862</v>
      </c>
      <c r="B575" s="14" t="s">
        <v>68</v>
      </c>
      <c r="C575" s="14"/>
      <c r="D575" s="14" t="s">
        <v>238</v>
      </c>
      <c r="E575" s="14" t="s">
        <v>239</v>
      </c>
      <c r="F575" s="14" t="s">
        <v>68</v>
      </c>
      <c r="G575" s="14" t="s">
        <v>68</v>
      </c>
      <c r="H575" s="14" t="s">
        <v>68</v>
      </c>
      <c r="I575" s="14" t="s">
        <v>68</v>
      </c>
      <c r="J575" s="14" t="s">
        <v>68</v>
      </c>
      <c r="K575" s="14" t="s">
        <v>68</v>
      </c>
      <c r="L575" s="14" t="s">
        <v>68</v>
      </c>
      <c r="M575" s="14"/>
      <c r="N575" s="14"/>
      <c r="O575" s="15"/>
      <c r="P575" s="15"/>
      <c r="Q575" s="15"/>
      <c r="R575" s="15"/>
      <c r="S575" s="15"/>
      <c r="T575" s="15"/>
      <c r="U575" s="15"/>
      <c r="V575" s="15"/>
      <c r="W575" s="15"/>
    </row>
    <row r="576" spans="1:23" ht="45" x14ac:dyDescent="0.25">
      <c r="A576" s="14" t="s">
        <v>863</v>
      </c>
      <c r="B576" s="14" t="s">
        <v>68</v>
      </c>
      <c r="C576" s="14"/>
      <c r="D576" s="14" t="s">
        <v>199</v>
      </c>
      <c r="E576" s="14" t="s">
        <v>68</v>
      </c>
      <c r="F576" s="14" t="s">
        <v>68</v>
      </c>
      <c r="G576" s="14" t="s">
        <v>89</v>
      </c>
      <c r="H576" s="14" t="s">
        <v>68</v>
      </c>
      <c r="I576" s="14" t="s">
        <v>68</v>
      </c>
      <c r="J576" s="14" t="s">
        <v>309</v>
      </c>
      <c r="K576" s="14" t="s">
        <v>68</v>
      </c>
      <c r="L576" s="14" t="s">
        <v>68</v>
      </c>
      <c r="M576" s="14"/>
      <c r="N576" s="14"/>
      <c r="O576" s="15"/>
      <c r="P576" s="15"/>
      <c r="Q576" s="15"/>
      <c r="R576" s="15"/>
      <c r="S576" s="15"/>
      <c r="T576" s="15"/>
      <c r="U576" s="15"/>
      <c r="V576" s="15"/>
      <c r="W576" s="15"/>
    </row>
    <row r="577" spans="1:23" ht="45" x14ac:dyDescent="0.25">
      <c r="A577" s="14" t="s">
        <v>864</v>
      </c>
      <c r="B577" s="14" t="s">
        <v>68</v>
      </c>
      <c r="C577" s="14"/>
      <c r="D577" s="14" t="s">
        <v>199</v>
      </c>
      <c r="E577" s="14" t="s">
        <v>68</v>
      </c>
      <c r="F577" s="14" t="s">
        <v>68</v>
      </c>
      <c r="G577" s="14" t="s">
        <v>68</v>
      </c>
      <c r="H577" s="14" t="s">
        <v>68</v>
      </c>
      <c r="I577" s="14" t="s">
        <v>68</v>
      </c>
      <c r="J577" s="14" t="s">
        <v>68</v>
      </c>
      <c r="K577" s="14" t="s">
        <v>68</v>
      </c>
      <c r="L577" s="14" t="s">
        <v>68</v>
      </c>
      <c r="M577" s="14"/>
      <c r="N577" s="14"/>
      <c r="O577" s="15"/>
      <c r="P577" s="15"/>
      <c r="Q577" s="15"/>
      <c r="R577" s="15"/>
      <c r="S577" s="15"/>
      <c r="T577" s="15"/>
      <c r="U577" s="15"/>
      <c r="V577" s="15"/>
      <c r="W577" s="15"/>
    </row>
    <row r="578" spans="1:23" ht="45" x14ac:dyDescent="0.25">
      <c r="A578" s="14" t="s">
        <v>865</v>
      </c>
      <c r="B578" s="14" t="s">
        <v>68</v>
      </c>
      <c r="C578" s="14"/>
      <c r="D578" s="14" t="s">
        <v>320</v>
      </c>
      <c r="E578" s="14" t="s">
        <v>233</v>
      </c>
      <c r="F578" s="14" t="s">
        <v>68</v>
      </c>
      <c r="G578" s="14" t="s">
        <v>68</v>
      </c>
      <c r="H578" s="14" t="s">
        <v>68</v>
      </c>
      <c r="I578" s="14" t="s">
        <v>68</v>
      </c>
      <c r="J578" s="14" t="s">
        <v>68</v>
      </c>
      <c r="K578" s="14" t="s">
        <v>68</v>
      </c>
      <c r="L578" s="14" t="s">
        <v>68</v>
      </c>
      <c r="M578" s="14"/>
      <c r="N578" s="14"/>
      <c r="O578" s="15"/>
      <c r="P578" s="15"/>
      <c r="Q578" s="15"/>
      <c r="R578" s="15"/>
      <c r="S578" s="15"/>
      <c r="T578" s="15"/>
      <c r="U578" s="15"/>
      <c r="V578" s="15"/>
      <c r="W578" s="15"/>
    </row>
    <row r="579" spans="1:23" ht="60" x14ac:dyDescent="0.25">
      <c r="A579" s="14" t="s">
        <v>866</v>
      </c>
      <c r="B579" s="14" t="s">
        <v>68</v>
      </c>
      <c r="C579" s="14"/>
      <c r="D579" s="14" t="s">
        <v>208</v>
      </c>
      <c r="E579" s="14" t="s">
        <v>209</v>
      </c>
      <c r="F579" s="14" t="s">
        <v>68</v>
      </c>
      <c r="G579" s="14" t="s">
        <v>148</v>
      </c>
      <c r="H579" s="14" t="s">
        <v>68</v>
      </c>
      <c r="I579" s="14" t="s">
        <v>68</v>
      </c>
      <c r="J579" s="14" t="s">
        <v>102</v>
      </c>
      <c r="K579" s="14" t="s">
        <v>68</v>
      </c>
      <c r="L579" s="14" t="s">
        <v>68</v>
      </c>
      <c r="M579" s="14"/>
      <c r="N579" s="14"/>
      <c r="O579" s="15"/>
      <c r="P579" s="15"/>
      <c r="Q579" s="15"/>
      <c r="R579" s="15"/>
      <c r="S579" s="15"/>
      <c r="T579" s="15"/>
      <c r="U579" s="15"/>
      <c r="V579" s="15"/>
      <c r="W579" s="15"/>
    </row>
    <row r="580" spans="1:23" ht="45" x14ac:dyDescent="0.25">
      <c r="A580" s="14" t="s">
        <v>867</v>
      </c>
      <c r="B580" s="14" t="s">
        <v>68</v>
      </c>
      <c r="C580" s="14"/>
      <c r="D580" s="14" t="s">
        <v>238</v>
      </c>
      <c r="E580" s="14" t="s">
        <v>239</v>
      </c>
      <c r="F580" s="14" t="s">
        <v>68</v>
      </c>
      <c r="G580" s="14" t="s">
        <v>68</v>
      </c>
      <c r="H580" s="14" t="s">
        <v>68</v>
      </c>
      <c r="I580" s="14" t="s">
        <v>68</v>
      </c>
      <c r="J580" s="14" t="s">
        <v>68</v>
      </c>
      <c r="K580" s="14" t="s">
        <v>68</v>
      </c>
      <c r="L580" s="14" t="s">
        <v>68</v>
      </c>
      <c r="M580" s="14"/>
      <c r="N580" s="14"/>
      <c r="O580" s="15"/>
      <c r="P580" s="15"/>
      <c r="Q580" s="15"/>
      <c r="R580" s="15"/>
      <c r="S580" s="15"/>
      <c r="T580" s="15"/>
      <c r="U580" s="15"/>
      <c r="V580" s="15"/>
      <c r="W580" s="15"/>
    </row>
    <row r="581" spans="1:23" ht="45" x14ac:dyDescent="0.25">
      <c r="A581" s="14" t="s">
        <v>868</v>
      </c>
      <c r="B581" s="14" t="s">
        <v>68</v>
      </c>
      <c r="C581" s="14"/>
      <c r="D581" s="14" t="s">
        <v>258</v>
      </c>
      <c r="E581" s="14" t="s">
        <v>227</v>
      </c>
      <c r="F581" s="14" t="s">
        <v>68</v>
      </c>
      <c r="G581" s="14" t="s">
        <v>68</v>
      </c>
      <c r="H581" s="14" t="s">
        <v>68</v>
      </c>
      <c r="I581" s="14" t="s">
        <v>68</v>
      </c>
      <c r="J581" s="14" t="s">
        <v>68</v>
      </c>
      <c r="K581" s="14" t="s">
        <v>68</v>
      </c>
      <c r="L581" s="14" t="s">
        <v>68</v>
      </c>
      <c r="M581" s="14"/>
      <c r="N581" s="14"/>
      <c r="O581" s="15"/>
      <c r="P581" s="15"/>
      <c r="Q581" s="15"/>
      <c r="R581" s="15"/>
      <c r="S581" s="15"/>
      <c r="T581" s="15"/>
      <c r="U581" s="15"/>
      <c r="V581" s="15"/>
      <c r="W581" s="15"/>
    </row>
    <row r="582" spans="1:23" x14ac:dyDescent="0.25">
      <c r="A582" s="14" t="s">
        <v>869</v>
      </c>
      <c r="B582" s="14" t="s">
        <v>68</v>
      </c>
      <c r="C582" s="14"/>
      <c r="D582" s="14" t="s">
        <v>68</v>
      </c>
      <c r="E582" s="14" t="s">
        <v>68</v>
      </c>
      <c r="F582" s="14" t="s">
        <v>102</v>
      </c>
      <c r="G582" s="14" t="s">
        <v>68</v>
      </c>
      <c r="H582" s="14" t="s">
        <v>68</v>
      </c>
      <c r="I582" s="14" t="s">
        <v>68</v>
      </c>
      <c r="J582" s="14" t="s">
        <v>102</v>
      </c>
      <c r="K582" s="14" t="s">
        <v>68</v>
      </c>
      <c r="L582" s="14" t="s">
        <v>68</v>
      </c>
      <c r="M582" s="14"/>
      <c r="N582" s="14"/>
      <c r="O582" s="15"/>
      <c r="P582" s="15"/>
      <c r="Q582" s="15"/>
      <c r="R582" s="15"/>
      <c r="S582" s="15"/>
      <c r="T582" s="15"/>
      <c r="U582" s="15"/>
      <c r="V582" s="15"/>
      <c r="W582" s="15"/>
    </row>
    <row r="583" spans="1:23" ht="45" x14ac:dyDescent="0.25">
      <c r="A583" s="14" t="s">
        <v>870</v>
      </c>
      <c r="B583" s="14" t="s">
        <v>68</v>
      </c>
      <c r="C583" s="14"/>
      <c r="D583" s="14" t="s">
        <v>204</v>
      </c>
      <c r="E583" s="14" t="s">
        <v>205</v>
      </c>
      <c r="F583" s="14" t="s">
        <v>68</v>
      </c>
      <c r="G583" s="14" t="s">
        <v>68</v>
      </c>
      <c r="H583" s="14" t="s">
        <v>68</v>
      </c>
      <c r="I583" s="14" t="s">
        <v>68</v>
      </c>
      <c r="J583" s="14" t="s">
        <v>68</v>
      </c>
      <c r="K583" s="14" t="s">
        <v>68</v>
      </c>
      <c r="L583" s="14" t="s">
        <v>68</v>
      </c>
      <c r="M583" s="14"/>
      <c r="N583" s="14"/>
      <c r="O583" s="15"/>
      <c r="P583" s="15"/>
      <c r="Q583" s="15"/>
      <c r="R583" s="15"/>
      <c r="S583" s="15"/>
      <c r="T583" s="15"/>
      <c r="U583" s="15"/>
      <c r="V583" s="15"/>
      <c r="W583" s="15"/>
    </row>
    <row r="584" spans="1:23" ht="45" x14ac:dyDescent="0.25">
      <c r="A584" s="14" t="s">
        <v>871</v>
      </c>
      <c r="B584" s="14" t="s">
        <v>68</v>
      </c>
      <c r="C584" s="14"/>
      <c r="D584" s="14" t="s">
        <v>381</v>
      </c>
      <c r="E584" s="14" t="s">
        <v>280</v>
      </c>
      <c r="F584" s="14" t="s">
        <v>68</v>
      </c>
      <c r="G584" s="14" t="s">
        <v>68</v>
      </c>
      <c r="H584" s="14" t="s">
        <v>68</v>
      </c>
      <c r="I584" s="14" t="s">
        <v>68</v>
      </c>
      <c r="J584" s="14" t="s">
        <v>68</v>
      </c>
      <c r="K584" s="14" t="s">
        <v>68</v>
      </c>
      <c r="L584" s="14" t="s">
        <v>68</v>
      </c>
      <c r="M584" s="14"/>
      <c r="N584" s="14"/>
      <c r="O584" s="15"/>
      <c r="P584" s="15"/>
      <c r="Q584" s="15"/>
      <c r="R584" s="15"/>
      <c r="S584" s="15"/>
      <c r="T584" s="15"/>
      <c r="U584" s="15"/>
      <c r="V584" s="15"/>
      <c r="W584" s="15"/>
    </row>
    <row r="585" spans="1:23" x14ac:dyDescent="0.25">
      <c r="A585" s="14" t="s">
        <v>872</v>
      </c>
      <c r="B585" s="14" t="s">
        <v>68</v>
      </c>
      <c r="C585" s="14"/>
      <c r="D585" s="14" t="s">
        <v>68</v>
      </c>
      <c r="E585" s="14" t="s">
        <v>68</v>
      </c>
      <c r="F585" s="14" t="s">
        <v>159</v>
      </c>
      <c r="G585" s="14" t="s">
        <v>68</v>
      </c>
      <c r="H585" s="14" t="s">
        <v>68</v>
      </c>
      <c r="I585" s="14" t="s">
        <v>68</v>
      </c>
      <c r="J585" s="14" t="s">
        <v>102</v>
      </c>
      <c r="K585" s="14" t="s">
        <v>68</v>
      </c>
      <c r="L585" s="14" t="s">
        <v>68</v>
      </c>
      <c r="M585" s="14"/>
      <c r="N585" s="14"/>
      <c r="O585" s="15"/>
      <c r="P585" s="15"/>
      <c r="Q585" s="15"/>
      <c r="R585" s="15"/>
      <c r="S585" s="15"/>
      <c r="T585" s="15"/>
      <c r="U585" s="15"/>
      <c r="V585" s="15"/>
      <c r="W585" s="15"/>
    </row>
    <row r="586" spans="1:23" ht="45" x14ac:dyDescent="0.25">
      <c r="A586" s="14" t="s">
        <v>873</v>
      </c>
      <c r="B586" s="14" t="s">
        <v>68</v>
      </c>
      <c r="C586" s="14"/>
      <c r="D586" s="14" t="s">
        <v>284</v>
      </c>
      <c r="E586" s="14" t="s">
        <v>285</v>
      </c>
      <c r="F586" s="14" t="s">
        <v>68</v>
      </c>
      <c r="G586" s="14" t="s">
        <v>68</v>
      </c>
      <c r="H586" s="14" t="s">
        <v>68</v>
      </c>
      <c r="I586" s="14" t="s">
        <v>68</v>
      </c>
      <c r="J586" s="14" t="s">
        <v>68</v>
      </c>
      <c r="K586" s="14" t="s">
        <v>68</v>
      </c>
      <c r="L586" s="14" t="s">
        <v>68</v>
      </c>
      <c r="M586" s="14"/>
      <c r="N586" s="14"/>
      <c r="O586" s="15"/>
      <c r="P586" s="15"/>
      <c r="Q586" s="15"/>
      <c r="R586" s="15"/>
      <c r="S586" s="15"/>
      <c r="T586" s="15"/>
      <c r="U586" s="15"/>
      <c r="V586" s="15"/>
      <c r="W586" s="15"/>
    </row>
    <row r="587" spans="1:23" ht="45" x14ac:dyDescent="0.25">
      <c r="A587" s="14" t="s">
        <v>874</v>
      </c>
      <c r="B587" s="14" t="s">
        <v>68</v>
      </c>
      <c r="C587" s="14"/>
      <c r="D587" s="14" t="s">
        <v>328</v>
      </c>
      <c r="E587" s="14" t="s">
        <v>296</v>
      </c>
      <c r="F587" s="14" t="s">
        <v>68</v>
      </c>
      <c r="G587" s="14" t="s">
        <v>68</v>
      </c>
      <c r="H587" s="14" t="s">
        <v>68</v>
      </c>
      <c r="I587" s="14" t="s">
        <v>68</v>
      </c>
      <c r="J587" s="14" t="s">
        <v>68</v>
      </c>
      <c r="K587" s="14" t="s">
        <v>68</v>
      </c>
      <c r="L587" s="14" t="s">
        <v>68</v>
      </c>
      <c r="M587" s="14"/>
      <c r="N587" s="14"/>
      <c r="O587" s="15"/>
      <c r="P587" s="15"/>
      <c r="Q587" s="15"/>
      <c r="R587" s="15"/>
      <c r="S587" s="15"/>
      <c r="T587" s="15"/>
      <c r="U587" s="15"/>
      <c r="V587" s="15"/>
      <c r="W587" s="15"/>
    </row>
    <row r="588" spans="1:23" ht="45" x14ac:dyDescent="0.25">
      <c r="A588" s="14" t="s">
        <v>875</v>
      </c>
      <c r="B588" s="14" t="s">
        <v>68</v>
      </c>
      <c r="C588" s="14"/>
      <c r="D588" s="14" t="s">
        <v>249</v>
      </c>
      <c r="E588" s="14" t="s">
        <v>250</v>
      </c>
      <c r="F588" s="14" t="s">
        <v>68</v>
      </c>
      <c r="G588" s="14" t="s">
        <v>68</v>
      </c>
      <c r="H588" s="14" t="s">
        <v>68</v>
      </c>
      <c r="I588" s="14" t="s">
        <v>68</v>
      </c>
      <c r="J588" s="14" t="s">
        <v>68</v>
      </c>
      <c r="K588" s="14" t="s">
        <v>68</v>
      </c>
      <c r="L588" s="14" t="s">
        <v>68</v>
      </c>
      <c r="M588" s="14"/>
      <c r="N588" s="14"/>
      <c r="O588" s="15"/>
      <c r="P588" s="15"/>
      <c r="Q588" s="15"/>
      <c r="R588" s="15"/>
      <c r="S588" s="15"/>
      <c r="T588" s="15"/>
      <c r="U588" s="15"/>
      <c r="V588" s="15"/>
      <c r="W588" s="15"/>
    </row>
    <row r="589" spans="1:23" ht="45" x14ac:dyDescent="0.25">
      <c r="A589" s="14" t="s">
        <v>876</v>
      </c>
      <c r="B589" s="14" t="s">
        <v>68</v>
      </c>
      <c r="C589" s="14"/>
      <c r="D589" s="14" t="s">
        <v>246</v>
      </c>
      <c r="E589" s="14" t="s">
        <v>247</v>
      </c>
      <c r="F589" s="14" t="s">
        <v>68</v>
      </c>
      <c r="G589" s="14" t="s">
        <v>102</v>
      </c>
      <c r="H589" s="14" t="s">
        <v>68</v>
      </c>
      <c r="I589" s="14" t="s">
        <v>68</v>
      </c>
      <c r="J589" s="14" t="s">
        <v>102</v>
      </c>
      <c r="K589" s="14" t="s">
        <v>68</v>
      </c>
      <c r="L589" s="14" t="s">
        <v>68</v>
      </c>
      <c r="M589" s="14"/>
      <c r="N589" s="14"/>
      <c r="O589" s="15"/>
      <c r="P589" s="15"/>
      <c r="Q589" s="15"/>
      <c r="R589" s="15"/>
      <c r="S589" s="15"/>
      <c r="T589" s="15"/>
      <c r="U589" s="15"/>
      <c r="V589" s="15"/>
      <c r="W589" s="15"/>
    </row>
    <row r="590" spans="1:23" ht="45" x14ac:dyDescent="0.25">
      <c r="A590" s="14" t="s">
        <v>877</v>
      </c>
      <c r="B590" s="14" t="s">
        <v>68</v>
      </c>
      <c r="C590" s="14"/>
      <c r="D590" s="14" t="s">
        <v>241</v>
      </c>
      <c r="E590" s="14" t="s">
        <v>236</v>
      </c>
      <c r="F590" s="14" t="s">
        <v>68</v>
      </c>
      <c r="G590" s="14" t="s">
        <v>68</v>
      </c>
      <c r="H590" s="14" t="s">
        <v>68</v>
      </c>
      <c r="I590" s="14" t="s">
        <v>68</v>
      </c>
      <c r="J590" s="14" t="s">
        <v>68</v>
      </c>
      <c r="K590" s="14" t="s">
        <v>68</v>
      </c>
      <c r="L590" s="14" t="s">
        <v>68</v>
      </c>
      <c r="M590" s="14"/>
      <c r="N590" s="14"/>
      <c r="O590" s="15"/>
      <c r="P590" s="15"/>
      <c r="Q590" s="15"/>
      <c r="R590" s="15"/>
      <c r="S590" s="15"/>
      <c r="T590" s="15"/>
      <c r="U590" s="15"/>
      <c r="V590" s="15"/>
      <c r="W590" s="15"/>
    </row>
    <row r="591" spans="1:23" ht="45" x14ac:dyDescent="0.25">
      <c r="A591" s="14" t="s">
        <v>878</v>
      </c>
      <c r="B591" s="14" t="s">
        <v>68</v>
      </c>
      <c r="C591" s="14"/>
      <c r="D591" s="14" t="s">
        <v>241</v>
      </c>
      <c r="E591" s="14" t="s">
        <v>236</v>
      </c>
      <c r="F591" s="14" t="s">
        <v>83</v>
      </c>
      <c r="G591" s="14" t="s">
        <v>68</v>
      </c>
      <c r="H591" s="14" t="s">
        <v>68</v>
      </c>
      <c r="I591" s="14" t="s">
        <v>68</v>
      </c>
      <c r="J591" s="14" t="s">
        <v>201</v>
      </c>
      <c r="K591" s="14" t="s">
        <v>68</v>
      </c>
      <c r="L591" s="14" t="s">
        <v>68</v>
      </c>
      <c r="M591" s="14"/>
      <c r="N591" s="14"/>
      <c r="O591" s="15"/>
      <c r="P591" s="15"/>
      <c r="Q591" s="15"/>
      <c r="R591" s="15"/>
      <c r="S591" s="15"/>
      <c r="T591" s="15"/>
      <c r="U591" s="15"/>
      <c r="V591" s="15"/>
      <c r="W591" s="15"/>
    </row>
    <row r="592" spans="1:23" ht="60" x14ac:dyDescent="0.25">
      <c r="A592" s="14" t="s">
        <v>879</v>
      </c>
      <c r="B592" s="14" t="s">
        <v>68</v>
      </c>
      <c r="C592" s="14"/>
      <c r="D592" s="14" t="s">
        <v>235</v>
      </c>
      <c r="E592" s="14" t="s">
        <v>236</v>
      </c>
      <c r="F592" s="14" t="s">
        <v>74</v>
      </c>
      <c r="G592" s="14" t="s">
        <v>68</v>
      </c>
      <c r="H592" s="14" t="s">
        <v>68</v>
      </c>
      <c r="I592" s="14" t="s">
        <v>68</v>
      </c>
      <c r="J592" s="14" t="s">
        <v>74</v>
      </c>
      <c r="K592" s="14" t="s">
        <v>68</v>
      </c>
      <c r="L592" s="14" t="s">
        <v>68</v>
      </c>
      <c r="M592" s="14"/>
      <c r="N592" s="14"/>
      <c r="O592" s="15"/>
      <c r="P592" s="15"/>
      <c r="Q592" s="15"/>
      <c r="R592" s="15"/>
      <c r="S592" s="15"/>
      <c r="T592" s="15"/>
      <c r="U592" s="15"/>
      <c r="V592" s="15"/>
      <c r="W592" s="15"/>
    </row>
    <row r="593" spans="1:23" ht="45" x14ac:dyDescent="0.25">
      <c r="A593" s="14" t="s">
        <v>880</v>
      </c>
      <c r="B593" s="14" t="s">
        <v>68</v>
      </c>
      <c r="C593" s="14"/>
      <c r="D593" s="14" t="s">
        <v>249</v>
      </c>
      <c r="E593" s="14" t="s">
        <v>250</v>
      </c>
      <c r="F593" s="14" t="s">
        <v>68</v>
      </c>
      <c r="G593" s="14" t="s">
        <v>68</v>
      </c>
      <c r="H593" s="14" t="s">
        <v>68</v>
      </c>
      <c r="I593" s="14" t="s">
        <v>68</v>
      </c>
      <c r="J593" s="14" t="s">
        <v>68</v>
      </c>
      <c r="K593" s="14" t="s">
        <v>68</v>
      </c>
      <c r="L593" s="14" t="s">
        <v>68</v>
      </c>
      <c r="M593" s="14"/>
      <c r="N593" s="14"/>
      <c r="O593" s="15"/>
      <c r="P593" s="15"/>
      <c r="Q593" s="15"/>
      <c r="R593" s="15"/>
      <c r="S593" s="15"/>
      <c r="T593" s="15"/>
      <c r="U593" s="15"/>
      <c r="V593" s="15"/>
      <c r="W593" s="15"/>
    </row>
    <row r="594" spans="1:23" ht="45" x14ac:dyDescent="0.25">
      <c r="A594" s="14" t="s">
        <v>881</v>
      </c>
      <c r="B594" s="14" t="s">
        <v>68</v>
      </c>
      <c r="C594" s="14"/>
      <c r="D594" s="14" t="s">
        <v>284</v>
      </c>
      <c r="E594" s="14" t="s">
        <v>285</v>
      </c>
      <c r="F594" s="14" t="s">
        <v>68</v>
      </c>
      <c r="G594" s="14" t="s">
        <v>68</v>
      </c>
      <c r="H594" s="14" t="s">
        <v>68</v>
      </c>
      <c r="I594" s="14" t="s">
        <v>68</v>
      </c>
      <c r="J594" s="14" t="s">
        <v>68</v>
      </c>
      <c r="K594" s="14" t="s">
        <v>68</v>
      </c>
      <c r="L594" s="14" t="s">
        <v>68</v>
      </c>
      <c r="M594" s="14"/>
      <c r="N594" s="14"/>
      <c r="O594" s="15"/>
      <c r="P594" s="15"/>
      <c r="Q594" s="15"/>
      <c r="R594" s="15"/>
      <c r="S594" s="15"/>
      <c r="T594" s="15"/>
      <c r="U594" s="15"/>
      <c r="V594" s="15"/>
      <c r="W594" s="15"/>
    </row>
    <row r="595" spans="1:23" ht="45" x14ac:dyDescent="0.25">
      <c r="A595" s="14" t="s">
        <v>882</v>
      </c>
      <c r="B595" s="14" t="s">
        <v>68</v>
      </c>
      <c r="C595" s="14"/>
      <c r="D595" s="14" t="s">
        <v>241</v>
      </c>
      <c r="E595" s="14" t="s">
        <v>236</v>
      </c>
      <c r="F595" s="14" t="s">
        <v>83</v>
      </c>
      <c r="G595" s="14" t="s">
        <v>68</v>
      </c>
      <c r="H595" s="14" t="s">
        <v>68</v>
      </c>
      <c r="I595" s="14" t="s">
        <v>68</v>
      </c>
      <c r="J595" s="14" t="s">
        <v>201</v>
      </c>
      <c r="K595" s="14" t="s">
        <v>68</v>
      </c>
      <c r="L595" s="14" t="s">
        <v>68</v>
      </c>
      <c r="M595" s="14"/>
      <c r="N595" s="14"/>
      <c r="O595" s="15"/>
      <c r="P595" s="15"/>
      <c r="Q595" s="15"/>
      <c r="R595" s="15"/>
      <c r="S595" s="15"/>
      <c r="T595" s="15"/>
      <c r="U595" s="15"/>
      <c r="V595" s="15"/>
      <c r="W595" s="15"/>
    </row>
    <row r="596" spans="1:23" x14ac:dyDescent="0.25">
      <c r="A596" s="14" t="s">
        <v>883</v>
      </c>
      <c r="B596" s="14" t="s">
        <v>68</v>
      </c>
      <c r="C596" s="14"/>
      <c r="D596" s="14" t="s">
        <v>68</v>
      </c>
      <c r="E596" s="14" t="s">
        <v>68</v>
      </c>
      <c r="F596" s="14" t="s">
        <v>68</v>
      </c>
      <c r="G596" s="14" t="s">
        <v>68</v>
      </c>
      <c r="H596" s="14" t="s">
        <v>68</v>
      </c>
      <c r="I596" s="14" t="s">
        <v>68</v>
      </c>
      <c r="J596" s="14" t="s">
        <v>68</v>
      </c>
      <c r="K596" s="14" t="s">
        <v>68</v>
      </c>
      <c r="L596" s="14" t="s">
        <v>68</v>
      </c>
      <c r="M596" s="14"/>
      <c r="N596" s="14"/>
      <c r="O596" s="15"/>
      <c r="P596" s="15"/>
      <c r="Q596" s="15"/>
      <c r="R596" s="15"/>
      <c r="S596" s="15"/>
      <c r="T596" s="15"/>
      <c r="U596" s="15"/>
      <c r="V596" s="15"/>
      <c r="W596" s="15"/>
    </row>
    <row r="597" spans="1:23" ht="60" x14ac:dyDescent="0.25">
      <c r="A597" s="14" t="s">
        <v>884</v>
      </c>
      <c r="B597" s="14" t="s">
        <v>68</v>
      </c>
      <c r="C597" s="14"/>
      <c r="D597" s="14" t="s">
        <v>208</v>
      </c>
      <c r="E597" s="14" t="s">
        <v>209</v>
      </c>
      <c r="F597" s="14" t="s">
        <v>68</v>
      </c>
      <c r="G597" s="14" t="s">
        <v>148</v>
      </c>
      <c r="H597" s="14" t="s">
        <v>68</v>
      </c>
      <c r="I597" s="14" t="s">
        <v>68</v>
      </c>
      <c r="J597" s="14" t="s">
        <v>102</v>
      </c>
      <c r="K597" s="14" t="s">
        <v>68</v>
      </c>
      <c r="L597" s="14" t="s">
        <v>68</v>
      </c>
      <c r="M597" s="14"/>
      <c r="N597" s="14"/>
      <c r="O597" s="15"/>
      <c r="P597" s="15"/>
      <c r="Q597" s="15"/>
      <c r="R597" s="15"/>
      <c r="S597" s="15"/>
      <c r="T597" s="15"/>
      <c r="U597" s="15"/>
      <c r="V597" s="15"/>
      <c r="W597" s="15"/>
    </row>
    <row r="598" spans="1:23" ht="45" x14ac:dyDescent="0.25">
      <c r="A598" s="14" t="s">
        <v>885</v>
      </c>
      <c r="B598" s="14" t="s">
        <v>68</v>
      </c>
      <c r="C598" s="14"/>
      <c r="D598" s="14" t="s">
        <v>312</v>
      </c>
      <c r="E598" s="14" t="s">
        <v>205</v>
      </c>
      <c r="F598" s="14" t="s">
        <v>68</v>
      </c>
      <c r="G598" s="14" t="s">
        <v>68</v>
      </c>
      <c r="H598" s="14" t="s">
        <v>68</v>
      </c>
      <c r="I598" s="14" t="s">
        <v>68</v>
      </c>
      <c r="J598" s="14" t="s">
        <v>68</v>
      </c>
      <c r="K598" s="14" t="s">
        <v>68</v>
      </c>
      <c r="L598" s="14" t="s">
        <v>68</v>
      </c>
      <c r="M598" s="14"/>
      <c r="N598" s="14"/>
      <c r="O598" s="15"/>
      <c r="P598" s="15"/>
      <c r="Q598" s="15"/>
      <c r="R598" s="15"/>
      <c r="S598" s="15"/>
      <c r="T598" s="15"/>
      <c r="U598" s="15"/>
      <c r="V598" s="15"/>
      <c r="W598" s="15"/>
    </row>
    <row r="599" spans="1:23" ht="45" x14ac:dyDescent="0.25">
      <c r="A599" s="14" t="s">
        <v>886</v>
      </c>
      <c r="B599" s="14" t="s">
        <v>68</v>
      </c>
      <c r="C599" s="14"/>
      <c r="D599" s="14" t="s">
        <v>258</v>
      </c>
      <c r="E599" s="14" t="s">
        <v>227</v>
      </c>
      <c r="F599" s="14" t="s">
        <v>68</v>
      </c>
      <c r="G599" s="14" t="s">
        <v>349</v>
      </c>
      <c r="H599" s="14" t="s">
        <v>68</v>
      </c>
      <c r="I599" s="14" t="s">
        <v>68</v>
      </c>
      <c r="J599" s="14" t="s">
        <v>102</v>
      </c>
      <c r="K599" s="14" t="s">
        <v>68</v>
      </c>
      <c r="L599" s="14" t="s">
        <v>68</v>
      </c>
      <c r="M599" s="14"/>
      <c r="N599" s="14"/>
      <c r="O599" s="15"/>
      <c r="P599" s="15"/>
      <c r="Q599" s="15"/>
      <c r="R599" s="15"/>
      <c r="S599" s="15"/>
      <c r="T599" s="15"/>
      <c r="U599" s="15"/>
      <c r="V599" s="15"/>
      <c r="W599" s="15"/>
    </row>
    <row r="600" spans="1:23" ht="45" x14ac:dyDescent="0.25">
      <c r="A600" s="14" t="s">
        <v>887</v>
      </c>
      <c r="B600" s="14" t="s">
        <v>68</v>
      </c>
      <c r="C600" s="14"/>
      <c r="D600" s="14" t="s">
        <v>256</v>
      </c>
      <c r="E600" s="14" t="s">
        <v>233</v>
      </c>
      <c r="F600" s="14" t="s">
        <v>68</v>
      </c>
      <c r="G600" s="14" t="s">
        <v>68</v>
      </c>
      <c r="H600" s="14" t="s">
        <v>68</v>
      </c>
      <c r="I600" s="14" t="s">
        <v>68</v>
      </c>
      <c r="J600" s="14" t="s">
        <v>68</v>
      </c>
      <c r="K600" s="14" t="s">
        <v>68</v>
      </c>
      <c r="L600" s="14" t="s">
        <v>68</v>
      </c>
      <c r="M600" s="14"/>
      <c r="N600" s="14"/>
      <c r="O600" s="15"/>
      <c r="P600" s="15"/>
      <c r="Q600" s="15"/>
      <c r="R600" s="15"/>
      <c r="S600" s="15"/>
      <c r="T600" s="15"/>
      <c r="U600" s="15"/>
      <c r="V600" s="15"/>
      <c r="W600" s="15"/>
    </row>
    <row r="601" spans="1:23" ht="60" x14ac:dyDescent="0.25">
      <c r="A601" s="14" t="s">
        <v>888</v>
      </c>
      <c r="B601" s="14" t="s">
        <v>68</v>
      </c>
      <c r="C601" s="14"/>
      <c r="D601" s="14" t="s">
        <v>208</v>
      </c>
      <c r="E601" s="14" t="s">
        <v>209</v>
      </c>
      <c r="F601" s="14" t="s">
        <v>68</v>
      </c>
      <c r="G601" s="14" t="s">
        <v>148</v>
      </c>
      <c r="H601" s="14" t="s">
        <v>68</v>
      </c>
      <c r="I601" s="14" t="s">
        <v>68</v>
      </c>
      <c r="J601" s="14" t="s">
        <v>102</v>
      </c>
      <c r="K601" s="14" t="s">
        <v>68</v>
      </c>
      <c r="L601" s="14" t="s">
        <v>68</v>
      </c>
      <c r="M601" s="14"/>
      <c r="N601" s="14"/>
      <c r="O601" s="15"/>
      <c r="P601" s="15"/>
      <c r="Q601" s="15"/>
      <c r="R601" s="15"/>
      <c r="S601" s="15"/>
      <c r="T601" s="15"/>
      <c r="U601" s="15"/>
      <c r="V601" s="15"/>
      <c r="W601" s="15"/>
    </row>
    <row r="602" spans="1:23" ht="45" x14ac:dyDescent="0.25">
      <c r="A602" s="14" t="s">
        <v>889</v>
      </c>
      <c r="B602" s="14" t="s">
        <v>68</v>
      </c>
      <c r="C602" s="14"/>
      <c r="D602" s="14" t="s">
        <v>238</v>
      </c>
      <c r="E602" s="14" t="s">
        <v>239</v>
      </c>
      <c r="F602" s="14" t="s">
        <v>68</v>
      </c>
      <c r="G602" s="14" t="s">
        <v>68</v>
      </c>
      <c r="H602" s="14" t="s">
        <v>68</v>
      </c>
      <c r="I602" s="14" t="s">
        <v>68</v>
      </c>
      <c r="J602" s="14" t="s">
        <v>68</v>
      </c>
      <c r="K602" s="14" t="s">
        <v>68</v>
      </c>
      <c r="L602" s="14" t="s">
        <v>68</v>
      </c>
      <c r="M602" s="14"/>
      <c r="N602" s="14"/>
      <c r="O602" s="15"/>
      <c r="P602" s="15"/>
      <c r="Q602" s="15"/>
      <c r="R602" s="15"/>
      <c r="S602" s="15"/>
      <c r="T602" s="15"/>
      <c r="U602" s="15"/>
      <c r="V602" s="15"/>
      <c r="W602" s="15"/>
    </row>
    <row r="603" spans="1:23" ht="45" x14ac:dyDescent="0.25">
      <c r="A603" s="14" t="s">
        <v>890</v>
      </c>
      <c r="B603" s="14" t="s">
        <v>68</v>
      </c>
      <c r="C603" s="14"/>
      <c r="D603" s="14" t="s">
        <v>256</v>
      </c>
      <c r="E603" s="14" t="s">
        <v>223</v>
      </c>
      <c r="F603" s="14" t="s">
        <v>68</v>
      </c>
      <c r="G603" s="14" t="s">
        <v>68</v>
      </c>
      <c r="H603" s="14" t="s">
        <v>68</v>
      </c>
      <c r="I603" s="14" t="s">
        <v>68</v>
      </c>
      <c r="J603" s="14" t="s">
        <v>68</v>
      </c>
      <c r="K603" s="14" t="s">
        <v>68</v>
      </c>
      <c r="L603" s="14" t="s">
        <v>68</v>
      </c>
      <c r="M603" s="14"/>
      <c r="N603" s="14"/>
      <c r="O603" s="15"/>
      <c r="P603" s="15"/>
      <c r="Q603" s="15"/>
      <c r="R603" s="15"/>
      <c r="S603" s="15"/>
      <c r="T603" s="15"/>
      <c r="U603" s="15"/>
      <c r="V603" s="15"/>
      <c r="W603" s="15"/>
    </row>
    <row r="604" spans="1:23" ht="45" x14ac:dyDescent="0.25">
      <c r="A604" s="14" t="s">
        <v>891</v>
      </c>
      <c r="B604" s="14" t="s">
        <v>68</v>
      </c>
      <c r="C604" s="14"/>
      <c r="D604" s="14" t="s">
        <v>284</v>
      </c>
      <c r="E604" s="14" t="s">
        <v>285</v>
      </c>
      <c r="F604" s="14" t="s">
        <v>68</v>
      </c>
      <c r="G604" s="14" t="s">
        <v>68</v>
      </c>
      <c r="H604" s="14" t="s">
        <v>68</v>
      </c>
      <c r="I604" s="14" t="s">
        <v>68</v>
      </c>
      <c r="J604" s="14" t="s">
        <v>68</v>
      </c>
      <c r="K604" s="14" t="s">
        <v>68</v>
      </c>
      <c r="L604" s="14" t="s">
        <v>68</v>
      </c>
      <c r="M604" s="14"/>
      <c r="N604" s="14"/>
      <c r="O604" s="15"/>
      <c r="P604" s="15"/>
      <c r="Q604" s="15"/>
      <c r="R604" s="15"/>
      <c r="S604" s="15"/>
      <c r="T604" s="15"/>
      <c r="U604" s="15"/>
      <c r="V604" s="15"/>
      <c r="W604" s="15"/>
    </row>
    <row r="605" spans="1:23" ht="60" x14ac:dyDescent="0.25">
      <c r="A605" s="14" t="s">
        <v>892</v>
      </c>
      <c r="B605" s="14" t="s">
        <v>68</v>
      </c>
      <c r="C605" s="14"/>
      <c r="D605" s="14" t="s">
        <v>208</v>
      </c>
      <c r="E605" s="14" t="s">
        <v>209</v>
      </c>
      <c r="F605" s="14" t="s">
        <v>68</v>
      </c>
      <c r="G605" s="14" t="s">
        <v>68</v>
      </c>
      <c r="H605" s="14" t="s">
        <v>68</v>
      </c>
      <c r="I605" s="14" t="s">
        <v>68</v>
      </c>
      <c r="J605" s="14" t="s">
        <v>68</v>
      </c>
      <c r="K605" s="14" t="s">
        <v>68</v>
      </c>
      <c r="L605" s="14" t="s">
        <v>68</v>
      </c>
      <c r="M605" s="14"/>
      <c r="N605" s="14"/>
      <c r="O605" s="15"/>
      <c r="P605" s="15"/>
      <c r="Q605" s="15"/>
      <c r="R605" s="15"/>
      <c r="S605" s="15"/>
      <c r="T605" s="15"/>
      <c r="U605" s="15"/>
      <c r="V605" s="15"/>
      <c r="W605" s="15"/>
    </row>
    <row r="606" spans="1:23" ht="45" x14ac:dyDescent="0.25">
      <c r="A606" s="14" t="s">
        <v>893</v>
      </c>
      <c r="B606" s="14" t="s">
        <v>68</v>
      </c>
      <c r="C606" s="14"/>
      <c r="D606" s="14" t="s">
        <v>241</v>
      </c>
      <c r="E606" s="14" t="s">
        <v>236</v>
      </c>
      <c r="F606" s="14" t="s">
        <v>83</v>
      </c>
      <c r="G606" s="14" t="s">
        <v>68</v>
      </c>
      <c r="H606" s="14" t="s">
        <v>68</v>
      </c>
      <c r="I606" s="14" t="s">
        <v>68</v>
      </c>
      <c r="J606" s="14" t="s">
        <v>201</v>
      </c>
      <c r="K606" s="14" t="s">
        <v>68</v>
      </c>
      <c r="L606" s="14" t="s">
        <v>68</v>
      </c>
      <c r="M606" s="14"/>
      <c r="N606" s="14"/>
      <c r="O606" s="15"/>
      <c r="P606" s="15"/>
      <c r="Q606" s="15"/>
      <c r="R606" s="15"/>
      <c r="S606" s="15"/>
      <c r="T606" s="15"/>
      <c r="U606" s="15"/>
      <c r="V606" s="15"/>
      <c r="W606" s="15"/>
    </row>
    <row r="607" spans="1:23" ht="45" x14ac:dyDescent="0.25">
      <c r="A607" s="14" t="s">
        <v>894</v>
      </c>
      <c r="B607" s="14" t="s">
        <v>68</v>
      </c>
      <c r="C607" s="14"/>
      <c r="D607" s="14" t="s">
        <v>246</v>
      </c>
      <c r="E607" s="14" t="s">
        <v>247</v>
      </c>
      <c r="F607" s="14" t="s">
        <v>68</v>
      </c>
      <c r="G607" s="14" t="s">
        <v>895</v>
      </c>
      <c r="H607" s="14" t="s">
        <v>68</v>
      </c>
      <c r="I607" s="14" t="s">
        <v>68</v>
      </c>
      <c r="J607" s="14" t="s">
        <v>68</v>
      </c>
      <c r="K607" s="14" t="s">
        <v>68</v>
      </c>
      <c r="L607" s="14" t="s">
        <v>68</v>
      </c>
      <c r="M607" s="14"/>
      <c r="N607" s="14"/>
      <c r="O607" s="15"/>
      <c r="P607" s="15"/>
      <c r="Q607" s="15"/>
      <c r="R607" s="15"/>
      <c r="S607" s="15"/>
      <c r="T607" s="15"/>
      <c r="U607" s="15"/>
      <c r="V607" s="15"/>
      <c r="W607" s="15"/>
    </row>
    <row r="608" spans="1:23" ht="45" x14ac:dyDescent="0.25">
      <c r="A608" s="14" t="s">
        <v>896</v>
      </c>
      <c r="B608" s="14" t="s">
        <v>68</v>
      </c>
      <c r="C608" s="14"/>
      <c r="D608" s="14" t="s">
        <v>288</v>
      </c>
      <c r="E608" s="14" t="s">
        <v>291</v>
      </c>
      <c r="F608" s="14" t="s">
        <v>68</v>
      </c>
      <c r="G608" s="14" t="s">
        <v>68</v>
      </c>
      <c r="H608" s="14" t="s">
        <v>68</v>
      </c>
      <c r="I608" s="14" t="s">
        <v>68</v>
      </c>
      <c r="J608" s="14" t="s">
        <v>68</v>
      </c>
      <c r="K608" s="14" t="s">
        <v>68</v>
      </c>
      <c r="L608" s="14" t="s">
        <v>68</v>
      </c>
      <c r="M608" s="14"/>
      <c r="N608" s="14"/>
      <c r="O608" s="15"/>
      <c r="P608" s="15"/>
      <c r="Q608" s="15"/>
      <c r="R608" s="15"/>
      <c r="S608" s="15"/>
      <c r="T608" s="15"/>
      <c r="U608" s="15"/>
      <c r="V608" s="15"/>
      <c r="W608" s="15"/>
    </row>
    <row r="609" spans="1:23" ht="45" x14ac:dyDescent="0.25">
      <c r="A609" s="14" t="s">
        <v>897</v>
      </c>
      <c r="B609" s="14" t="s">
        <v>68</v>
      </c>
      <c r="C609" s="14"/>
      <c r="D609" s="14" t="s">
        <v>284</v>
      </c>
      <c r="E609" s="14" t="s">
        <v>285</v>
      </c>
      <c r="F609" s="14" t="s">
        <v>68</v>
      </c>
      <c r="G609" s="14" t="s">
        <v>74</v>
      </c>
      <c r="H609" s="14" t="s">
        <v>68</v>
      </c>
      <c r="I609" s="14" t="s">
        <v>68</v>
      </c>
      <c r="J609" s="14" t="s">
        <v>74</v>
      </c>
      <c r="K609" s="14" t="s">
        <v>68</v>
      </c>
      <c r="L609" s="14" t="s">
        <v>68</v>
      </c>
      <c r="M609" s="14"/>
      <c r="N609" s="14"/>
      <c r="O609" s="15"/>
      <c r="P609" s="15"/>
      <c r="Q609" s="15"/>
      <c r="R609" s="15"/>
      <c r="S609" s="15"/>
      <c r="T609" s="15"/>
      <c r="U609" s="15"/>
      <c r="V609" s="15"/>
      <c r="W609" s="15"/>
    </row>
    <row r="610" spans="1:23" ht="45" x14ac:dyDescent="0.25">
      <c r="A610" s="14" t="s">
        <v>898</v>
      </c>
      <c r="B610" s="14" t="s">
        <v>68</v>
      </c>
      <c r="C610" s="14"/>
      <c r="D610" s="14" t="s">
        <v>232</v>
      </c>
      <c r="E610" s="14" t="s">
        <v>209</v>
      </c>
      <c r="F610" s="14" t="s">
        <v>68</v>
      </c>
      <c r="G610" s="14" t="s">
        <v>92</v>
      </c>
      <c r="H610" s="14" t="s">
        <v>68</v>
      </c>
      <c r="I610" s="14" t="s">
        <v>68</v>
      </c>
      <c r="J610" s="14" t="s">
        <v>68</v>
      </c>
      <c r="K610" s="14" t="s">
        <v>68</v>
      </c>
      <c r="L610" s="14" t="s">
        <v>68</v>
      </c>
      <c r="M610" s="14"/>
      <c r="N610" s="14"/>
      <c r="O610" s="15"/>
      <c r="P610" s="15"/>
      <c r="Q610" s="15"/>
      <c r="R610" s="15"/>
      <c r="S610" s="15"/>
      <c r="T610" s="15"/>
      <c r="U610" s="15"/>
      <c r="V610" s="15"/>
      <c r="W610" s="15"/>
    </row>
    <row r="611" spans="1:23" ht="60" x14ac:dyDescent="0.25">
      <c r="A611" s="14" t="s">
        <v>899</v>
      </c>
      <c r="B611" s="14" t="s">
        <v>68</v>
      </c>
      <c r="C611" s="14"/>
      <c r="D611" s="14" t="s">
        <v>208</v>
      </c>
      <c r="E611" s="14" t="s">
        <v>209</v>
      </c>
      <c r="F611" s="14" t="s">
        <v>68</v>
      </c>
      <c r="G611" s="14" t="s">
        <v>148</v>
      </c>
      <c r="H611" s="14" t="s">
        <v>68</v>
      </c>
      <c r="I611" s="14" t="s">
        <v>68</v>
      </c>
      <c r="J611" s="14" t="s">
        <v>102</v>
      </c>
      <c r="K611" s="14" t="s">
        <v>68</v>
      </c>
      <c r="L611" s="14" t="s">
        <v>68</v>
      </c>
      <c r="M611" s="14"/>
      <c r="N611" s="14"/>
      <c r="O611" s="15"/>
      <c r="P611" s="15"/>
      <c r="Q611" s="15"/>
      <c r="R611" s="15"/>
      <c r="S611" s="15"/>
      <c r="T611" s="15"/>
      <c r="U611" s="15"/>
      <c r="V611" s="15"/>
      <c r="W611" s="15"/>
    </row>
    <row r="612" spans="1:23" ht="60" x14ac:dyDescent="0.25">
      <c r="A612" s="14" t="s">
        <v>900</v>
      </c>
      <c r="B612" s="14" t="s">
        <v>68</v>
      </c>
      <c r="C612" s="14"/>
      <c r="D612" s="14" t="s">
        <v>215</v>
      </c>
      <c r="E612" s="14" t="s">
        <v>216</v>
      </c>
      <c r="F612" s="14" t="s">
        <v>68</v>
      </c>
      <c r="G612" s="14" t="s">
        <v>676</v>
      </c>
      <c r="H612" s="14" t="s">
        <v>68</v>
      </c>
      <c r="I612" s="14" t="s">
        <v>68</v>
      </c>
      <c r="J612" s="14" t="s">
        <v>74</v>
      </c>
      <c r="K612" s="14" t="s">
        <v>68</v>
      </c>
      <c r="L612" s="14" t="s">
        <v>68</v>
      </c>
      <c r="M612" s="14"/>
      <c r="N612" s="14"/>
      <c r="O612" s="15"/>
      <c r="P612" s="15"/>
      <c r="Q612" s="15"/>
      <c r="R612" s="15"/>
      <c r="S612" s="15"/>
      <c r="T612" s="15"/>
      <c r="U612" s="15"/>
      <c r="V612" s="15"/>
      <c r="W612" s="15"/>
    </row>
    <row r="613" spans="1:23" ht="60" x14ac:dyDescent="0.25">
      <c r="A613" s="14" t="s">
        <v>901</v>
      </c>
      <c r="B613" s="14" t="s">
        <v>68</v>
      </c>
      <c r="C613" s="14"/>
      <c r="D613" s="14" t="s">
        <v>215</v>
      </c>
      <c r="E613" s="14" t="s">
        <v>216</v>
      </c>
      <c r="F613" s="14" t="s">
        <v>68</v>
      </c>
      <c r="G613" s="14" t="s">
        <v>902</v>
      </c>
      <c r="H613" s="14" t="s">
        <v>68</v>
      </c>
      <c r="I613" s="14" t="s">
        <v>68</v>
      </c>
      <c r="J613" s="14" t="s">
        <v>74</v>
      </c>
      <c r="K613" s="14" t="s">
        <v>68</v>
      </c>
      <c r="L613" s="14" t="s">
        <v>68</v>
      </c>
      <c r="M613" s="14"/>
      <c r="N613" s="14"/>
      <c r="O613" s="15"/>
      <c r="P613" s="15"/>
      <c r="Q613" s="15"/>
      <c r="R613" s="15"/>
      <c r="S613" s="15"/>
      <c r="T613" s="15"/>
      <c r="U613" s="15"/>
      <c r="V613" s="15"/>
      <c r="W613" s="15"/>
    </row>
    <row r="614" spans="1:23" x14ac:dyDescent="0.25">
      <c r="A614" s="14" t="s">
        <v>903</v>
      </c>
      <c r="B614" s="14" t="s">
        <v>68</v>
      </c>
      <c r="C614" s="14"/>
      <c r="D614" s="14" t="s">
        <v>68</v>
      </c>
      <c r="E614" s="14" t="s">
        <v>68</v>
      </c>
      <c r="F614" s="14" t="s">
        <v>68</v>
      </c>
      <c r="G614" s="14" t="s">
        <v>68</v>
      </c>
      <c r="H614" s="14" t="s">
        <v>68</v>
      </c>
      <c r="I614" s="14" t="s">
        <v>68</v>
      </c>
      <c r="J614" s="14" t="s">
        <v>68</v>
      </c>
      <c r="K614" s="14" t="s">
        <v>68</v>
      </c>
      <c r="L614" s="14" t="s">
        <v>68</v>
      </c>
      <c r="M614" s="14"/>
      <c r="N614" s="14"/>
      <c r="O614" s="15"/>
      <c r="P614" s="15"/>
      <c r="Q614" s="15"/>
      <c r="R614" s="15"/>
      <c r="S614" s="15"/>
      <c r="T614" s="15"/>
      <c r="U614" s="15"/>
      <c r="V614" s="15"/>
      <c r="W614" s="15"/>
    </row>
    <row r="615" spans="1:23" ht="45" x14ac:dyDescent="0.25">
      <c r="A615" s="14" t="s">
        <v>904</v>
      </c>
      <c r="B615" s="14" t="s">
        <v>68</v>
      </c>
      <c r="C615" s="14"/>
      <c r="D615" s="14" t="s">
        <v>238</v>
      </c>
      <c r="E615" s="14" t="s">
        <v>239</v>
      </c>
      <c r="F615" s="14" t="s">
        <v>68</v>
      </c>
      <c r="G615" s="14" t="s">
        <v>68</v>
      </c>
      <c r="H615" s="14" t="s">
        <v>68</v>
      </c>
      <c r="I615" s="14" t="s">
        <v>68</v>
      </c>
      <c r="J615" s="14" t="s">
        <v>68</v>
      </c>
      <c r="K615" s="14" t="s">
        <v>68</v>
      </c>
      <c r="L615" s="14" t="s">
        <v>68</v>
      </c>
      <c r="M615" s="14"/>
      <c r="N615" s="14"/>
      <c r="O615" s="15"/>
      <c r="P615" s="15"/>
      <c r="Q615" s="15"/>
      <c r="R615" s="15"/>
      <c r="S615" s="15"/>
      <c r="T615" s="15"/>
      <c r="U615" s="15"/>
      <c r="V615" s="15"/>
      <c r="W615" s="15"/>
    </row>
    <row r="616" spans="1:23" ht="45" x14ac:dyDescent="0.25">
      <c r="A616" s="14" t="s">
        <v>905</v>
      </c>
      <c r="B616" s="14" t="s">
        <v>68</v>
      </c>
      <c r="C616" s="14"/>
      <c r="D616" s="14" t="s">
        <v>256</v>
      </c>
      <c r="E616" s="14" t="s">
        <v>291</v>
      </c>
      <c r="F616" s="14" t="s">
        <v>68</v>
      </c>
      <c r="G616" s="14" t="s">
        <v>68</v>
      </c>
      <c r="H616" s="14" t="s">
        <v>68</v>
      </c>
      <c r="I616" s="14" t="s">
        <v>68</v>
      </c>
      <c r="J616" s="14" t="s">
        <v>68</v>
      </c>
      <c r="K616" s="14" t="s">
        <v>68</v>
      </c>
      <c r="L616" s="14" t="s">
        <v>68</v>
      </c>
      <c r="M616" s="14"/>
      <c r="N616" s="14"/>
      <c r="O616" s="15"/>
      <c r="P616" s="15"/>
      <c r="Q616" s="15"/>
      <c r="R616" s="15"/>
      <c r="S616" s="15"/>
      <c r="T616" s="15"/>
      <c r="U616" s="15"/>
      <c r="V616" s="15"/>
      <c r="W616" s="15"/>
    </row>
    <row r="617" spans="1:23" ht="45" x14ac:dyDescent="0.25">
      <c r="A617" s="14" t="s">
        <v>906</v>
      </c>
      <c r="B617" s="14" t="s">
        <v>68</v>
      </c>
      <c r="C617" s="14"/>
      <c r="D617" s="14" t="s">
        <v>199</v>
      </c>
      <c r="E617" s="14" t="s">
        <v>68</v>
      </c>
      <c r="F617" s="14" t="s">
        <v>68</v>
      </c>
      <c r="G617" s="14" t="s">
        <v>68</v>
      </c>
      <c r="H617" s="14" t="s">
        <v>68</v>
      </c>
      <c r="I617" s="14" t="s">
        <v>68</v>
      </c>
      <c r="J617" s="14" t="s">
        <v>68</v>
      </c>
      <c r="K617" s="14" t="s">
        <v>68</v>
      </c>
      <c r="L617" s="14" t="s">
        <v>68</v>
      </c>
      <c r="M617" s="14"/>
      <c r="N617" s="14"/>
      <c r="O617" s="15"/>
      <c r="P617" s="15"/>
      <c r="Q617" s="15"/>
      <c r="R617" s="15"/>
      <c r="S617" s="15"/>
      <c r="T617" s="15"/>
      <c r="U617" s="15"/>
      <c r="V617" s="15"/>
      <c r="W617" s="15"/>
    </row>
    <row r="618" spans="1:23" ht="45" x14ac:dyDescent="0.25">
      <c r="A618" s="14" t="s">
        <v>907</v>
      </c>
      <c r="B618" s="14" t="s">
        <v>68</v>
      </c>
      <c r="C618" s="14"/>
      <c r="D618" s="14" t="s">
        <v>249</v>
      </c>
      <c r="E618" s="14" t="s">
        <v>250</v>
      </c>
      <c r="F618" s="14" t="s">
        <v>68</v>
      </c>
      <c r="G618" s="14" t="s">
        <v>68</v>
      </c>
      <c r="H618" s="14" t="s">
        <v>68</v>
      </c>
      <c r="I618" s="14" t="s">
        <v>68</v>
      </c>
      <c r="J618" s="14" t="s">
        <v>68</v>
      </c>
      <c r="K618" s="14" t="s">
        <v>68</v>
      </c>
      <c r="L618" s="14" t="s">
        <v>68</v>
      </c>
      <c r="M618" s="14"/>
      <c r="N618" s="14"/>
      <c r="O618" s="15"/>
      <c r="P618" s="15"/>
      <c r="Q618" s="15"/>
      <c r="R618" s="15"/>
      <c r="S618" s="15"/>
      <c r="T618" s="15"/>
      <c r="U618" s="15"/>
      <c r="V618" s="15"/>
      <c r="W618" s="15"/>
    </row>
    <row r="619" spans="1:23" ht="45" x14ac:dyDescent="0.25">
      <c r="A619" s="14" t="s">
        <v>908</v>
      </c>
      <c r="B619" s="14" t="s">
        <v>68</v>
      </c>
      <c r="C619" s="14"/>
      <c r="D619" s="14" t="s">
        <v>232</v>
      </c>
      <c r="E619" s="14" t="s">
        <v>209</v>
      </c>
      <c r="F619" s="14" t="s">
        <v>68</v>
      </c>
      <c r="G619" s="14" t="s">
        <v>68</v>
      </c>
      <c r="H619" s="14" t="s">
        <v>68</v>
      </c>
      <c r="I619" s="14" t="s">
        <v>68</v>
      </c>
      <c r="J619" s="14" t="s">
        <v>68</v>
      </c>
      <c r="K619" s="14" t="s">
        <v>68</v>
      </c>
      <c r="L619" s="14" t="s">
        <v>68</v>
      </c>
      <c r="M619" s="14"/>
      <c r="N619" s="14"/>
      <c r="O619" s="15"/>
      <c r="P619" s="15"/>
      <c r="Q619" s="15"/>
      <c r="R619" s="15"/>
      <c r="S619" s="15"/>
      <c r="T619" s="15"/>
      <c r="U619" s="15"/>
      <c r="V619" s="15"/>
      <c r="W619" s="15"/>
    </row>
    <row r="620" spans="1:23" ht="45" x14ac:dyDescent="0.25">
      <c r="A620" s="14" t="s">
        <v>909</v>
      </c>
      <c r="B620" s="14" t="s">
        <v>68</v>
      </c>
      <c r="C620" s="14"/>
      <c r="D620" s="14" t="s">
        <v>246</v>
      </c>
      <c r="E620" s="14" t="s">
        <v>247</v>
      </c>
      <c r="F620" s="14" t="s">
        <v>68</v>
      </c>
      <c r="G620" s="14" t="s">
        <v>102</v>
      </c>
      <c r="H620" s="14" t="s">
        <v>68</v>
      </c>
      <c r="I620" s="14" t="s">
        <v>68</v>
      </c>
      <c r="J620" s="14" t="s">
        <v>102</v>
      </c>
      <c r="K620" s="14" t="s">
        <v>68</v>
      </c>
      <c r="L620" s="14" t="s">
        <v>68</v>
      </c>
      <c r="M620" s="14"/>
      <c r="N620" s="14"/>
      <c r="O620" s="15"/>
      <c r="P620" s="15"/>
      <c r="Q620" s="15"/>
      <c r="R620" s="15"/>
      <c r="S620" s="15"/>
      <c r="T620" s="15"/>
      <c r="U620" s="15"/>
      <c r="V620" s="15"/>
      <c r="W620" s="15"/>
    </row>
    <row r="621" spans="1:23" ht="45" x14ac:dyDescent="0.25">
      <c r="A621" s="14" t="s">
        <v>910</v>
      </c>
      <c r="B621" s="14" t="s">
        <v>68</v>
      </c>
      <c r="C621" s="14"/>
      <c r="D621" s="14" t="s">
        <v>328</v>
      </c>
      <c r="E621" s="14" t="s">
        <v>296</v>
      </c>
      <c r="F621" s="14" t="s">
        <v>68</v>
      </c>
      <c r="G621" s="14" t="s">
        <v>68</v>
      </c>
      <c r="H621" s="14" t="s">
        <v>68</v>
      </c>
      <c r="I621" s="14" t="s">
        <v>68</v>
      </c>
      <c r="J621" s="14" t="s">
        <v>68</v>
      </c>
      <c r="K621" s="14" t="s">
        <v>68</v>
      </c>
      <c r="L621" s="14" t="s">
        <v>68</v>
      </c>
      <c r="M621" s="14"/>
      <c r="N621" s="14"/>
      <c r="O621" s="15"/>
      <c r="P621" s="15"/>
      <c r="Q621" s="15"/>
      <c r="R621" s="15"/>
      <c r="S621" s="15"/>
      <c r="T621" s="15"/>
      <c r="U621" s="15"/>
      <c r="V621" s="15"/>
      <c r="W621" s="15"/>
    </row>
    <row r="622" spans="1:23" ht="45" x14ac:dyDescent="0.25">
      <c r="A622" s="14" t="s">
        <v>911</v>
      </c>
      <c r="B622" s="14" t="s">
        <v>68</v>
      </c>
      <c r="C622" s="14"/>
      <c r="D622" s="14" t="s">
        <v>288</v>
      </c>
      <c r="E622" s="14" t="s">
        <v>296</v>
      </c>
      <c r="F622" s="14" t="s">
        <v>68</v>
      </c>
      <c r="G622" s="14" t="s">
        <v>68</v>
      </c>
      <c r="H622" s="14" t="s">
        <v>68</v>
      </c>
      <c r="I622" s="14" t="s">
        <v>68</v>
      </c>
      <c r="J622" s="14" t="s">
        <v>68</v>
      </c>
      <c r="K622" s="14" t="s">
        <v>68</v>
      </c>
      <c r="L622" s="14" t="s">
        <v>68</v>
      </c>
      <c r="M622" s="14"/>
      <c r="N622" s="14"/>
      <c r="O622" s="15"/>
      <c r="P622" s="15"/>
      <c r="Q622" s="15"/>
      <c r="R622" s="15"/>
      <c r="S622" s="15"/>
      <c r="T622" s="15"/>
      <c r="U622" s="15"/>
      <c r="V622" s="15"/>
      <c r="W622" s="15"/>
    </row>
    <row r="623" spans="1:23" ht="45" x14ac:dyDescent="0.25">
      <c r="A623" s="14" t="s">
        <v>912</v>
      </c>
      <c r="B623" s="14" t="s">
        <v>68</v>
      </c>
      <c r="C623" s="14"/>
      <c r="D623" s="14" t="s">
        <v>288</v>
      </c>
      <c r="E623" s="14" t="s">
        <v>296</v>
      </c>
      <c r="F623" s="14" t="s">
        <v>68</v>
      </c>
      <c r="G623" s="14" t="s">
        <v>68</v>
      </c>
      <c r="H623" s="14" t="s">
        <v>68</v>
      </c>
      <c r="I623" s="14" t="s">
        <v>68</v>
      </c>
      <c r="J623" s="14" t="s">
        <v>68</v>
      </c>
      <c r="K623" s="14" t="s">
        <v>68</v>
      </c>
      <c r="L623" s="14" t="s">
        <v>68</v>
      </c>
      <c r="M623" s="14"/>
      <c r="N623" s="14"/>
      <c r="O623" s="15"/>
      <c r="P623" s="15"/>
      <c r="Q623" s="15"/>
      <c r="R623" s="15"/>
      <c r="S623" s="15"/>
      <c r="T623" s="15"/>
      <c r="U623" s="15"/>
      <c r="V623" s="15"/>
      <c r="W623" s="15"/>
    </row>
    <row r="624" spans="1:23" ht="45" x14ac:dyDescent="0.25">
      <c r="A624" s="14" t="s">
        <v>913</v>
      </c>
      <c r="B624" s="14" t="s">
        <v>68</v>
      </c>
      <c r="C624" s="14"/>
      <c r="D624" s="14" t="s">
        <v>232</v>
      </c>
      <c r="E624" s="14" t="s">
        <v>209</v>
      </c>
      <c r="F624" s="14" t="s">
        <v>68</v>
      </c>
      <c r="G624" s="14" t="s">
        <v>68</v>
      </c>
      <c r="H624" s="14" t="s">
        <v>68</v>
      </c>
      <c r="I624" s="14" t="s">
        <v>68</v>
      </c>
      <c r="J624" s="14" t="s">
        <v>68</v>
      </c>
      <c r="K624" s="14" t="s">
        <v>68</v>
      </c>
      <c r="L624" s="14" t="s">
        <v>68</v>
      </c>
      <c r="M624" s="14"/>
      <c r="N624" s="14"/>
      <c r="O624" s="15"/>
      <c r="P624" s="15"/>
      <c r="Q624" s="15"/>
      <c r="R624" s="15"/>
      <c r="S624" s="15"/>
      <c r="T624" s="15"/>
      <c r="U624" s="15"/>
      <c r="V624" s="15"/>
      <c r="W624" s="15"/>
    </row>
    <row r="625" spans="1:23" ht="45" x14ac:dyDescent="0.25">
      <c r="A625" s="14" t="s">
        <v>914</v>
      </c>
      <c r="B625" s="14" t="s">
        <v>68</v>
      </c>
      <c r="C625" s="14"/>
      <c r="D625" s="14" t="s">
        <v>288</v>
      </c>
      <c r="E625" s="14" t="s">
        <v>296</v>
      </c>
      <c r="F625" s="14" t="s">
        <v>68</v>
      </c>
      <c r="G625" s="14" t="s">
        <v>68</v>
      </c>
      <c r="H625" s="14" t="s">
        <v>68</v>
      </c>
      <c r="I625" s="14" t="s">
        <v>68</v>
      </c>
      <c r="J625" s="14" t="s">
        <v>68</v>
      </c>
      <c r="K625" s="14" t="s">
        <v>68</v>
      </c>
      <c r="L625" s="14" t="s">
        <v>68</v>
      </c>
      <c r="M625" s="14"/>
      <c r="N625" s="14"/>
      <c r="O625" s="15"/>
      <c r="P625" s="15"/>
      <c r="Q625" s="15"/>
      <c r="R625" s="15"/>
      <c r="S625" s="15"/>
      <c r="T625" s="15"/>
      <c r="U625" s="15"/>
      <c r="V625" s="15"/>
      <c r="W625" s="15"/>
    </row>
    <row r="626" spans="1:23" x14ac:dyDescent="0.25">
      <c r="A626" s="14" t="s">
        <v>915</v>
      </c>
      <c r="B626" s="14" t="s">
        <v>68</v>
      </c>
      <c r="C626" s="14"/>
      <c r="D626" s="14" t="s">
        <v>68</v>
      </c>
      <c r="E626" s="14" t="s">
        <v>68</v>
      </c>
      <c r="F626" s="14" t="s">
        <v>88</v>
      </c>
      <c r="G626" s="14" t="s">
        <v>68</v>
      </c>
      <c r="H626" s="14" t="s">
        <v>68</v>
      </c>
      <c r="I626" s="14" t="s">
        <v>68</v>
      </c>
      <c r="J626" s="14" t="s">
        <v>102</v>
      </c>
      <c r="K626" s="14" t="s">
        <v>68</v>
      </c>
      <c r="L626" s="14" t="s">
        <v>68</v>
      </c>
      <c r="M626" s="14"/>
      <c r="N626" s="14"/>
      <c r="O626" s="15"/>
      <c r="P626" s="15"/>
      <c r="Q626" s="15"/>
      <c r="R626" s="15"/>
      <c r="S626" s="15"/>
      <c r="T626" s="15"/>
      <c r="U626" s="15"/>
      <c r="V626" s="15"/>
      <c r="W626" s="15"/>
    </row>
    <row r="627" spans="1:23" ht="45" x14ac:dyDescent="0.25">
      <c r="A627" s="14" t="s">
        <v>916</v>
      </c>
      <c r="B627" s="14" t="s">
        <v>68</v>
      </c>
      <c r="C627" s="14"/>
      <c r="D627" s="14" t="s">
        <v>229</v>
      </c>
      <c r="E627" s="14" t="s">
        <v>230</v>
      </c>
      <c r="F627" s="14" t="s">
        <v>68</v>
      </c>
      <c r="G627" s="14" t="s">
        <v>68</v>
      </c>
      <c r="H627" s="14" t="s">
        <v>68</v>
      </c>
      <c r="I627" s="14" t="s">
        <v>68</v>
      </c>
      <c r="J627" s="14" t="s">
        <v>68</v>
      </c>
      <c r="K627" s="14" t="s">
        <v>68</v>
      </c>
      <c r="L627" s="14" t="s">
        <v>68</v>
      </c>
      <c r="M627" s="14"/>
      <c r="N627" s="14"/>
      <c r="O627" s="15"/>
      <c r="P627" s="15"/>
      <c r="Q627" s="15"/>
      <c r="R627" s="15"/>
      <c r="S627" s="15"/>
      <c r="T627" s="15"/>
      <c r="U627" s="15"/>
      <c r="V627" s="15"/>
      <c r="W627" s="15"/>
    </row>
    <row r="628" spans="1:23" ht="45" x14ac:dyDescent="0.25">
      <c r="A628" s="14" t="s">
        <v>917</v>
      </c>
      <c r="B628" s="14" t="s">
        <v>68</v>
      </c>
      <c r="C628" s="14"/>
      <c r="D628" s="14" t="s">
        <v>312</v>
      </c>
      <c r="E628" s="14" t="s">
        <v>205</v>
      </c>
      <c r="F628" s="14" t="s">
        <v>68</v>
      </c>
      <c r="G628" s="14" t="s">
        <v>68</v>
      </c>
      <c r="H628" s="14" t="s">
        <v>68</v>
      </c>
      <c r="I628" s="14" t="s">
        <v>68</v>
      </c>
      <c r="J628" s="14" t="s">
        <v>68</v>
      </c>
      <c r="K628" s="14" t="s">
        <v>68</v>
      </c>
      <c r="L628" s="14" t="s">
        <v>68</v>
      </c>
      <c r="M628" s="14"/>
      <c r="N628" s="14"/>
      <c r="O628" s="15"/>
      <c r="P628" s="15"/>
      <c r="Q628" s="15"/>
      <c r="R628" s="15"/>
      <c r="S628" s="15"/>
      <c r="T628" s="15"/>
      <c r="U628" s="15"/>
      <c r="V628" s="15"/>
      <c r="W628" s="15"/>
    </row>
    <row r="629" spans="1:23" ht="45" x14ac:dyDescent="0.25">
      <c r="A629" s="14" t="s">
        <v>918</v>
      </c>
      <c r="B629" s="14" t="s">
        <v>68</v>
      </c>
      <c r="C629" s="14"/>
      <c r="D629" s="14" t="s">
        <v>328</v>
      </c>
      <c r="E629" s="14" t="s">
        <v>296</v>
      </c>
      <c r="F629" s="14" t="s">
        <v>68</v>
      </c>
      <c r="G629" s="14" t="s">
        <v>68</v>
      </c>
      <c r="H629" s="14" t="s">
        <v>68</v>
      </c>
      <c r="I629" s="14" t="s">
        <v>68</v>
      </c>
      <c r="J629" s="14" t="s">
        <v>68</v>
      </c>
      <c r="K629" s="14" t="s">
        <v>68</v>
      </c>
      <c r="L629" s="14" t="s">
        <v>68</v>
      </c>
      <c r="M629" s="14"/>
      <c r="N629" s="14"/>
      <c r="O629" s="15"/>
      <c r="P629" s="15"/>
      <c r="Q629" s="15"/>
      <c r="R629" s="15"/>
      <c r="S629" s="15"/>
      <c r="T629" s="15"/>
      <c r="U629" s="15"/>
      <c r="V629" s="15"/>
      <c r="W629" s="15"/>
    </row>
    <row r="630" spans="1:23" x14ac:dyDescent="0.25">
      <c r="A630" s="14" t="s">
        <v>919</v>
      </c>
      <c r="B630" s="14" t="s">
        <v>68</v>
      </c>
      <c r="C630" s="14"/>
      <c r="D630" s="14" t="s">
        <v>68</v>
      </c>
      <c r="E630" s="14" t="s">
        <v>68</v>
      </c>
      <c r="F630" s="14" t="s">
        <v>88</v>
      </c>
      <c r="G630" s="14" t="s">
        <v>68</v>
      </c>
      <c r="H630" s="14" t="s">
        <v>68</v>
      </c>
      <c r="I630" s="14" t="s">
        <v>68</v>
      </c>
      <c r="J630" s="14" t="s">
        <v>102</v>
      </c>
      <c r="K630" s="14" t="s">
        <v>68</v>
      </c>
      <c r="L630" s="14" t="s">
        <v>68</v>
      </c>
      <c r="M630" s="14"/>
      <c r="N630" s="14"/>
      <c r="O630" s="15"/>
      <c r="P630" s="15"/>
      <c r="Q630" s="15"/>
      <c r="R630" s="15"/>
      <c r="S630" s="15"/>
      <c r="T630" s="15"/>
      <c r="U630" s="15"/>
      <c r="V630" s="15"/>
      <c r="W630" s="15"/>
    </row>
    <row r="631" spans="1:23" ht="45" x14ac:dyDescent="0.25">
      <c r="A631" s="14" t="s">
        <v>920</v>
      </c>
      <c r="B631" s="14" t="s">
        <v>68</v>
      </c>
      <c r="C631" s="14"/>
      <c r="D631" s="14" t="s">
        <v>246</v>
      </c>
      <c r="E631" s="14" t="s">
        <v>247</v>
      </c>
      <c r="F631" s="14" t="s">
        <v>68</v>
      </c>
      <c r="G631" s="14" t="s">
        <v>102</v>
      </c>
      <c r="H631" s="14" t="s">
        <v>68</v>
      </c>
      <c r="I631" s="14" t="s">
        <v>68</v>
      </c>
      <c r="J631" s="14" t="s">
        <v>102</v>
      </c>
      <c r="K631" s="14" t="s">
        <v>68</v>
      </c>
      <c r="L631" s="14" t="s">
        <v>68</v>
      </c>
      <c r="M631" s="14"/>
      <c r="N631" s="14"/>
      <c r="O631" s="15"/>
      <c r="P631" s="15"/>
      <c r="Q631" s="15"/>
      <c r="R631" s="15"/>
      <c r="S631" s="15"/>
      <c r="T631" s="15"/>
      <c r="U631" s="15"/>
      <c r="V631" s="15"/>
      <c r="W631" s="15"/>
    </row>
    <row r="632" spans="1:23" ht="60" x14ac:dyDescent="0.25">
      <c r="A632" s="14" t="s">
        <v>921</v>
      </c>
      <c r="B632" s="14" t="s">
        <v>68</v>
      </c>
      <c r="C632" s="14"/>
      <c r="D632" s="14" t="s">
        <v>208</v>
      </c>
      <c r="E632" s="14" t="s">
        <v>209</v>
      </c>
      <c r="F632" s="14" t="s">
        <v>68</v>
      </c>
      <c r="G632" s="14" t="s">
        <v>132</v>
      </c>
      <c r="H632" s="14" t="s">
        <v>68</v>
      </c>
      <c r="I632" s="14" t="s">
        <v>68</v>
      </c>
      <c r="J632" s="14" t="s">
        <v>225</v>
      </c>
      <c r="K632" s="14" t="s">
        <v>68</v>
      </c>
      <c r="L632" s="14" t="s">
        <v>68</v>
      </c>
      <c r="M632" s="14"/>
      <c r="N632" s="14"/>
      <c r="O632" s="15"/>
      <c r="P632" s="15"/>
      <c r="Q632" s="15"/>
      <c r="R632" s="15"/>
      <c r="S632" s="15"/>
      <c r="T632" s="15"/>
      <c r="U632" s="15"/>
      <c r="V632" s="15"/>
      <c r="W632" s="15"/>
    </row>
    <row r="633" spans="1:23" ht="60" x14ac:dyDescent="0.25">
      <c r="A633" s="14" t="s">
        <v>922</v>
      </c>
      <c r="B633" s="14" t="s">
        <v>68</v>
      </c>
      <c r="C633" s="14"/>
      <c r="D633" s="14" t="s">
        <v>208</v>
      </c>
      <c r="E633" s="14" t="s">
        <v>209</v>
      </c>
      <c r="F633" s="14" t="s">
        <v>68</v>
      </c>
      <c r="G633" s="14" t="s">
        <v>148</v>
      </c>
      <c r="H633" s="14" t="s">
        <v>68</v>
      </c>
      <c r="I633" s="14" t="s">
        <v>68</v>
      </c>
      <c r="J633" s="14" t="s">
        <v>102</v>
      </c>
      <c r="K633" s="14" t="s">
        <v>68</v>
      </c>
      <c r="L633" s="14" t="s">
        <v>68</v>
      </c>
      <c r="M633" s="14"/>
      <c r="N633" s="14"/>
      <c r="O633" s="15"/>
      <c r="P633" s="15"/>
      <c r="Q633" s="15"/>
      <c r="R633" s="15"/>
      <c r="S633" s="15"/>
      <c r="T633" s="15"/>
      <c r="U633" s="15"/>
      <c r="V633" s="15"/>
      <c r="W633" s="15"/>
    </row>
    <row r="634" spans="1:23" ht="45" x14ac:dyDescent="0.25">
      <c r="A634" s="14" t="s">
        <v>923</v>
      </c>
      <c r="B634" s="14" t="s">
        <v>68</v>
      </c>
      <c r="C634" s="14"/>
      <c r="D634" s="14" t="s">
        <v>232</v>
      </c>
      <c r="E634" s="14" t="s">
        <v>209</v>
      </c>
      <c r="F634" s="14" t="s">
        <v>68</v>
      </c>
      <c r="G634" s="14" t="s">
        <v>68</v>
      </c>
      <c r="H634" s="14" t="s">
        <v>68</v>
      </c>
      <c r="I634" s="14" t="s">
        <v>68</v>
      </c>
      <c r="J634" s="14" t="s">
        <v>68</v>
      </c>
      <c r="K634" s="14" t="s">
        <v>68</v>
      </c>
      <c r="L634" s="14" t="s">
        <v>68</v>
      </c>
      <c r="M634" s="14"/>
      <c r="N634" s="14"/>
      <c r="O634" s="15"/>
      <c r="P634" s="15"/>
      <c r="Q634" s="15"/>
      <c r="R634" s="15"/>
      <c r="S634" s="15"/>
      <c r="T634" s="15"/>
      <c r="U634" s="15"/>
      <c r="V634" s="15"/>
      <c r="W634" s="15"/>
    </row>
    <row r="635" spans="1:23" ht="45" x14ac:dyDescent="0.25">
      <c r="A635" s="14" t="s">
        <v>924</v>
      </c>
      <c r="B635" s="14" t="s">
        <v>68</v>
      </c>
      <c r="C635" s="14"/>
      <c r="D635" s="14" t="s">
        <v>246</v>
      </c>
      <c r="E635" s="14" t="s">
        <v>247</v>
      </c>
      <c r="F635" s="14" t="s">
        <v>68</v>
      </c>
      <c r="G635" s="14" t="s">
        <v>102</v>
      </c>
      <c r="H635" s="14" t="s">
        <v>68</v>
      </c>
      <c r="I635" s="14" t="s">
        <v>68</v>
      </c>
      <c r="J635" s="14" t="s">
        <v>102</v>
      </c>
      <c r="K635" s="14" t="s">
        <v>68</v>
      </c>
      <c r="L635" s="14" t="s">
        <v>68</v>
      </c>
      <c r="M635" s="14"/>
      <c r="N635" s="14"/>
      <c r="O635" s="15"/>
      <c r="P635" s="15"/>
      <c r="Q635" s="15"/>
      <c r="R635" s="15"/>
      <c r="S635" s="15"/>
      <c r="T635" s="15"/>
      <c r="U635" s="15"/>
      <c r="V635" s="15"/>
      <c r="W635" s="15"/>
    </row>
    <row r="636" spans="1:23" ht="45" x14ac:dyDescent="0.25">
      <c r="A636" s="14" t="s">
        <v>925</v>
      </c>
      <c r="B636" s="14" t="s">
        <v>68</v>
      </c>
      <c r="C636" s="14"/>
      <c r="D636" s="14" t="s">
        <v>288</v>
      </c>
      <c r="E636" s="14" t="s">
        <v>291</v>
      </c>
      <c r="F636" s="14" t="s">
        <v>68</v>
      </c>
      <c r="G636" s="14" t="s">
        <v>68</v>
      </c>
      <c r="H636" s="14" t="s">
        <v>68</v>
      </c>
      <c r="I636" s="14" t="s">
        <v>68</v>
      </c>
      <c r="J636" s="14" t="s">
        <v>68</v>
      </c>
      <c r="K636" s="14" t="s">
        <v>68</v>
      </c>
      <c r="L636" s="14" t="s">
        <v>68</v>
      </c>
      <c r="M636" s="14"/>
      <c r="N636" s="14"/>
      <c r="O636" s="15"/>
      <c r="P636" s="15"/>
      <c r="Q636" s="15"/>
      <c r="R636" s="15"/>
      <c r="S636" s="15"/>
      <c r="T636" s="15"/>
      <c r="U636" s="15"/>
      <c r="V636" s="15"/>
      <c r="W636" s="15"/>
    </row>
    <row r="637" spans="1:23" ht="45" x14ac:dyDescent="0.25">
      <c r="A637" s="14" t="s">
        <v>926</v>
      </c>
      <c r="B637" s="14" t="s">
        <v>68</v>
      </c>
      <c r="C637" s="14"/>
      <c r="D637" s="14" t="s">
        <v>199</v>
      </c>
      <c r="E637" s="14" t="s">
        <v>68</v>
      </c>
      <c r="F637" s="14" t="s">
        <v>68</v>
      </c>
      <c r="G637" s="14" t="s">
        <v>78</v>
      </c>
      <c r="H637" s="14" t="s">
        <v>68</v>
      </c>
      <c r="I637" s="14" t="s">
        <v>68</v>
      </c>
      <c r="J637" s="14" t="s">
        <v>201</v>
      </c>
      <c r="K637" s="14" t="s">
        <v>68</v>
      </c>
      <c r="L637" s="14" t="s">
        <v>68</v>
      </c>
      <c r="M637" s="14"/>
      <c r="N637" s="14"/>
      <c r="O637" s="15"/>
      <c r="P637" s="15"/>
      <c r="Q637" s="15"/>
      <c r="R637" s="15"/>
      <c r="S637" s="15"/>
      <c r="T637" s="15"/>
      <c r="U637" s="15"/>
      <c r="V637" s="15"/>
      <c r="W637" s="15"/>
    </row>
    <row r="638" spans="1:23" ht="45" x14ac:dyDescent="0.25">
      <c r="A638" s="14" t="s">
        <v>927</v>
      </c>
      <c r="B638" s="14" t="s">
        <v>68</v>
      </c>
      <c r="C638" s="14"/>
      <c r="D638" s="14" t="s">
        <v>256</v>
      </c>
      <c r="E638" s="14" t="s">
        <v>223</v>
      </c>
      <c r="F638" s="14" t="s">
        <v>68</v>
      </c>
      <c r="G638" s="14" t="s">
        <v>74</v>
      </c>
      <c r="H638" s="14" t="s">
        <v>68</v>
      </c>
      <c r="I638" s="14" t="s">
        <v>68</v>
      </c>
      <c r="J638" s="14" t="s">
        <v>74</v>
      </c>
      <c r="K638" s="14" t="s">
        <v>68</v>
      </c>
      <c r="L638" s="14" t="s">
        <v>68</v>
      </c>
      <c r="M638" s="14"/>
      <c r="N638" s="14"/>
      <c r="O638" s="15"/>
      <c r="P638" s="15"/>
      <c r="Q638" s="15"/>
      <c r="R638" s="15"/>
      <c r="S638" s="15"/>
      <c r="T638" s="15"/>
      <c r="U638" s="15"/>
      <c r="V638" s="15"/>
      <c r="W638" s="15"/>
    </row>
    <row r="639" spans="1:23" ht="45" x14ac:dyDescent="0.25">
      <c r="A639" s="14" t="s">
        <v>928</v>
      </c>
      <c r="B639" s="14" t="s">
        <v>68</v>
      </c>
      <c r="C639" s="14"/>
      <c r="D639" s="14" t="s">
        <v>284</v>
      </c>
      <c r="E639" s="14" t="s">
        <v>285</v>
      </c>
      <c r="F639" s="14" t="s">
        <v>68</v>
      </c>
      <c r="G639" s="14" t="s">
        <v>74</v>
      </c>
      <c r="H639" s="14" t="s">
        <v>68</v>
      </c>
      <c r="I639" s="14" t="s">
        <v>68</v>
      </c>
      <c r="J639" s="14" t="s">
        <v>74</v>
      </c>
      <c r="K639" s="14" t="s">
        <v>68</v>
      </c>
      <c r="L639" s="14" t="s">
        <v>68</v>
      </c>
      <c r="M639" s="14"/>
      <c r="N639" s="14"/>
      <c r="O639" s="15"/>
      <c r="P639" s="15"/>
      <c r="Q639" s="15"/>
      <c r="R639" s="15"/>
      <c r="S639" s="15"/>
      <c r="T639" s="15"/>
      <c r="U639" s="15"/>
      <c r="V639" s="15"/>
      <c r="W639" s="15"/>
    </row>
    <row r="640" spans="1:23" ht="45" x14ac:dyDescent="0.25">
      <c r="A640" s="14" t="s">
        <v>929</v>
      </c>
      <c r="B640" s="14" t="s">
        <v>68</v>
      </c>
      <c r="C640" s="14"/>
      <c r="D640" s="14" t="s">
        <v>279</v>
      </c>
      <c r="E640" s="14" t="s">
        <v>280</v>
      </c>
      <c r="F640" s="14" t="s">
        <v>117</v>
      </c>
      <c r="G640" s="14" t="s">
        <v>68</v>
      </c>
      <c r="H640" s="14" t="s">
        <v>68</v>
      </c>
      <c r="I640" s="14" t="s">
        <v>68</v>
      </c>
      <c r="J640" s="14" t="s">
        <v>225</v>
      </c>
      <c r="K640" s="14" t="s">
        <v>68</v>
      </c>
      <c r="L640" s="14" t="s">
        <v>68</v>
      </c>
      <c r="M640" s="14"/>
      <c r="N640" s="14"/>
      <c r="O640" s="15"/>
      <c r="P640" s="15"/>
      <c r="Q640" s="15"/>
      <c r="R640" s="15"/>
      <c r="S640" s="15"/>
      <c r="T640" s="15"/>
      <c r="U640" s="15"/>
      <c r="V640" s="15"/>
      <c r="W640" s="15"/>
    </row>
    <row r="641" spans="1:23" ht="45" x14ac:dyDescent="0.25">
      <c r="A641" s="14" t="s">
        <v>930</v>
      </c>
      <c r="B641" s="14" t="s">
        <v>68</v>
      </c>
      <c r="C641" s="14"/>
      <c r="D641" s="14" t="s">
        <v>288</v>
      </c>
      <c r="E641" s="14" t="s">
        <v>289</v>
      </c>
      <c r="F641" s="14" t="s">
        <v>68</v>
      </c>
      <c r="G641" s="14" t="s">
        <v>87</v>
      </c>
      <c r="H641" s="14" t="s">
        <v>68</v>
      </c>
      <c r="I641" s="14" t="s">
        <v>68</v>
      </c>
      <c r="J641" s="14" t="s">
        <v>225</v>
      </c>
      <c r="K641" s="14" t="s">
        <v>68</v>
      </c>
      <c r="L641" s="14" t="s">
        <v>68</v>
      </c>
      <c r="M641" s="14"/>
      <c r="N641" s="14"/>
      <c r="O641" s="15"/>
      <c r="P641" s="15"/>
      <c r="Q641" s="15"/>
      <c r="R641" s="15"/>
      <c r="S641" s="15"/>
      <c r="T641" s="15"/>
      <c r="U641" s="15"/>
      <c r="V641" s="15"/>
      <c r="W641" s="15"/>
    </row>
    <row r="642" spans="1:23" ht="45" x14ac:dyDescent="0.25">
      <c r="A642" s="14" t="s">
        <v>931</v>
      </c>
      <c r="B642" s="14" t="s">
        <v>68</v>
      </c>
      <c r="C642" s="14"/>
      <c r="D642" s="14" t="s">
        <v>288</v>
      </c>
      <c r="E642" s="14" t="s">
        <v>296</v>
      </c>
      <c r="F642" s="14" t="s">
        <v>68</v>
      </c>
      <c r="G642" s="14" t="s">
        <v>68</v>
      </c>
      <c r="H642" s="14" t="s">
        <v>68</v>
      </c>
      <c r="I642" s="14" t="s">
        <v>68</v>
      </c>
      <c r="J642" s="14" t="s">
        <v>68</v>
      </c>
      <c r="K642" s="14" t="s">
        <v>68</v>
      </c>
      <c r="L642" s="14" t="s">
        <v>68</v>
      </c>
      <c r="M642" s="14"/>
      <c r="N642" s="14"/>
      <c r="O642" s="15"/>
      <c r="P642" s="15"/>
      <c r="Q642" s="15"/>
      <c r="R642" s="15"/>
      <c r="S642" s="15"/>
      <c r="T642" s="15"/>
      <c r="U642" s="15"/>
      <c r="V642" s="15"/>
      <c r="W642" s="15"/>
    </row>
    <row r="643" spans="1:23" ht="45" x14ac:dyDescent="0.25">
      <c r="A643" s="14" t="s">
        <v>932</v>
      </c>
      <c r="B643" s="14" t="s">
        <v>68</v>
      </c>
      <c r="C643" s="14"/>
      <c r="D643" s="14" t="s">
        <v>222</v>
      </c>
      <c r="E643" s="14" t="s">
        <v>223</v>
      </c>
      <c r="F643" s="14" t="s">
        <v>68</v>
      </c>
      <c r="G643" s="14" t="s">
        <v>87</v>
      </c>
      <c r="H643" s="14" t="s">
        <v>68</v>
      </c>
      <c r="I643" s="14" t="s">
        <v>68</v>
      </c>
      <c r="J643" s="14" t="s">
        <v>225</v>
      </c>
      <c r="K643" s="14" t="s">
        <v>68</v>
      </c>
      <c r="L643" s="14" t="s">
        <v>68</v>
      </c>
      <c r="M643" s="14"/>
      <c r="N643" s="14"/>
      <c r="O643" s="15"/>
      <c r="P643" s="15"/>
      <c r="Q643" s="15"/>
      <c r="R643" s="15"/>
      <c r="S643" s="15"/>
      <c r="T643" s="15"/>
      <c r="U643" s="15"/>
      <c r="V643" s="15"/>
      <c r="W643" s="15"/>
    </row>
    <row r="644" spans="1:23" ht="60" x14ac:dyDescent="0.25">
      <c r="A644" s="14" t="s">
        <v>933</v>
      </c>
      <c r="B644" s="14" t="s">
        <v>68</v>
      </c>
      <c r="C644" s="14"/>
      <c r="D644" s="14" t="s">
        <v>314</v>
      </c>
      <c r="E644" s="14" t="s">
        <v>68</v>
      </c>
      <c r="F644" s="14" t="s">
        <v>68</v>
      </c>
      <c r="G644" s="14" t="s">
        <v>105</v>
      </c>
      <c r="H644" s="14" t="s">
        <v>68</v>
      </c>
      <c r="I644" s="14" t="s">
        <v>68</v>
      </c>
      <c r="J644" s="14" t="s">
        <v>102</v>
      </c>
      <c r="K644" s="14" t="s">
        <v>68</v>
      </c>
      <c r="L644" s="14" t="s">
        <v>68</v>
      </c>
      <c r="M644" s="14"/>
      <c r="N644" s="14"/>
      <c r="O644" s="15"/>
      <c r="P644" s="15"/>
      <c r="Q644" s="15"/>
      <c r="R644" s="15"/>
      <c r="S644" s="15"/>
      <c r="T644" s="15"/>
      <c r="U644" s="15"/>
      <c r="V644" s="15"/>
      <c r="W644" s="15"/>
    </row>
    <row r="645" spans="1:23" x14ac:dyDescent="0.25">
      <c r="A645" s="14" t="s">
        <v>934</v>
      </c>
      <c r="B645" s="14" t="s">
        <v>68</v>
      </c>
      <c r="C645" s="14"/>
      <c r="D645" s="14" t="s">
        <v>68</v>
      </c>
      <c r="E645" s="14" t="s">
        <v>68</v>
      </c>
      <c r="F645" s="14" t="s">
        <v>68</v>
      </c>
      <c r="G645" s="14" t="s">
        <v>105</v>
      </c>
      <c r="H645" s="14" t="s">
        <v>68</v>
      </c>
      <c r="I645" s="14" t="s">
        <v>68</v>
      </c>
      <c r="J645" s="14" t="s">
        <v>102</v>
      </c>
      <c r="K645" s="14" t="s">
        <v>68</v>
      </c>
      <c r="L645" s="14" t="s">
        <v>68</v>
      </c>
      <c r="M645" s="14"/>
      <c r="N645" s="14"/>
      <c r="O645" s="15"/>
      <c r="P645" s="15"/>
      <c r="Q645" s="15"/>
      <c r="R645" s="15"/>
      <c r="S645" s="15"/>
      <c r="T645" s="15"/>
      <c r="U645" s="15"/>
      <c r="V645" s="15"/>
      <c r="W645" s="15"/>
    </row>
    <row r="646" spans="1:23" ht="45" x14ac:dyDescent="0.25">
      <c r="A646" s="14" t="s">
        <v>935</v>
      </c>
      <c r="B646" s="14" t="s">
        <v>68</v>
      </c>
      <c r="C646" s="14"/>
      <c r="D646" s="14" t="s">
        <v>246</v>
      </c>
      <c r="E646" s="14" t="s">
        <v>247</v>
      </c>
      <c r="F646" s="14" t="s">
        <v>68</v>
      </c>
      <c r="G646" s="14" t="s">
        <v>936</v>
      </c>
      <c r="H646" s="14" t="s">
        <v>68</v>
      </c>
      <c r="I646" s="14" t="s">
        <v>68</v>
      </c>
      <c r="J646" s="14" t="s">
        <v>102</v>
      </c>
      <c r="K646" s="14" t="s">
        <v>68</v>
      </c>
      <c r="L646" s="14" t="s">
        <v>68</v>
      </c>
      <c r="M646" s="14"/>
      <c r="N646" s="14"/>
      <c r="O646" s="15"/>
      <c r="P646" s="15"/>
      <c r="Q646" s="15"/>
      <c r="R646" s="15"/>
      <c r="S646" s="15"/>
      <c r="T646" s="15"/>
      <c r="U646" s="15"/>
      <c r="V646" s="15"/>
      <c r="W646" s="15"/>
    </row>
    <row r="647" spans="1:23" ht="45" x14ac:dyDescent="0.25">
      <c r="A647" s="14" t="s">
        <v>937</v>
      </c>
      <c r="B647" s="14" t="s">
        <v>68</v>
      </c>
      <c r="C647" s="14"/>
      <c r="D647" s="14" t="s">
        <v>204</v>
      </c>
      <c r="E647" s="14" t="s">
        <v>205</v>
      </c>
      <c r="F647" s="14" t="s">
        <v>68</v>
      </c>
      <c r="G647" s="14" t="s">
        <v>68</v>
      </c>
      <c r="H647" s="14" t="s">
        <v>68</v>
      </c>
      <c r="I647" s="14" t="s">
        <v>68</v>
      </c>
      <c r="J647" s="14" t="s">
        <v>68</v>
      </c>
      <c r="K647" s="14" t="s">
        <v>68</v>
      </c>
      <c r="L647" s="14" t="s">
        <v>68</v>
      </c>
      <c r="M647" s="14"/>
      <c r="N647" s="14"/>
      <c r="O647" s="15"/>
      <c r="P647" s="15"/>
      <c r="Q647" s="15"/>
      <c r="R647" s="15"/>
      <c r="S647" s="15"/>
      <c r="T647" s="15"/>
      <c r="U647" s="15"/>
      <c r="V647" s="15"/>
      <c r="W647" s="15"/>
    </row>
    <row r="648" spans="1:23" ht="45" x14ac:dyDescent="0.25">
      <c r="A648" s="14" t="s">
        <v>938</v>
      </c>
      <c r="B648" s="14" t="s">
        <v>68</v>
      </c>
      <c r="C648" s="14"/>
      <c r="D648" s="14" t="s">
        <v>238</v>
      </c>
      <c r="E648" s="14" t="s">
        <v>239</v>
      </c>
      <c r="F648" s="14" t="s">
        <v>68</v>
      </c>
      <c r="G648" s="14" t="s">
        <v>68</v>
      </c>
      <c r="H648" s="14" t="s">
        <v>68</v>
      </c>
      <c r="I648" s="14" t="s">
        <v>68</v>
      </c>
      <c r="J648" s="14" t="s">
        <v>68</v>
      </c>
      <c r="K648" s="14" t="s">
        <v>68</v>
      </c>
      <c r="L648" s="14" t="s">
        <v>68</v>
      </c>
      <c r="M648" s="14"/>
      <c r="N648" s="14"/>
      <c r="O648" s="15"/>
      <c r="P648" s="15"/>
      <c r="Q648" s="15"/>
      <c r="R648" s="15"/>
      <c r="S648" s="15"/>
      <c r="T648" s="15"/>
      <c r="U648" s="15"/>
      <c r="V648" s="15"/>
      <c r="W648" s="15"/>
    </row>
    <row r="649" spans="1:23" ht="45" x14ac:dyDescent="0.25">
      <c r="A649" s="14" t="s">
        <v>939</v>
      </c>
      <c r="B649" s="14" t="s">
        <v>68</v>
      </c>
      <c r="C649" s="14"/>
      <c r="D649" s="14" t="s">
        <v>246</v>
      </c>
      <c r="E649" s="14" t="s">
        <v>247</v>
      </c>
      <c r="F649" s="14" t="s">
        <v>68</v>
      </c>
      <c r="G649" s="14" t="s">
        <v>102</v>
      </c>
      <c r="H649" s="14" t="s">
        <v>68</v>
      </c>
      <c r="I649" s="14" t="s">
        <v>68</v>
      </c>
      <c r="J649" s="14" t="s">
        <v>102</v>
      </c>
      <c r="K649" s="14" t="s">
        <v>68</v>
      </c>
      <c r="L649" s="14" t="s">
        <v>68</v>
      </c>
      <c r="M649" s="14"/>
      <c r="N649" s="14"/>
      <c r="O649" s="15"/>
      <c r="P649" s="15"/>
      <c r="Q649" s="15"/>
      <c r="R649" s="15"/>
      <c r="S649" s="15"/>
      <c r="T649" s="15"/>
      <c r="U649" s="15"/>
      <c r="V649" s="15"/>
      <c r="W649" s="15"/>
    </row>
    <row r="650" spans="1:23" ht="45" x14ac:dyDescent="0.25">
      <c r="A650" s="14" t="s">
        <v>940</v>
      </c>
      <c r="B650" s="14" t="s">
        <v>68</v>
      </c>
      <c r="C650" s="14"/>
      <c r="D650" s="14" t="s">
        <v>284</v>
      </c>
      <c r="E650" s="14" t="s">
        <v>285</v>
      </c>
      <c r="F650" s="14" t="s">
        <v>68</v>
      </c>
      <c r="G650" s="14" t="s">
        <v>68</v>
      </c>
      <c r="H650" s="14" t="s">
        <v>68</v>
      </c>
      <c r="I650" s="14" t="s">
        <v>68</v>
      </c>
      <c r="J650" s="14" t="s">
        <v>68</v>
      </c>
      <c r="K650" s="14" t="s">
        <v>68</v>
      </c>
      <c r="L650" s="14" t="s">
        <v>68</v>
      </c>
      <c r="M650" s="14"/>
      <c r="N650" s="14"/>
      <c r="O650" s="15"/>
      <c r="P650" s="15"/>
      <c r="Q650" s="15"/>
      <c r="R650" s="15"/>
      <c r="S650" s="15"/>
      <c r="T650" s="15"/>
      <c r="U650" s="15"/>
      <c r="V650" s="15"/>
      <c r="W650" s="15"/>
    </row>
    <row r="651" spans="1:23" ht="45" x14ac:dyDescent="0.25">
      <c r="A651" s="14" t="s">
        <v>941</v>
      </c>
      <c r="B651" s="14" t="s">
        <v>68</v>
      </c>
      <c r="C651" s="14"/>
      <c r="D651" s="14" t="s">
        <v>238</v>
      </c>
      <c r="E651" s="14" t="s">
        <v>239</v>
      </c>
      <c r="F651" s="14" t="s">
        <v>68</v>
      </c>
      <c r="G651" s="14" t="s">
        <v>68</v>
      </c>
      <c r="H651" s="14" t="s">
        <v>68</v>
      </c>
      <c r="I651" s="14" t="s">
        <v>68</v>
      </c>
      <c r="J651" s="14" t="s">
        <v>68</v>
      </c>
      <c r="K651" s="14" t="s">
        <v>68</v>
      </c>
      <c r="L651" s="14" t="s">
        <v>68</v>
      </c>
      <c r="M651" s="14"/>
      <c r="N651" s="14"/>
      <c r="O651" s="15"/>
      <c r="P651" s="15"/>
      <c r="Q651" s="15"/>
      <c r="R651" s="15"/>
      <c r="S651" s="15"/>
      <c r="T651" s="15"/>
      <c r="U651" s="15"/>
      <c r="V651" s="15"/>
      <c r="W651" s="15"/>
    </row>
    <row r="652" spans="1:23" ht="45" x14ac:dyDescent="0.25">
      <c r="A652" s="14" t="s">
        <v>942</v>
      </c>
      <c r="B652" s="14" t="s">
        <v>68</v>
      </c>
      <c r="C652" s="14"/>
      <c r="D652" s="14" t="s">
        <v>246</v>
      </c>
      <c r="E652" s="14" t="s">
        <v>247</v>
      </c>
      <c r="F652" s="14" t="s">
        <v>68</v>
      </c>
      <c r="G652" s="14" t="s">
        <v>102</v>
      </c>
      <c r="H652" s="14" t="s">
        <v>68</v>
      </c>
      <c r="I652" s="14" t="s">
        <v>68</v>
      </c>
      <c r="J652" s="14" t="s">
        <v>102</v>
      </c>
      <c r="K652" s="14" t="s">
        <v>68</v>
      </c>
      <c r="L652" s="14" t="s">
        <v>68</v>
      </c>
      <c r="M652" s="14"/>
      <c r="N652" s="14"/>
      <c r="O652" s="15"/>
      <c r="P652" s="15"/>
      <c r="Q652" s="15"/>
      <c r="R652" s="15"/>
      <c r="S652" s="15"/>
      <c r="T652" s="15"/>
      <c r="U652" s="15"/>
      <c r="V652" s="15"/>
      <c r="W652" s="15"/>
    </row>
    <row r="653" spans="1:23" x14ac:dyDescent="0.25">
      <c r="A653" s="14" t="s">
        <v>943</v>
      </c>
      <c r="B653" s="14" t="s">
        <v>68</v>
      </c>
      <c r="C653" s="14"/>
      <c r="D653" s="14" t="s">
        <v>68</v>
      </c>
      <c r="E653" s="14" t="s">
        <v>68</v>
      </c>
      <c r="F653" s="14" t="s">
        <v>88</v>
      </c>
      <c r="G653" s="14" t="s">
        <v>68</v>
      </c>
      <c r="H653" s="14" t="s">
        <v>68</v>
      </c>
      <c r="I653" s="14" t="s">
        <v>68</v>
      </c>
      <c r="J653" s="14" t="s">
        <v>102</v>
      </c>
      <c r="K653" s="14" t="s">
        <v>68</v>
      </c>
      <c r="L653" s="14" t="s">
        <v>68</v>
      </c>
      <c r="M653" s="14"/>
      <c r="N653" s="14"/>
      <c r="O653" s="15"/>
      <c r="P653" s="15"/>
      <c r="Q653" s="15"/>
      <c r="R653" s="15"/>
      <c r="S653" s="15"/>
      <c r="T653" s="15"/>
      <c r="U653" s="15"/>
      <c r="V653" s="15"/>
      <c r="W653" s="15"/>
    </row>
    <row r="654" spans="1:23" ht="45" x14ac:dyDescent="0.25">
      <c r="A654" s="14" t="s">
        <v>944</v>
      </c>
      <c r="B654" s="14" t="s">
        <v>68</v>
      </c>
      <c r="C654" s="14"/>
      <c r="D654" s="14" t="s">
        <v>328</v>
      </c>
      <c r="E654" s="14" t="s">
        <v>296</v>
      </c>
      <c r="F654" s="14" t="s">
        <v>68</v>
      </c>
      <c r="G654" s="14" t="s">
        <v>68</v>
      </c>
      <c r="H654" s="14" t="s">
        <v>68</v>
      </c>
      <c r="I654" s="14" t="s">
        <v>68</v>
      </c>
      <c r="J654" s="14" t="s">
        <v>68</v>
      </c>
      <c r="K654" s="14" t="s">
        <v>68</v>
      </c>
      <c r="L654" s="14" t="s">
        <v>68</v>
      </c>
      <c r="M654" s="14"/>
      <c r="N654" s="14"/>
      <c r="O654" s="15"/>
      <c r="P654" s="15"/>
      <c r="Q654" s="15"/>
      <c r="R654" s="15"/>
      <c r="S654" s="15"/>
      <c r="T654" s="15"/>
      <c r="U654" s="15"/>
      <c r="V654" s="15"/>
      <c r="W654" s="15"/>
    </row>
    <row r="655" spans="1:23" x14ac:dyDescent="0.25">
      <c r="A655" s="14" t="s">
        <v>945</v>
      </c>
      <c r="B655" s="14" t="s">
        <v>68</v>
      </c>
      <c r="C655" s="14"/>
      <c r="D655" s="14" t="s">
        <v>68</v>
      </c>
      <c r="E655" s="14" t="s">
        <v>68</v>
      </c>
      <c r="F655" s="14" t="s">
        <v>88</v>
      </c>
      <c r="G655" s="14" t="s">
        <v>68</v>
      </c>
      <c r="H655" s="14" t="s">
        <v>68</v>
      </c>
      <c r="I655" s="14" t="s">
        <v>68</v>
      </c>
      <c r="J655" s="14" t="s">
        <v>102</v>
      </c>
      <c r="K655" s="14" t="s">
        <v>68</v>
      </c>
      <c r="L655" s="14" t="s">
        <v>68</v>
      </c>
      <c r="M655" s="14"/>
      <c r="N655" s="14"/>
      <c r="O655" s="15"/>
      <c r="P655" s="15"/>
      <c r="Q655" s="15"/>
      <c r="R655" s="15"/>
      <c r="S655" s="15"/>
      <c r="T655" s="15"/>
      <c r="U655" s="15"/>
      <c r="V655" s="15"/>
      <c r="W655" s="15"/>
    </row>
    <row r="656" spans="1:23" ht="45" x14ac:dyDescent="0.25">
      <c r="A656" s="14" t="s">
        <v>946</v>
      </c>
      <c r="B656" s="14" t="s">
        <v>68</v>
      </c>
      <c r="C656" s="14"/>
      <c r="D656" s="14" t="s">
        <v>284</v>
      </c>
      <c r="E656" s="14" t="s">
        <v>285</v>
      </c>
      <c r="F656" s="14" t="s">
        <v>68</v>
      </c>
      <c r="G656" s="14" t="s">
        <v>68</v>
      </c>
      <c r="H656" s="14" t="s">
        <v>68</v>
      </c>
      <c r="I656" s="14" t="s">
        <v>68</v>
      </c>
      <c r="J656" s="14" t="s">
        <v>68</v>
      </c>
      <c r="K656" s="14" t="s">
        <v>68</v>
      </c>
      <c r="L656" s="14" t="s">
        <v>68</v>
      </c>
      <c r="M656" s="14"/>
      <c r="N656" s="14"/>
      <c r="O656" s="15"/>
      <c r="P656" s="15"/>
      <c r="Q656" s="15"/>
      <c r="R656" s="15"/>
      <c r="S656" s="15"/>
      <c r="T656" s="15"/>
      <c r="U656" s="15"/>
      <c r="V656" s="15"/>
      <c r="W656" s="15"/>
    </row>
    <row r="657" spans="1:23" ht="45" x14ac:dyDescent="0.25">
      <c r="A657" s="14" t="s">
        <v>947</v>
      </c>
      <c r="B657" s="14" t="s">
        <v>68</v>
      </c>
      <c r="C657" s="14"/>
      <c r="D657" s="14" t="s">
        <v>204</v>
      </c>
      <c r="E657" s="14" t="s">
        <v>205</v>
      </c>
      <c r="F657" s="14" t="s">
        <v>68</v>
      </c>
      <c r="G657" s="14" t="s">
        <v>68</v>
      </c>
      <c r="H657" s="14" t="s">
        <v>68</v>
      </c>
      <c r="I657" s="14" t="s">
        <v>68</v>
      </c>
      <c r="J657" s="14" t="s">
        <v>68</v>
      </c>
      <c r="K657" s="14" t="s">
        <v>68</v>
      </c>
      <c r="L657" s="14" t="s">
        <v>68</v>
      </c>
      <c r="M657" s="14"/>
      <c r="N657" s="14"/>
      <c r="O657" s="15"/>
      <c r="P657" s="15"/>
      <c r="Q657" s="15"/>
      <c r="R657" s="15"/>
      <c r="S657" s="15"/>
      <c r="T657" s="15"/>
      <c r="U657" s="15"/>
      <c r="V657" s="15"/>
      <c r="W657" s="15"/>
    </row>
    <row r="658" spans="1:23" ht="60" x14ac:dyDescent="0.25">
      <c r="A658" s="14" t="s">
        <v>948</v>
      </c>
      <c r="B658" s="14" t="s">
        <v>68</v>
      </c>
      <c r="C658" s="14"/>
      <c r="D658" s="14" t="s">
        <v>215</v>
      </c>
      <c r="E658" s="14" t="s">
        <v>216</v>
      </c>
      <c r="F658" s="14" t="s">
        <v>68</v>
      </c>
      <c r="G658" s="14" t="s">
        <v>74</v>
      </c>
      <c r="H658" s="14" t="s">
        <v>68</v>
      </c>
      <c r="I658" s="14" t="s">
        <v>68</v>
      </c>
      <c r="J658" s="14" t="s">
        <v>74</v>
      </c>
      <c r="K658" s="14" t="s">
        <v>68</v>
      </c>
      <c r="L658" s="14" t="s">
        <v>68</v>
      </c>
      <c r="M658" s="14"/>
      <c r="N658" s="14"/>
      <c r="O658" s="15"/>
      <c r="P658" s="15"/>
      <c r="Q658" s="15"/>
      <c r="R658" s="15"/>
      <c r="S658" s="15"/>
      <c r="T658" s="15"/>
      <c r="U658" s="15"/>
      <c r="V658" s="15"/>
      <c r="W658" s="15"/>
    </row>
    <row r="659" spans="1:23" ht="45" x14ac:dyDescent="0.25">
      <c r="A659" s="14" t="s">
        <v>949</v>
      </c>
      <c r="B659" s="14" t="s">
        <v>68</v>
      </c>
      <c r="C659" s="14"/>
      <c r="D659" s="14" t="s">
        <v>199</v>
      </c>
      <c r="E659" s="14" t="s">
        <v>68</v>
      </c>
      <c r="F659" s="14" t="s">
        <v>68</v>
      </c>
      <c r="G659" s="14" t="s">
        <v>100</v>
      </c>
      <c r="H659" s="14" t="s">
        <v>68</v>
      </c>
      <c r="I659" s="14" t="s">
        <v>68</v>
      </c>
      <c r="J659" s="14" t="s">
        <v>309</v>
      </c>
      <c r="K659" s="14" t="s">
        <v>68</v>
      </c>
      <c r="L659" s="14" t="s">
        <v>68</v>
      </c>
      <c r="M659" s="14"/>
      <c r="N659" s="14"/>
      <c r="O659" s="15"/>
      <c r="P659" s="15"/>
      <c r="Q659" s="15"/>
      <c r="R659" s="15"/>
      <c r="S659" s="15"/>
      <c r="T659" s="15"/>
      <c r="U659" s="15"/>
      <c r="V659" s="15"/>
      <c r="W659" s="15"/>
    </row>
    <row r="660" spans="1:23" ht="45" x14ac:dyDescent="0.25">
      <c r="A660" s="14" t="s">
        <v>950</v>
      </c>
      <c r="B660" s="14" t="s">
        <v>68</v>
      </c>
      <c r="C660" s="14"/>
      <c r="D660" s="14" t="s">
        <v>328</v>
      </c>
      <c r="E660" s="14" t="s">
        <v>296</v>
      </c>
      <c r="F660" s="14" t="s">
        <v>68</v>
      </c>
      <c r="G660" s="14" t="s">
        <v>68</v>
      </c>
      <c r="H660" s="14" t="s">
        <v>68</v>
      </c>
      <c r="I660" s="14" t="s">
        <v>68</v>
      </c>
      <c r="J660" s="14" t="s">
        <v>68</v>
      </c>
      <c r="K660" s="14" t="s">
        <v>68</v>
      </c>
      <c r="L660" s="14" t="s">
        <v>68</v>
      </c>
      <c r="M660" s="14"/>
      <c r="N660" s="14"/>
      <c r="O660" s="15"/>
      <c r="P660" s="15"/>
      <c r="Q660" s="15"/>
      <c r="R660" s="15"/>
      <c r="S660" s="15"/>
      <c r="T660" s="15"/>
      <c r="U660" s="15"/>
      <c r="V660" s="15"/>
      <c r="W660" s="15"/>
    </row>
    <row r="661" spans="1:23" ht="45" x14ac:dyDescent="0.25">
      <c r="A661" s="14" t="s">
        <v>951</v>
      </c>
      <c r="B661" s="14" t="s">
        <v>68</v>
      </c>
      <c r="C661" s="14"/>
      <c r="D661" s="14" t="s">
        <v>199</v>
      </c>
      <c r="E661" s="14" t="s">
        <v>68</v>
      </c>
      <c r="F661" s="14" t="s">
        <v>68</v>
      </c>
      <c r="G661" s="14" t="s">
        <v>78</v>
      </c>
      <c r="H661" s="14" t="s">
        <v>68</v>
      </c>
      <c r="I661" s="14" t="s">
        <v>68</v>
      </c>
      <c r="J661" s="14" t="s">
        <v>201</v>
      </c>
      <c r="K661" s="14" t="s">
        <v>68</v>
      </c>
      <c r="L661" s="14" t="s">
        <v>68</v>
      </c>
      <c r="M661" s="14"/>
      <c r="N661" s="14"/>
      <c r="O661" s="15"/>
      <c r="P661" s="15"/>
      <c r="Q661" s="15"/>
      <c r="R661" s="15"/>
      <c r="S661" s="15"/>
      <c r="T661" s="15"/>
      <c r="U661" s="15"/>
      <c r="V661" s="15"/>
      <c r="W661" s="15"/>
    </row>
    <row r="662" spans="1:23" ht="45" x14ac:dyDescent="0.25">
      <c r="A662" s="14" t="s">
        <v>952</v>
      </c>
      <c r="B662" s="14" t="s">
        <v>68</v>
      </c>
      <c r="C662" s="14"/>
      <c r="D662" s="14" t="s">
        <v>199</v>
      </c>
      <c r="E662" s="14" t="s">
        <v>68</v>
      </c>
      <c r="F662" s="14" t="s">
        <v>68</v>
      </c>
      <c r="G662" s="14" t="s">
        <v>68</v>
      </c>
      <c r="H662" s="14" t="s">
        <v>68</v>
      </c>
      <c r="I662" s="14" t="s">
        <v>68</v>
      </c>
      <c r="J662" s="14" t="s">
        <v>68</v>
      </c>
      <c r="K662" s="14" t="s">
        <v>68</v>
      </c>
      <c r="L662" s="14" t="s">
        <v>68</v>
      </c>
      <c r="M662" s="14"/>
      <c r="N662" s="14"/>
      <c r="O662" s="15"/>
      <c r="P662" s="15"/>
      <c r="Q662" s="15"/>
      <c r="R662" s="15"/>
      <c r="S662" s="15"/>
      <c r="T662" s="15"/>
      <c r="U662" s="15"/>
      <c r="V662" s="15"/>
      <c r="W662" s="15"/>
    </row>
    <row r="663" spans="1:23" ht="45" x14ac:dyDescent="0.25">
      <c r="A663" s="14" t="s">
        <v>953</v>
      </c>
      <c r="B663" s="14" t="s">
        <v>68</v>
      </c>
      <c r="C663" s="14"/>
      <c r="D663" s="14" t="s">
        <v>284</v>
      </c>
      <c r="E663" s="14" t="s">
        <v>285</v>
      </c>
      <c r="F663" s="14" t="s">
        <v>68</v>
      </c>
      <c r="G663" s="14" t="s">
        <v>68</v>
      </c>
      <c r="H663" s="14" t="s">
        <v>68</v>
      </c>
      <c r="I663" s="14" t="s">
        <v>68</v>
      </c>
      <c r="J663" s="14" t="s">
        <v>68</v>
      </c>
      <c r="K663" s="14" t="s">
        <v>68</v>
      </c>
      <c r="L663" s="14" t="s">
        <v>68</v>
      </c>
      <c r="M663" s="14"/>
      <c r="N663" s="14"/>
      <c r="O663" s="15"/>
      <c r="P663" s="15"/>
      <c r="Q663" s="15"/>
      <c r="R663" s="15"/>
      <c r="S663" s="15"/>
      <c r="T663" s="15"/>
      <c r="U663" s="15"/>
      <c r="V663" s="15"/>
      <c r="W663" s="15"/>
    </row>
    <row r="664" spans="1:23" ht="45" x14ac:dyDescent="0.25">
      <c r="A664" s="14" t="s">
        <v>954</v>
      </c>
      <c r="B664" s="14" t="s">
        <v>68</v>
      </c>
      <c r="C664" s="14"/>
      <c r="D664" s="14" t="s">
        <v>288</v>
      </c>
      <c r="E664" s="14" t="s">
        <v>291</v>
      </c>
      <c r="F664" s="14" t="s">
        <v>68</v>
      </c>
      <c r="G664" s="14" t="s">
        <v>68</v>
      </c>
      <c r="H664" s="14" t="s">
        <v>68</v>
      </c>
      <c r="I664" s="14" t="s">
        <v>68</v>
      </c>
      <c r="J664" s="14" t="s">
        <v>68</v>
      </c>
      <c r="K664" s="14" t="s">
        <v>68</v>
      </c>
      <c r="L664" s="14" t="s">
        <v>68</v>
      </c>
      <c r="M664" s="14"/>
      <c r="N664" s="14"/>
      <c r="O664" s="15"/>
      <c r="P664" s="15"/>
      <c r="Q664" s="15"/>
      <c r="R664" s="15"/>
      <c r="S664" s="15"/>
      <c r="T664" s="15"/>
      <c r="U664" s="15"/>
      <c r="V664" s="15"/>
      <c r="W664" s="15"/>
    </row>
    <row r="665" spans="1:23" ht="45" x14ac:dyDescent="0.25">
      <c r="A665" s="14" t="s">
        <v>955</v>
      </c>
      <c r="B665" s="14" t="s">
        <v>68</v>
      </c>
      <c r="C665" s="14"/>
      <c r="D665" s="14" t="s">
        <v>288</v>
      </c>
      <c r="E665" s="14" t="s">
        <v>291</v>
      </c>
      <c r="F665" s="14" t="s">
        <v>68</v>
      </c>
      <c r="G665" s="14" t="s">
        <v>68</v>
      </c>
      <c r="H665" s="14" t="s">
        <v>68</v>
      </c>
      <c r="I665" s="14" t="s">
        <v>68</v>
      </c>
      <c r="J665" s="14" t="s">
        <v>68</v>
      </c>
      <c r="K665" s="14" t="s">
        <v>68</v>
      </c>
      <c r="L665" s="14" t="s">
        <v>68</v>
      </c>
      <c r="M665" s="14"/>
      <c r="N665" s="14"/>
      <c r="O665" s="15"/>
      <c r="P665" s="15"/>
      <c r="Q665" s="15"/>
      <c r="R665" s="15"/>
      <c r="S665" s="15"/>
      <c r="T665" s="15"/>
      <c r="U665" s="15"/>
      <c r="V665" s="15"/>
      <c r="W665" s="15"/>
    </row>
    <row r="666" spans="1:23" ht="45" x14ac:dyDescent="0.25">
      <c r="A666" s="14" t="s">
        <v>956</v>
      </c>
      <c r="B666" s="14" t="s">
        <v>68</v>
      </c>
      <c r="C666" s="14"/>
      <c r="D666" s="14" t="s">
        <v>263</v>
      </c>
      <c r="E666" s="14" t="s">
        <v>957</v>
      </c>
      <c r="F666" s="14" t="s">
        <v>68</v>
      </c>
      <c r="G666" s="14" t="s">
        <v>68</v>
      </c>
      <c r="H666" s="14" t="s">
        <v>68</v>
      </c>
      <c r="I666" s="14" t="s">
        <v>68</v>
      </c>
      <c r="J666" s="14" t="s">
        <v>68</v>
      </c>
      <c r="K666" s="14" t="s">
        <v>68</v>
      </c>
      <c r="L666" s="14" t="s">
        <v>68</v>
      </c>
      <c r="M666" s="14"/>
      <c r="N666" s="14"/>
      <c r="O666" s="15"/>
      <c r="P666" s="15"/>
      <c r="Q666" s="15"/>
      <c r="R666" s="15"/>
      <c r="S666" s="15"/>
      <c r="T666" s="15"/>
      <c r="U666" s="15"/>
      <c r="V666" s="15"/>
      <c r="W666" s="15"/>
    </row>
    <row r="667" spans="1:23" ht="45" x14ac:dyDescent="0.25">
      <c r="A667" s="14" t="s">
        <v>958</v>
      </c>
      <c r="B667" s="14" t="s">
        <v>68</v>
      </c>
      <c r="C667" s="14"/>
      <c r="D667" s="14" t="s">
        <v>256</v>
      </c>
      <c r="E667" s="14" t="s">
        <v>291</v>
      </c>
      <c r="F667" s="14" t="s">
        <v>68</v>
      </c>
      <c r="G667" s="14" t="s">
        <v>97</v>
      </c>
      <c r="H667" s="14" t="s">
        <v>68</v>
      </c>
      <c r="I667" s="14" t="s">
        <v>68</v>
      </c>
      <c r="J667" s="14" t="s">
        <v>74</v>
      </c>
      <c r="K667" s="14" t="s">
        <v>68</v>
      </c>
      <c r="L667" s="14" t="s">
        <v>68</v>
      </c>
      <c r="M667" s="14"/>
      <c r="N667" s="14"/>
      <c r="O667" s="15"/>
      <c r="P667" s="15"/>
      <c r="Q667" s="15"/>
      <c r="R667" s="15"/>
      <c r="S667" s="15"/>
      <c r="T667" s="15"/>
      <c r="U667" s="15"/>
      <c r="V667" s="15"/>
      <c r="W667" s="15"/>
    </row>
    <row r="668" spans="1:23" ht="60" x14ac:dyDescent="0.25">
      <c r="A668" s="14" t="s">
        <v>959</v>
      </c>
      <c r="B668" s="14" t="s">
        <v>68</v>
      </c>
      <c r="C668" s="14"/>
      <c r="D668" s="14" t="s">
        <v>208</v>
      </c>
      <c r="E668" s="14" t="s">
        <v>209</v>
      </c>
      <c r="F668" s="14" t="s">
        <v>68</v>
      </c>
      <c r="G668" s="14" t="s">
        <v>138</v>
      </c>
      <c r="H668" s="14" t="s">
        <v>68</v>
      </c>
      <c r="I668" s="14" t="s">
        <v>68</v>
      </c>
      <c r="J668" s="14" t="s">
        <v>102</v>
      </c>
      <c r="K668" s="14" t="s">
        <v>68</v>
      </c>
      <c r="L668" s="14" t="s">
        <v>68</v>
      </c>
      <c r="M668" s="14"/>
      <c r="N668" s="14"/>
      <c r="O668" s="15"/>
      <c r="P668" s="15"/>
      <c r="Q668" s="15"/>
      <c r="R668" s="15"/>
      <c r="S668" s="15"/>
      <c r="T668" s="15"/>
      <c r="U668" s="15"/>
      <c r="V668" s="15"/>
      <c r="W668" s="15"/>
    </row>
    <row r="669" spans="1:23" ht="45" x14ac:dyDescent="0.25">
      <c r="A669" s="14" t="s">
        <v>960</v>
      </c>
      <c r="B669" s="14" t="s">
        <v>68</v>
      </c>
      <c r="C669" s="14"/>
      <c r="D669" s="14" t="s">
        <v>229</v>
      </c>
      <c r="E669" s="14" t="s">
        <v>230</v>
      </c>
      <c r="F669" s="14" t="s">
        <v>68</v>
      </c>
      <c r="G669" s="14" t="s">
        <v>169</v>
      </c>
      <c r="H669" s="14" t="s">
        <v>68</v>
      </c>
      <c r="I669" s="14" t="s">
        <v>68</v>
      </c>
      <c r="J669" s="14" t="s">
        <v>201</v>
      </c>
      <c r="K669" s="14" t="s">
        <v>68</v>
      </c>
      <c r="L669" s="14" t="s">
        <v>68</v>
      </c>
      <c r="M669" s="14"/>
      <c r="N669" s="14"/>
      <c r="O669" s="15"/>
      <c r="P669" s="15"/>
      <c r="Q669" s="15"/>
      <c r="R669" s="15"/>
      <c r="S669" s="15"/>
      <c r="T669" s="15"/>
      <c r="U669" s="15"/>
      <c r="V669" s="15"/>
      <c r="W669" s="15"/>
    </row>
    <row r="670" spans="1:23" ht="60" x14ac:dyDescent="0.25">
      <c r="A670" s="14" t="s">
        <v>961</v>
      </c>
      <c r="B670" s="14" t="s">
        <v>68</v>
      </c>
      <c r="C670" s="14"/>
      <c r="D670" s="14" t="s">
        <v>235</v>
      </c>
      <c r="E670" s="14" t="s">
        <v>236</v>
      </c>
      <c r="F670" s="14" t="s">
        <v>74</v>
      </c>
      <c r="G670" s="14" t="s">
        <v>68</v>
      </c>
      <c r="H670" s="14" t="s">
        <v>68</v>
      </c>
      <c r="I670" s="14" t="s">
        <v>68</v>
      </c>
      <c r="J670" s="14" t="s">
        <v>74</v>
      </c>
      <c r="K670" s="14" t="s">
        <v>68</v>
      </c>
      <c r="L670" s="14" t="s">
        <v>68</v>
      </c>
      <c r="M670" s="14"/>
      <c r="N670" s="14"/>
      <c r="O670" s="15"/>
      <c r="P670" s="15"/>
      <c r="Q670" s="15"/>
      <c r="R670" s="15"/>
      <c r="S670" s="15"/>
      <c r="T670" s="15"/>
      <c r="U670" s="15"/>
      <c r="V670" s="15"/>
      <c r="W670" s="15"/>
    </row>
    <row r="671" spans="1:23" ht="60" x14ac:dyDescent="0.25">
      <c r="A671" s="14" t="s">
        <v>962</v>
      </c>
      <c r="B671" s="14" t="s">
        <v>68</v>
      </c>
      <c r="C671" s="14"/>
      <c r="D671" s="14" t="s">
        <v>235</v>
      </c>
      <c r="E671" s="14" t="s">
        <v>236</v>
      </c>
      <c r="F671" s="14" t="s">
        <v>74</v>
      </c>
      <c r="G671" s="14" t="s">
        <v>68</v>
      </c>
      <c r="H671" s="14" t="s">
        <v>68</v>
      </c>
      <c r="I671" s="14" t="s">
        <v>68</v>
      </c>
      <c r="J671" s="14" t="s">
        <v>74</v>
      </c>
      <c r="K671" s="14" t="s">
        <v>68</v>
      </c>
      <c r="L671" s="14" t="s">
        <v>68</v>
      </c>
      <c r="M671" s="14"/>
      <c r="N671" s="14"/>
      <c r="O671" s="15"/>
      <c r="P671" s="15"/>
      <c r="Q671" s="15"/>
      <c r="R671" s="15"/>
      <c r="S671" s="15"/>
      <c r="T671" s="15"/>
      <c r="U671" s="15"/>
      <c r="V671" s="15"/>
      <c r="W671" s="15"/>
    </row>
    <row r="672" spans="1:23" ht="45" x14ac:dyDescent="0.25">
      <c r="A672" s="14" t="s">
        <v>963</v>
      </c>
      <c r="B672" s="14" t="s">
        <v>68</v>
      </c>
      <c r="C672" s="14"/>
      <c r="D672" s="14" t="s">
        <v>238</v>
      </c>
      <c r="E672" s="14" t="s">
        <v>239</v>
      </c>
      <c r="F672" s="14" t="s">
        <v>68</v>
      </c>
      <c r="G672" s="14" t="s">
        <v>68</v>
      </c>
      <c r="H672" s="14" t="s">
        <v>68</v>
      </c>
      <c r="I672" s="14" t="s">
        <v>68</v>
      </c>
      <c r="J672" s="14" t="s">
        <v>68</v>
      </c>
      <c r="K672" s="14" t="s">
        <v>68</v>
      </c>
      <c r="L672" s="14" t="s">
        <v>68</v>
      </c>
      <c r="M672" s="14"/>
      <c r="N672" s="14"/>
      <c r="O672" s="15"/>
      <c r="P672" s="15"/>
      <c r="Q672" s="15"/>
      <c r="R672" s="15"/>
      <c r="S672" s="15"/>
      <c r="T672" s="15"/>
      <c r="U672" s="15"/>
      <c r="V672" s="15"/>
      <c r="W672" s="15"/>
    </row>
    <row r="673" spans="1:23" x14ac:dyDescent="0.25">
      <c r="A673" s="14" t="s">
        <v>964</v>
      </c>
      <c r="B673" s="14" t="s">
        <v>68</v>
      </c>
      <c r="C673" s="14"/>
      <c r="D673" s="14" t="s">
        <v>68</v>
      </c>
      <c r="E673" s="14" t="s">
        <v>68</v>
      </c>
      <c r="F673" s="14" t="s">
        <v>88</v>
      </c>
      <c r="G673" s="14" t="s">
        <v>68</v>
      </c>
      <c r="H673" s="14" t="s">
        <v>68</v>
      </c>
      <c r="I673" s="14" t="s">
        <v>68</v>
      </c>
      <c r="J673" s="14" t="s">
        <v>102</v>
      </c>
      <c r="K673" s="14" t="s">
        <v>68</v>
      </c>
      <c r="L673" s="14" t="s">
        <v>68</v>
      </c>
      <c r="M673" s="14"/>
      <c r="N673" s="14"/>
      <c r="O673" s="15"/>
      <c r="P673" s="15"/>
      <c r="Q673" s="15"/>
      <c r="R673" s="15"/>
      <c r="S673" s="15"/>
      <c r="T673" s="15"/>
      <c r="U673" s="15"/>
      <c r="V673" s="15"/>
      <c r="W673" s="15"/>
    </row>
    <row r="674" spans="1:23" ht="45" x14ac:dyDescent="0.25">
      <c r="A674" s="14" t="s">
        <v>965</v>
      </c>
      <c r="B674" s="14" t="s">
        <v>68</v>
      </c>
      <c r="C674" s="14"/>
      <c r="D674" s="14" t="s">
        <v>232</v>
      </c>
      <c r="E674" s="14" t="s">
        <v>209</v>
      </c>
      <c r="F674" s="14" t="s">
        <v>68</v>
      </c>
      <c r="G674" s="14" t="s">
        <v>68</v>
      </c>
      <c r="H674" s="14" t="s">
        <v>68</v>
      </c>
      <c r="I674" s="14" t="s">
        <v>68</v>
      </c>
      <c r="J674" s="14" t="s">
        <v>68</v>
      </c>
      <c r="K674" s="14" t="s">
        <v>68</v>
      </c>
      <c r="L674" s="14" t="s">
        <v>68</v>
      </c>
      <c r="M674" s="14"/>
      <c r="N674" s="14"/>
      <c r="O674" s="15"/>
      <c r="P674" s="15"/>
      <c r="Q674" s="15"/>
      <c r="R674" s="15"/>
      <c r="S674" s="15"/>
      <c r="T674" s="15"/>
      <c r="U674" s="15"/>
      <c r="V674" s="15"/>
      <c r="W674" s="15"/>
    </row>
    <row r="675" spans="1:23" ht="45" x14ac:dyDescent="0.25">
      <c r="A675" s="14" t="s">
        <v>966</v>
      </c>
      <c r="B675" s="14" t="s">
        <v>68</v>
      </c>
      <c r="C675" s="14"/>
      <c r="D675" s="14" t="s">
        <v>288</v>
      </c>
      <c r="E675" s="14" t="s">
        <v>296</v>
      </c>
      <c r="F675" s="14" t="s">
        <v>68</v>
      </c>
      <c r="G675" s="14" t="s">
        <v>68</v>
      </c>
      <c r="H675" s="14" t="s">
        <v>68</v>
      </c>
      <c r="I675" s="14" t="s">
        <v>68</v>
      </c>
      <c r="J675" s="14" t="s">
        <v>68</v>
      </c>
      <c r="K675" s="14" t="s">
        <v>68</v>
      </c>
      <c r="L675" s="14" t="s">
        <v>68</v>
      </c>
      <c r="M675" s="14"/>
      <c r="N675" s="14"/>
      <c r="O675" s="15"/>
      <c r="P675" s="15"/>
      <c r="Q675" s="15"/>
      <c r="R675" s="15"/>
      <c r="S675" s="15"/>
      <c r="T675" s="15"/>
      <c r="U675" s="15"/>
      <c r="V675" s="15"/>
      <c r="W675" s="15"/>
    </row>
    <row r="676" spans="1:23" ht="45" x14ac:dyDescent="0.25">
      <c r="A676" s="14" t="s">
        <v>967</v>
      </c>
      <c r="B676" s="14" t="s">
        <v>68</v>
      </c>
      <c r="C676" s="14"/>
      <c r="D676" s="14" t="s">
        <v>325</v>
      </c>
      <c r="E676" s="14" t="s">
        <v>326</v>
      </c>
      <c r="F676" s="14" t="s">
        <v>68</v>
      </c>
      <c r="G676" s="14" t="s">
        <v>68</v>
      </c>
      <c r="H676" s="14" t="s">
        <v>68</v>
      </c>
      <c r="I676" s="14" t="s">
        <v>68</v>
      </c>
      <c r="J676" s="14" t="s">
        <v>68</v>
      </c>
      <c r="K676" s="14" t="s">
        <v>68</v>
      </c>
      <c r="L676" s="14" t="s">
        <v>68</v>
      </c>
      <c r="M676" s="14"/>
      <c r="N676" s="14"/>
      <c r="O676" s="15"/>
      <c r="P676" s="15"/>
      <c r="Q676" s="15"/>
      <c r="R676" s="15"/>
      <c r="S676" s="15"/>
      <c r="T676" s="15"/>
      <c r="U676" s="15"/>
      <c r="V676" s="15"/>
      <c r="W676" s="15"/>
    </row>
    <row r="677" spans="1:23" ht="45" x14ac:dyDescent="0.25">
      <c r="A677" s="14" t="s">
        <v>968</v>
      </c>
      <c r="B677" s="14" t="s">
        <v>68</v>
      </c>
      <c r="C677" s="14"/>
      <c r="D677" s="14" t="s">
        <v>246</v>
      </c>
      <c r="E677" s="14" t="s">
        <v>247</v>
      </c>
      <c r="F677" s="14" t="s">
        <v>68</v>
      </c>
      <c r="G677" s="14" t="s">
        <v>102</v>
      </c>
      <c r="H677" s="14" t="s">
        <v>68</v>
      </c>
      <c r="I677" s="14" t="s">
        <v>68</v>
      </c>
      <c r="J677" s="14" t="s">
        <v>102</v>
      </c>
      <c r="K677" s="14" t="s">
        <v>68</v>
      </c>
      <c r="L677" s="14" t="s">
        <v>68</v>
      </c>
      <c r="M677" s="14"/>
      <c r="N677" s="14"/>
      <c r="O677" s="15"/>
      <c r="P677" s="15"/>
      <c r="Q677" s="15"/>
      <c r="R677" s="15"/>
      <c r="S677" s="15"/>
      <c r="T677" s="15"/>
      <c r="U677" s="15"/>
      <c r="V677" s="15"/>
      <c r="W677" s="15"/>
    </row>
    <row r="678" spans="1:23" ht="45" x14ac:dyDescent="0.25">
      <c r="A678" s="14" t="s">
        <v>969</v>
      </c>
      <c r="B678" s="14" t="s">
        <v>68</v>
      </c>
      <c r="C678" s="14"/>
      <c r="D678" s="14" t="s">
        <v>199</v>
      </c>
      <c r="E678" s="14" t="s">
        <v>68</v>
      </c>
      <c r="F678" s="14" t="s">
        <v>68</v>
      </c>
      <c r="G678" s="14" t="s">
        <v>78</v>
      </c>
      <c r="H678" s="14" t="s">
        <v>68</v>
      </c>
      <c r="I678" s="14" t="s">
        <v>68</v>
      </c>
      <c r="J678" s="14" t="s">
        <v>201</v>
      </c>
      <c r="K678" s="14" t="s">
        <v>68</v>
      </c>
      <c r="L678" s="14" t="s">
        <v>68</v>
      </c>
      <c r="M678" s="14"/>
      <c r="N678" s="14"/>
      <c r="O678" s="15"/>
      <c r="P678" s="15"/>
      <c r="Q678" s="15"/>
      <c r="R678" s="15"/>
      <c r="S678" s="15"/>
      <c r="T678" s="15"/>
      <c r="U678" s="15"/>
      <c r="V678" s="15"/>
      <c r="W678" s="15"/>
    </row>
    <row r="679" spans="1:23" ht="45" x14ac:dyDescent="0.25">
      <c r="A679" s="14" t="s">
        <v>970</v>
      </c>
      <c r="B679" s="14" t="s">
        <v>68</v>
      </c>
      <c r="C679" s="14"/>
      <c r="D679" s="14" t="s">
        <v>241</v>
      </c>
      <c r="E679" s="14" t="s">
        <v>236</v>
      </c>
      <c r="F679" s="14" t="s">
        <v>83</v>
      </c>
      <c r="G679" s="14" t="s">
        <v>68</v>
      </c>
      <c r="H679" s="14" t="s">
        <v>68</v>
      </c>
      <c r="I679" s="14" t="s">
        <v>68</v>
      </c>
      <c r="J679" s="14" t="s">
        <v>201</v>
      </c>
      <c r="K679" s="14" t="s">
        <v>68</v>
      </c>
      <c r="L679" s="14" t="s">
        <v>68</v>
      </c>
      <c r="M679" s="14"/>
      <c r="N679" s="14"/>
      <c r="O679" s="15"/>
      <c r="P679" s="15"/>
      <c r="Q679" s="15"/>
      <c r="R679" s="15"/>
      <c r="S679" s="15"/>
      <c r="T679" s="15"/>
      <c r="U679" s="15"/>
      <c r="V679" s="15"/>
      <c r="W679" s="15"/>
    </row>
    <row r="680" spans="1:23" ht="45" x14ac:dyDescent="0.25">
      <c r="A680" s="14" t="s">
        <v>971</v>
      </c>
      <c r="B680" s="14" t="s">
        <v>68</v>
      </c>
      <c r="C680" s="14"/>
      <c r="D680" s="14" t="s">
        <v>219</v>
      </c>
      <c r="E680" s="14" t="s">
        <v>205</v>
      </c>
      <c r="F680" s="14" t="s">
        <v>68</v>
      </c>
      <c r="G680" s="14" t="s">
        <v>125</v>
      </c>
      <c r="H680" s="14" t="s">
        <v>68</v>
      </c>
      <c r="I680" s="14" t="s">
        <v>68</v>
      </c>
      <c r="J680" s="14" t="s">
        <v>201</v>
      </c>
      <c r="K680" s="14" t="s">
        <v>68</v>
      </c>
      <c r="L680" s="14" t="s">
        <v>68</v>
      </c>
      <c r="M680" s="14"/>
      <c r="N680" s="14"/>
      <c r="O680" s="15"/>
      <c r="P680" s="15"/>
      <c r="Q680" s="15"/>
      <c r="R680" s="15"/>
      <c r="S680" s="15"/>
      <c r="T680" s="15"/>
      <c r="U680" s="15"/>
      <c r="V680" s="15"/>
      <c r="W680" s="15"/>
    </row>
    <row r="681" spans="1:23" ht="60" x14ac:dyDescent="0.25">
      <c r="A681" s="14" t="s">
        <v>972</v>
      </c>
      <c r="B681" s="14" t="s">
        <v>68</v>
      </c>
      <c r="C681" s="14"/>
      <c r="D681" s="14" t="s">
        <v>314</v>
      </c>
      <c r="E681" s="14" t="s">
        <v>68</v>
      </c>
      <c r="F681" s="14" t="s">
        <v>68</v>
      </c>
      <c r="G681" s="14" t="s">
        <v>404</v>
      </c>
      <c r="H681" s="14" t="s">
        <v>68</v>
      </c>
      <c r="I681" s="14" t="s">
        <v>68</v>
      </c>
      <c r="J681" s="14" t="s">
        <v>102</v>
      </c>
      <c r="K681" s="14" t="s">
        <v>68</v>
      </c>
      <c r="L681" s="14" t="s">
        <v>68</v>
      </c>
      <c r="M681" s="14"/>
      <c r="N681" s="14"/>
      <c r="O681" s="15"/>
      <c r="P681" s="15"/>
      <c r="Q681" s="15"/>
      <c r="R681" s="15"/>
      <c r="S681" s="15"/>
      <c r="T681" s="15"/>
      <c r="U681" s="15"/>
      <c r="V681" s="15"/>
      <c r="W681" s="15"/>
    </row>
    <row r="682" spans="1:23" ht="45" x14ac:dyDescent="0.25">
      <c r="A682" s="14" t="s">
        <v>973</v>
      </c>
      <c r="B682" s="14" t="s">
        <v>68</v>
      </c>
      <c r="C682" s="14"/>
      <c r="D682" s="14" t="s">
        <v>241</v>
      </c>
      <c r="E682" s="14" t="s">
        <v>236</v>
      </c>
      <c r="F682" s="14" t="s">
        <v>83</v>
      </c>
      <c r="G682" s="14" t="s">
        <v>68</v>
      </c>
      <c r="H682" s="14" t="s">
        <v>68</v>
      </c>
      <c r="I682" s="14" t="s">
        <v>68</v>
      </c>
      <c r="J682" s="14" t="s">
        <v>201</v>
      </c>
      <c r="K682" s="14" t="s">
        <v>68</v>
      </c>
      <c r="L682" s="14" t="s">
        <v>68</v>
      </c>
      <c r="M682" s="14"/>
      <c r="N682" s="14"/>
      <c r="O682" s="15"/>
      <c r="P682" s="15"/>
      <c r="Q682" s="15"/>
      <c r="R682" s="15"/>
      <c r="S682" s="15"/>
      <c r="T682" s="15"/>
      <c r="U682" s="15"/>
      <c r="V682" s="15"/>
      <c r="W682" s="15"/>
    </row>
    <row r="683" spans="1:23" ht="45" x14ac:dyDescent="0.25">
      <c r="A683" s="14" t="s">
        <v>974</v>
      </c>
      <c r="B683" s="14" t="s">
        <v>68</v>
      </c>
      <c r="C683" s="14"/>
      <c r="D683" s="14" t="s">
        <v>246</v>
      </c>
      <c r="E683" s="14" t="s">
        <v>247</v>
      </c>
      <c r="F683" s="14" t="s">
        <v>68</v>
      </c>
      <c r="G683" s="14" t="s">
        <v>975</v>
      </c>
      <c r="H683" s="14" t="s">
        <v>68</v>
      </c>
      <c r="I683" s="14" t="s">
        <v>68</v>
      </c>
      <c r="J683" s="14" t="s">
        <v>102</v>
      </c>
      <c r="K683" s="14" t="s">
        <v>68</v>
      </c>
      <c r="L683" s="14" t="s">
        <v>68</v>
      </c>
      <c r="M683" s="14"/>
      <c r="N683" s="14"/>
      <c r="O683" s="15"/>
      <c r="P683" s="15"/>
      <c r="Q683" s="15"/>
      <c r="R683" s="15"/>
      <c r="S683" s="15"/>
      <c r="T683" s="15"/>
      <c r="U683" s="15"/>
      <c r="V683" s="15"/>
      <c r="W683" s="15"/>
    </row>
    <row r="684" spans="1:23" ht="45" x14ac:dyDescent="0.25">
      <c r="A684" s="14" t="s">
        <v>976</v>
      </c>
      <c r="B684" s="14" t="s">
        <v>68</v>
      </c>
      <c r="C684" s="14"/>
      <c r="D684" s="14" t="s">
        <v>288</v>
      </c>
      <c r="E684" s="14" t="s">
        <v>291</v>
      </c>
      <c r="F684" s="14" t="s">
        <v>68</v>
      </c>
      <c r="G684" s="14" t="s">
        <v>68</v>
      </c>
      <c r="H684" s="14" t="s">
        <v>68</v>
      </c>
      <c r="I684" s="14" t="s">
        <v>68</v>
      </c>
      <c r="J684" s="14" t="s">
        <v>68</v>
      </c>
      <c r="K684" s="14" t="s">
        <v>68</v>
      </c>
      <c r="L684" s="14" t="s">
        <v>68</v>
      </c>
      <c r="M684" s="14"/>
      <c r="N684" s="14"/>
      <c r="O684" s="15"/>
      <c r="P684" s="15"/>
      <c r="Q684" s="15"/>
      <c r="R684" s="15"/>
      <c r="S684" s="15"/>
      <c r="T684" s="15"/>
      <c r="U684" s="15"/>
      <c r="V684" s="15"/>
      <c r="W684" s="15"/>
    </row>
    <row r="685" spans="1:23" ht="45" x14ac:dyDescent="0.25">
      <c r="A685" s="14" t="s">
        <v>977</v>
      </c>
      <c r="B685" s="14" t="s">
        <v>68</v>
      </c>
      <c r="C685" s="14"/>
      <c r="D685" s="14" t="s">
        <v>312</v>
      </c>
      <c r="E685" s="14" t="s">
        <v>205</v>
      </c>
      <c r="F685" s="14" t="s">
        <v>68</v>
      </c>
      <c r="G685" s="14" t="s">
        <v>68</v>
      </c>
      <c r="H685" s="14" t="s">
        <v>68</v>
      </c>
      <c r="I685" s="14" t="s">
        <v>68</v>
      </c>
      <c r="J685" s="14" t="s">
        <v>68</v>
      </c>
      <c r="K685" s="14" t="s">
        <v>68</v>
      </c>
      <c r="L685" s="14" t="s">
        <v>68</v>
      </c>
      <c r="M685" s="14"/>
      <c r="N685" s="14"/>
      <c r="O685" s="15"/>
      <c r="P685" s="15"/>
      <c r="Q685" s="15"/>
      <c r="R685" s="15"/>
      <c r="S685" s="15"/>
      <c r="T685" s="15"/>
      <c r="U685" s="15"/>
      <c r="V685" s="15"/>
      <c r="W685" s="15"/>
    </row>
    <row r="686" spans="1:23" ht="45" x14ac:dyDescent="0.25">
      <c r="A686" s="14" t="s">
        <v>978</v>
      </c>
      <c r="B686" s="14" t="s">
        <v>68</v>
      </c>
      <c r="C686" s="14"/>
      <c r="D686" s="14" t="s">
        <v>288</v>
      </c>
      <c r="E686" s="14" t="s">
        <v>291</v>
      </c>
      <c r="F686" s="14" t="s">
        <v>68</v>
      </c>
      <c r="G686" s="14" t="s">
        <v>68</v>
      </c>
      <c r="H686" s="14" t="s">
        <v>68</v>
      </c>
      <c r="I686" s="14" t="s">
        <v>68</v>
      </c>
      <c r="J686" s="14" t="s">
        <v>68</v>
      </c>
      <c r="K686" s="14" t="s">
        <v>68</v>
      </c>
      <c r="L686" s="14" t="s">
        <v>68</v>
      </c>
      <c r="M686" s="14"/>
      <c r="N686" s="14"/>
      <c r="O686" s="15"/>
      <c r="P686" s="15"/>
      <c r="Q686" s="15"/>
      <c r="R686" s="15"/>
      <c r="S686" s="15"/>
      <c r="T686" s="15"/>
      <c r="U686" s="15"/>
      <c r="V686" s="15"/>
      <c r="W686" s="15"/>
    </row>
    <row r="687" spans="1:23" ht="45" x14ac:dyDescent="0.25">
      <c r="A687" s="14" t="s">
        <v>979</v>
      </c>
      <c r="B687" s="14" t="s">
        <v>68</v>
      </c>
      <c r="C687" s="14"/>
      <c r="D687" s="14" t="s">
        <v>328</v>
      </c>
      <c r="E687" s="14" t="s">
        <v>296</v>
      </c>
      <c r="F687" s="14" t="s">
        <v>68</v>
      </c>
      <c r="G687" s="14" t="s">
        <v>68</v>
      </c>
      <c r="H687" s="14" t="s">
        <v>68</v>
      </c>
      <c r="I687" s="14" t="s">
        <v>68</v>
      </c>
      <c r="J687" s="14" t="s">
        <v>68</v>
      </c>
      <c r="K687" s="14" t="s">
        <v>68</v>
      </c>
      <c r="L687" s="14" t="s">
        <v>68</v>
      </c>
      <c r="M687" s="14"/>
      <c r="N687" s="14"/>
      <c r="O687" s="15"/>
      <c r="P687" s="15"/>
      <c r="Q687" s="15"/>
      <c r="R687" s="15"/>
      <c r="S687" s="15"/>
      <c r="T687" s="15"/>
      <c r="U687" s="15"/>
      <c r="V687" s="15"/>
      <c r="W687" s="15"/>
    </row>
    <row r="688" spans="1:23" ht="45" x14ac:dyDescent="0.25">
      <c r="A688" s="14" t="s">
        <v>980</v>
      </c>
      <c r="B688" s="14" t="s">
        <v>68</v>
      </c>
      <c r="C688" s="14"/>
      <c r="D688" s="14" t="s">
        <v>256</v>
      </c>
      <c r="E688" s="14" t="s">
        <v>291</v>
      </c>
      <c r="F688" s="14" t="s">
        <v>68</v>
      </c>
      <c r="G688" s="14" t="s">
        <v>74</v>
      </c>
      <c r="H688" s="14" t="s">
        <v>68</v>
      </c>
      <c r="I688" s="14" t="s">
        <v>68</v>
      </c>
      <c r="J688" s="14" t="s">
        <v>74</v>
      </c>
      <c r="K688" s="14" t="s">
        <v>68</v>
      </c>
      <c r="L688" s="14" t="s">
        <v>68</v>
      </c>
      <c r="M688" s="14"/>
      <c r="N688" s="14"/>
      <c r="O688" s="15"/>
      <c r="P688" s="15"/>
      <c r="Q688" s="15"/>
      <c r="R688" s="15"/>
      <c r="S688" s="15"/>
      <c r="T688" s="15"/>
      <c r="U688" s="15"/>
      <c r="V688" s="15"/>
      <c r="W688" s="15"/>
    </row>
    <row r="689" spans="1:23" ht="45" x14ac:dyDescent="0.25">
      <c r="A689" s="14" t="s">
        <v>981</v>
      </c>
      <c r="B689" s="14" t="s">
        <v>68</v>
      </c>
      <c r="C689" s="14"/>
      <c r="D689" s="14" t="s">
        <v>199</v>
      </c>
      <c r="E689" s="14" t="s">
        <v>68</v>
      </c>
      <c r="F689" s="14" t="s">
        <v>68</v>
      </c>
      <c r="G689" s="14" t="s">
        <v>78</v>
      </c>
      <c r="H689" s="14" t="s">
        <v>68</v>
      </c>
      <c r="I689" s="14" t="s">
        <v>68</v>
      </c>
      <c r="J689" s="14" t="s">
        <v>201</v>
      </c>
      <c r="K689" s="14" t="s">
        <v>68</v>
      </c>
      <c r="L689" s="14" t="s">
        <v>68</v>
      </c>
      <c r="M689" s="14"/>
      <c r="N689" s="14"/>
      <c r="O689" s="15"/>
      <c r="P689" s="15"/>
      <c r="Q689" s="15"/>
      <c r="R689" s="15"/>
      <c r="S689" s="15"/>
      <c r="T689" s="15"/>
      <c r="U689" s="15"/>
      <c r="V689" s="15"/>
      <c r="W689" s="15"/>
    </row>
    <row r="690" spans="1:23" ht="45" x14ac:dyDescent="0.25">
      <c r="A690" s="14" t="s">
        <v>982</v>
      </c>
      <c r="B690" s="14" t="s">
        <v>68</v>
      </c>
      <c r="C690" s="14"/>
      <c r="D690" s="14" t="s">
        <v>256</v>
      </c>
      <c r="E690" s="14" t="s">
        <v>223</v>
      </c>
      <c r="F690" s="14" t="s">
        <v>68</v>
      </c>
      <c r="G690" s="14" t="s">
        <v>68</v>
      </c>
      <c r="H690" s="14" t="s">
        <v>68</v>
      </c>
      <c r="I690" s="14" t="s">
        <v>68</v>
      </c>
      <c r="J690" s="14" t="s">
        <v>68</v>
      </c>
      <c r="K690" s="14" t="s">
        <v>68</v>
      </c>
      <c r="L690" s="14" t="s">
        <v>68</v>
      </c>
      <c r="M690" s="14"/>
      <c r="N690" s="14"/>
      <c r="O690" s="15"/>
      <c r="P690" s="15"/>
      <c r="Q690" s="15"/>
      <c r="R690" s="15"/>
      <c r="S690" s="15"/>
      <c r="T690" s="15"/>
      <c r="U690" s="15"/>
      <c r="V690" s="15"/>
      <c r="W690" s="15"/>
    </row>
    <row r="691" spans="1:23" ht="45" x14ac:dyDescent="0.25">
      <c r="A691" s="14" t="s">
        <v>983</v>
      </c>
      <c r="B691" s="14" t="s">
        <v>68</v>
      </c>
      <c r="C691" s="14"/>
      <c r="D691" s="14" t="s">
        <v>312</v>
      </c>
      <c r="E691" s="14" t="s">
        <v>205</v>
      </c>
      <c r="F691" s="14" t="s">
        <v>68</v>
      </c>
      <c r="G691" s="14" t="s">
        <v>68</v>
      </c>
      <c r="H691" s="14" t="s">
        <v>68</v>
      </c>
      <c r="I691" s="14" t="s">
        <v>68</v>
      </c>
      <c r="J691" s="14" t="s">
        <v>68</v>
      </c>
      <c r="K691" s="14" t="s">
        <v>68</v>
      </c>
      <c r="L691" s="14" t="s">
        <v>68</v>
      </c>
      <c r="M691" s="14"/>
      <c r="N691" s="14"/>
      <c r="O691" s="15"/>
      <c r="P691" s="15"/>
      <c r="Q691" s="15"/>
      <c r="R691" s="15"/>
      <c r="S691" s="15"/>
      <c r="T691" s="15"/>
      <c r="U691" s="15"/>
      <c r="V691" s="15"/>
      <c r="W691" s="15"/>
    </row>
    <row r="692" spans="1:23" ht="45" x14ac:dyDescent="0.25">
      <c r="A692" s="14" t="s">
        <v>984</v>
      </c>
      <c r="B692" s="14" t="s">
        <v>68</v>
      </c>
      <c r="C692" s="14"/>
      <c r="D692" s="14" t="s">
        <v>328</v>
      </c>
      <c r="E692" s="14" t="s">
        <v>296</v>
      </c>
      <c r="F692" s="14" t="s">
        <v>68</v>
      </c>
      <c r="G692" s="14" t="s">
        <v>68</v>
      </c>
      <c r="H692" s="14" t="s">
        <v>68</v>
      </c>
      <c r="I692" s="14" t="s">
        <v>68</v>
      </c>
      <c r="J692" s="14" t="s">
        <v>68</v>
      </c>
      <c r="K692" s="14" t="s">
        <v>68</v>
      </c>
      <c r="L692" s="14" t="s">
        <v>68</v>
      </c>
      <c r="M692" s="14"/>
      <c r="N692" s="14"/>
      <c r="O692" s="15"/>
      <c r="P692" s="15"/>
      <c r="Q692" s="15"/>
      <c r="R692" s="15"/>
      <c r="S692" s="15"/>
      <c r="T692" s="15"/>
      <c r="U692" s="15"/>
      <c r="V692" s="15"/>
      <c r="W692" s="15"/>
    </row>
    <row r="693" spans="1:23" ht="45" x14ac:dyDescent="0.25">
      <c r="A693" s="14" t="s">
        <v>985</v>
      </c>
      <c r="B693" s="14" t="s">
        <v>68</v>
      </c>
      <c r="C693" s="14"/>
      <c r="D693" s="14" t="s">
        <v>256</v>
      </c>
      <c r="E693" s="14" t="s">
        <v>291</v>
      </c>
      <c r="F693" s="14" t="s">
        <v>68</v>
      </c>
      <c r="G693" s="14" t="s">
        <v>68</v>
      </c>
      <c r="H693" s="14" t="s">
        <v>68</v>
      </c>
      <c r="I693" s="14" t="s">
        <v>68</v>
      </c>
      <c r="J693" s="14" t="s">
        <v>68</v>
      </c>
      <c r="K693" s="14" t="s">
        <v>68</v>
      </c>
      <c r="L693" s="14" t="s">
        <v>68</v>
      </c>
      <c r="M693" s="14"/>
      <c r="N693" s="14"/>
      <c r="O693" s="15"/>
      <c r="P693" s="15"/>
      <c r="Q693" s="15"/>
      <c r="R693" s="15"/>
      <c r="S693" s="15"/>
      <c r="T693" s="15"/>
      <c r="U693" s="15"/>
      <c r="V693" s="15"/>
      <c r="W693" s="15"/>
    </row>
    <row r="694" spans="1:23" ht="45" x14ac:dyDescent="0.25">
      <c r="A694" s="14" t="s">
        <v>986</v>
      </c>
      <c r="B694" s="14" t="s">
        <v>68</v>
      </c>
      <c r="C694" s="14"/>
      <c r="D694" s="14" t="s">
        <v>238</v>
      </c>
      <c r="E694" s="14" t="s">
        <v>239</v>
      </c>
      <c r="F694" s="14" t="s">
        <v>68</v>
      </c>
      <c r="G694" s="14" t="s">
        <v>68</v>
      </c>
      <c r="H694" s="14" t="s">
        <v>68</v>
      </c>
      <c r="I694" s="14" t="s">
        <v>68</v>
      </c>
      <c r="J694" s="14" t="s">
        <v>68</v>
      </c>
      <c r="K694" s="14" t="s">
        <v>68</v>
      </c>
      <c r="L694" s="14" t="s">
        <v>68</v>
      </c>
      <c r="M694" s="14"/>
      <c r="N694" s="14"/>
      <c r="O694" s="15"/>
      <c r="P694" s="15"/>
      <c r="Q694" s="15"/>
      <c r="R694" s="15"/>
      <c r="S694" s="15"/>
      <c r="T694" s="15"/>
      <c r="U694" s="15"/>
      <c r="V694" s="15"/>
      <c r="W694" s="15"/>
    </row>
    <row r="695" spans="1:23" ht="45" x14ac:dyDescent="0.25">
      <c r="A695" s="14" t="s">
        <v>987</v>
      </c>
      <c r="B695" s="14" t="s">
        <v>68</v>
      </c>
      <c r="C695" s="14"/>
      <c r="D695" s="14" t="s">
        <v>204</v>
      </c>
      <c r="E695" s="14" t="s">
        <v>205</v>
      </c>
      <c r="F695" s="14" t="s">
        <v>68</v>
      </c>
      <c r="G695" s="14" t="s">
        <v>68</v>
      </c>
      <c r="H695" s="14" t="s">
        <v>68</v>
      </c>
      <c r="I695" s="14" t="s">
        <v>68</v>
      </c>
      <c r="J695" s="14" t="s">
        <v>68</v>
      </c>
      <c r="K695" s="14" t="s">
        <v>68</v>
      </c>
      <c r="L695" s="14" t="s">
        <v>68</v>
      </c>
      <c r="M695" s="14"/>
      <c r="N695" s="14"/>
      <c r="O695" s="15"/>
      <c r="P695" s="15"/>
      <c r="Q695" s="15"/>
      <c r="R695" s="15"/>
      <c r="S695" s="15"/>
      <c r="T695" s="15"/>
      <c r="U695" s="15"/>
      <c r="V695" s="15"/>
      <c r="W695" s="15"/>
    </row>
    <row r="696" spans="1:23" ht="45" x14ac:dyDescent="0.25">
      <c r="A696" s="14" t="s">
        <v>988</v>
      </c>
      <c r="B696" s="14" t="s">
        <v>68</v>
      </c>
      <c r="C696" s="14"/>
      <c r="D696" s="14" t="s">
        <v>199</v>
      </c>
      <c r="E696" s="14" t="s">
        <v>68</v>
      </c>
      <c r="F696" s="14" t="s">
        <v>68</v>
      </c>
      <c r="G696" s="14" t="s">
        <v>133</v>
      </c>
      <c r="H696" s="14" t="s">
        <v>68</v>
      </c>
      <c r="I696" s="14" t="s">
        <v>68</v>
      </c>
      <c r="J696" s="14" t="s">
        <v>989</v>
      </c>
      <c r="K696" s="14" t="s">
        <v>68</v>
      </c>
      <c r="L696" s="14" t="s">
        <v>68</v>
      </c>
      <c r="M696" s="14"/>
      <c r="N696" s="14"/>
      <c r="O696" s="15"/>
      <c r="P696" s="15"/>
      <c r="Q696" s="15"/>
      <c r="R696" s="15"/>
      <c r="S696" s="15"/>
      <c r="T696" s="15"/>
      <c r="U696" s="15"/>
      <c r="V696" s="15"/>
      <c r="W696" s="15"/>
    </row>
    <row r="697" spans="1:23" ht="45" x14ac:dyDescent="0.25">
      <c r="A697" s="14" t="s">
        <v>990</v>
      </c>
      <c r="B697" s="14" t="s">
        <v>68</v>
      </c>
      <c r="C697" s="14"/>
      <c r="D697" s="14" t="s">
        <v>238</v>
      </c>
      <c r="E697" s="14" t="s">
        <v>239</v>
      </c>
      <c r="F697" s="14" t="s">
        <v>68</v>
      </c>
      <c r="G697" s="14" t="s">
        <v>68</v>
      </c>
      <c r="H697" s="14" t="s">
        <v>68</v>
      </c>
      <c r="I697" s="14" t="s">
        <v>68</v>
      </c>
      <c r="J697" s="14" t="s">
        <v>68</v>
      </c>
      <c r="K697" s="14" t="s">
        <v>68</v>
      </c>
      <c r="L697" s="14" t="s">
        <v>68</v>
      </c>
      <c r="M697" s="14"/>
      <c r="N697" s="14"/>
      <c r="O697" s="15"/>
      <c r="P697" s="15"/>
      <c r="Q697" s="15"/>
      <c r="R697" s="15"/>
      <c r="S697" s="15"/>
      <c r="T697" s="15"/>
      <c r="U697" s="15"/>
      <c r="V697" s="15"/>
      <c r="W697" s="15"/>
    </row>
    <row r="698" spans="1:23" ht="45" x14ac:dyDescent="0.25">
      <c r="A698" s="14" t="s">
        <v>991</v>
      </c>
      <c r="B698" s="14" t="s">
        <v>68</v>
      </c>
      <c r="C698" s="14"/>
      <c r="D698" s="14" t="s">
        <v>211</v>
      </c>
      <c r="E698" s="14" t="s">
        <v>212</v>
      </c>
      <c r="F698" s="14" t="s">
        <v>100</v>
      </c>
      <c r="G698" s="14" t="s">
        <v>68</v>
      </c>
      <c r="H698" s="14" t="s">
        <v>68</v>
      </c>
      <c r="I698" s="14" t="s">
        <v>68</v>
      </c>
      <c r="J698" s="14" t="s">
        <v>309</v>
      </c>
      <c r="K698" s="14" t="s">
        <v>68</v>
      </c>
      <c r="L698" s="14" t="s">
        <v>68</v>
      </c>
      <c r="M698" s="14"/>
      <c r="N698" s="14"/>
      <c r="O698" s="15"/>
      <c r="P698" s="15"/>
      <c r="Q698" s="15"/>
      <c r="R698" s="15"/>
      <c r="S698" s="15"/>
      <c r="T698" s="15"/>
      <c r="U698" s="15"/>
      <c r="V698" s="15"/>
      <c r="W698" s="15"/>
    </row>
    <row r="699" spans="1:23" ht="45" x14ac:dyDescent="0.25">
      <c r="A699" s="14" t="s">
        <v>992</v>
      </c>
      <c r="B699" s="14" t="s">
        <v>68</v>
      </c>
      <c r="C699" s="14"/>
      <c r="D699" s="14" t="s">
        <v>328</v>
      </c>
      <c r="E699" s="14" t="s">
        <v>296</v>
      </c>
      <c r="F699" s="14" t="s">
        <v>68</v>
      </c>
      <c r="G699" s="14" t="s">
        <v>68</v>
      </c>
      <c r="H699" s="14" t="s">
        <v>68</v>
      </c>
      <c r="I699" s="14" t="s">
        <v>68</v>
      </c>
      <c r="J699" s="14" t="s">
        <v>68</v>
      </c>
      <c r="K699" s="14" t="s">
        <v>68</v>
      </c>
      <c r="L699" s="14" t="s">
        <v>68</v>
      </c>
      <c r="M699" s="14"/>
      <c r="N699" s="14"/>
      <c r="O699" s="15"/>
      <c r="P699" s="15"/>
      <c r="Q699" s="15"/>
      <c r="R699" s="15"/>
      <c r="S699" s="15"/>
      <c r="T699" s="15"/>
      <c r="U699" s="15"/>
      <c r="V699" s="15"/>
      <c r="W699" s="15"/>
    </row>
    <row r="700" spans="1:23" ht="60" x14ac:dyDescent="0.25">
      <c r="A700" s="14" t="s">
        <v>993</v>
      </c>
      <c r="B700" s="14" t="s">
        <v>68</v>
      </c>
      <c r="C700" s="14"/>
      <c r="D700" s="14" t="s">
        <v>235</v>
      </c>
      <c r="E700" s="14" t="s">
        <v>236</v>
      </c>
      <c r="F700" s="14" t="s">
        <v>74</v>
      </c>
      <c r="G700" s="14" t="s">
        <v>68</v>
      </c>
      <c r="H700" s="14" t="s">
        <v>68</v>
      </c>
      <c r="I700" s="14" t="s">
        <v>68</v>
      </c>
      <c r="J700" s="14" t="s">
        <v>74</v>
      </c>
      <c r="K700" s="14" t="s">
        <v>68</v>
      </c>
      <c r="L700" s="14" t="s">
        <v>68</v>
      </c>
      <c r="M700" s="14"/>
      <c r="N700" s="14"/>
      <c r="O700" s="15"/>
      <c r="P700" s="15"/>
      <c r="Q700" s="15"/>
      <c r="R700" s="15"/>
      <c r="S700" s="15"/>
      <c r="T700" s="15"/>
      <c r="U700" s="15"/>
      <c r="V700" s="15"/>
      <c r="W700" s="15"/>
    </row>
    <row r="701" spans="1:23" ht="45" x14ac:dyDescent="0.25">
      <c r="A701" s="14" t="s">
        <v>994</v>
      </c>
      <c r="B701" s="14" t="s">
        <v>68</v>
      </c>
      <c r="C701" s="14"/>
      <c r="D701" s="14" t="s">
        <v>232</v>
      </c>
      <c r="E701" s="14" t="s">
        <v>209</v>
      </c>
      <c r="F701" s="14" t="s">
        <v>68</v>
      </c>
      <c r="G701" s="14" t="s">
        <v>68</v>
      </c>
      <c r="H701" s="14" t="s">
        <v>68</v>
      </c>
      <c r="I701" s="14" t="s">
        <v>68</v>
      </c>
      <c r="J701" s="14" t="s">
        <v>68</v>
      </c>
      <c r="K701" s="14" t="s">
        <v>68</v>
      </c>
      <c r="L701" s="14" t="s">
        <v>68</v>
      </c>
      <c r="M701" s="14"/>
      <c r="N701" s="14"/>
      <c r="O701" s="15"/>
      <c r="P701" s="15"/>
      <c r="Q701" s="15"/>
      <c r="R701" s="15"/>
      <c r="S701" s="15"/>
      <c r="T701" s="15"/>
      <c r="U701" s="15"/>
      <c r="V701" s="15"/>
      <c r="W701" s="15"/>
    </row>
    <row r="702" spans="1:23" ht="45" x14ac:dyDescent="0.25">
      <c r="A702" s="14" t="s">
        <v>995</v>
      </c>
      <c r="B702" s="14" t="s">
        <v>68</v>
      </c>
      <c r="C702" s="14"/>
      <c r="D702" s="14" t="s">
        <v>238</v>
      </c>
      <c r="E702" s="14" t="s">
        <v>239</v>
      </c>
      <c r="F702" s="14" t="s">
        <v>68</v>
      </c>
      <c r="G702" s="14" t="s">
        <v>68</v>
      </c>
      <c r="H702" s="14" t="s">
        <v>68</v>
      </c>
      <c r="I702" s="14" t="s">
        <v>68</v>
      </c>
      <c r="J702" s="14" t="s">
        <v>68</v>
      </c>
      <c r="K702" s="14" t="s">
        <v>68</v>
      </c>
      <c r="L702" s="14" t="s">
        <v>68</v>
      </c>
      <c r="M702" s="14"/>
      <c r="N702" s="14"/>
      <c r="O702" s="15"/>
      <c r="P702" s="15"/>
      <c r="Q702" s="15"/>
      <c r="R702" s="15"/>
      <c r="S702" s="15"/>
      <c r="T702" s="15"/>
      <c r="U702" s="15"/>
      <c r="V702" s="15"/>
      <c r="W702" s="15"/>
    </row>
    <row r="703" spans="1:23" ht="45" x14ac:dyDescent="0.25">
      <c r="A703" s="14" t="s">
        <v>996</v>
      </c>
      <c r="B703" s="14" t="s">
        <v>68</v>
      </c>
      <c r="C703" s="14"/>
      <c r="D703" s="14" t="s">
        <v>211</v>
      </c>
      <c r="E703" s="14" t="s">
        <v>212</v>
      </c>
      <c r="F703" s="14" t="s">
        <v>997</v>
      </c>
      <c r="G703" s="14" t="s">
        <v>68</v>
      </c>
      <c r="H703" s="14" t="s">
        <v>68</v>
      </c>
      <c r="I703" s="14" t="s">
        <v>68</v>
      </c>
      <c r="J703" s="14" t="s">
        <v>201</v>
      </c>
      <c r="K703" s="14" t="s">
        <v>68</v>
      </c>
      <c r="L703" s="14" t="s">
        <v>68</v>
      </c>
      <c r="M703" s="14"/>
      <c r="N703" s="14"/>
      <c r="O703" s="15"/>
      <c r="P703" s="15"/>
      <c r="Q703" s="15"/>
      <c r="R703" s="15"/>
      <c r="S703" s="15"/>
      <c r="T703" s="15"/>
      <c r="U703" s="15"/>
      <c r="V703" s="15"/>
      <c r="W703" s="15"/>
    </row>
    <row r="704" spans="1:23" x14ac:dyDescent="0.25">
      <c r="A704" s="14" t="s">
        <v>998</v>
      </c>
      <c r="B704" s="14" t="s">
        <v>68</v>
      </c>
      <c r="C704" s="14"/>
      <c r="D704" s="14" t="s">
        <v>68</v>
      </c>
      <c r="E704" s="14" t="s">
        <v>68</v>
      </c>
      <c r="F704" s="14" t="s">
        <v>148</v>
      </c>
      <c r="G704" s="14" t="s">
        <v>68</v>
      </c>
      <c r="H704" s="14" t="s">
        <v>68</v>
      </c>
      <c r="I704" s="14" t="s">
        <v>68</v>
      </c>
      <c r="J704" s="14" t="s">
        <v>102</v>
      </c>
      <c r="K704" s="14" t="s">
        <v>68</v>
      </c>
      <c r="L704" s="14" t="s">
        <v>68</v>
      </c>
      <c r="M704" s="14"/>
      <c r="N704" s="14"/>
      <c r="O704" s="15"/>
      <c r="P704" s="15"/>
      <c r="Q704" s="15"/>
      <c r="R704" s="15"/>
      <c r="S704" s="15"/>
      <c r="T704" s="15"/>
      <c r="U704" s="15"/>
      <c r="V704" s="15"/>
      <c r="W704" s="15"/>
    </row>
    <row r="705" spans="1:23" ht="45" x14ac:dyDescent="0.25">
      <c r="A705" s="14" t="s">
        <v>999</v>
      </c>
      <c r="B705" s="14" t="s">
        <v>68</v>
      </c>
      <c r="C705" s="14"/>
      <c r="D705" s="14" t="s">
        <v>199</v>
      </c>
      <c r="E705" s="14" t="s">
        <v>68</v>
      </c>
      <c r="F705" s="14" t="s">
        <v>68</v>
      </c>
      <c r="G705" s="14" t="s">
        <v>68</v>
      </c>
      <c r="H705" s="14" t="s">
        <v>68</v>
      </c>
      <c r="I705" s="14" t="s">
        <v>68</v>
      </c>
      <c r="J705" s="14" t="s">
        <v>68</v>
      </c>
      <c r="K705" s="14" t="s">
        <v>68</v>
      </c>
      <c r="L705" s="14" t="s">
        <v>68</v>
      </c>
      <c r="M705" s="14"/>
      <c r="N705" s="14"/>
      <c r="O705" s="15"/>
      <c r="P705" s="15"/>
      <c r="Q705" s="15"/>
      <c r="R705" s="15"/>
      <c r="S705" s="15"/>
      <c r="T705" s="15"/>
      <c r="U705" s="15"/>
      <c r="V705" s="15"/>
      <c r="W705" s="15"/>
    </row>
    <row r="706" spans="1:23" ht="45" x14ac:dyDescent="0.25">
      <c r="A706" s="14" t="s">
        <v>1000</v>
      </c>
      <c r="B706" s="14" t="s">
        <v>68</v>
      </c>
      <c r="C706" s="14"/>
      <c r="D706" s="14" t="s">
        <v>241</v>
      </c>
      <c r="E706" s="14" t="s">
        <v>236</v>
      </c>
      <c r="F706" s="14" t="s">
        <v>135</v>
      </c>
      <c r="G706" s="14" t="s">
        <v>68</v>
      </c>
      <c r="H706" s="14" t="s">
        <v>68</v>
      </c>
      <c r="I706" s="14" t="s">
        <v>68</v>
      </c>
      <c r="J706" s="14" t="s">
        <v>201</v>
      </c>
      <c r="K706" s="14" t="s">
        <v>68</v>
      </c>
      <c r="L706" s="14" t="s">
        <v>68</v>
      </c>
      <c r="M706" s="14"/>
      <c r="N706" s="14"/>
      <c r="O706" s="15"/>
      <c r="P706" s="15"/>
      <c r="Q706" s="15"/>
      <c r="R706" s="15"/>
      <c r="S706" s="15"/>
      <c r="T706" s="15"/>
      <c r="U706" s="15"/>
      <c r="V706" s="15"/>
      <c r="W706" s="15"/>
    </row>
    <row r="707" spans="1:23" ht="60" x14ac:dyDescent="0.25">
      <c r="A707" s="14" t="s">
        <v>1001</v>
      </c>
      <c r="B707" s="14" t="s">
        <v>68</v>
      </c>
      <c r="C707" s="14"/>
      <c r="D707" s="14" t="s">
        <v>235</v>
      </c>
      <c r="E707" s="14" t="s">
        <v>236</v>
      </c>
      <c r="F707" s="14" t="s">
        <v>74</v>
      </c>
      <c r="G707" s="14" t="s">
        <v>68</v>
      </c>
      <c r="H707" s="14" t="s">
        <v>68</v>
      </c>
      <c r="I707" s="14" t="s">
        <v>68</v>
      </c>
      <c r="J707" s="14" t="s">
        <v>74</v>
      </c>
      <c r="K707" s="14" t="s">
        <v>68</v>
      </c>
      <c r="L707" s="14" t="s">
        <v>68</v>
      </c>
      <c r="M707" s="14"/>
      <c r="N707" s="14"/>
      <c r="O707" s="15"/>
      <c r="P707" s="15"/>
      <c r="Q707" s="15"/>
      <c r="R707" s="15"/>
      <c r="S707" s="15"/>
      <c r="T707" s="15"/>
      <c r="U707" s="15"/>
      <c r="V707" s="15"/>
      <c r="W707" s="15"/>
    </row>
    <row r="708" spans="1:23" ht="60" x14ac:dyDescent="0.25">
      <c r="A708" s="14" t="s">
        <v>1002</v>
      </c>
      <c r="B708" s="14" t="s">
        <v>68</v>
      </c>
      <c r="C708" s="14"/>
      <c r="D708" s="14" t="s">
        <v>235</v>
      </c>
      <c r="E708" s="14" t="s">
        <v>236</v>
      </c>
      <c r="F708" s="14" t="s">
        <v>74</v>
      </c>
      <c r="G708" s="14" t="s">
        <v>68</v>
      </c>
      <c r="H708" s="14" t="s">
        <v>68</v>
      </c>
      <c r="I708" s="14" t="s">
        <v>68</v>
      </c>
      <c r="J708" s="14" t="s">
        <v>74</v>
      </c>
      <c r="K708" s="14" t="s">
        <v>68</v>
      </c>
      <c r="L708" s="14" t="s">
        <v>68</v>
      </c>
      <c r="M708" s="14"/>
      <c r="N708" s="14"/>
      <c r="O708" s="15"/>
      <c r="P708" s="15"/>
      <c r="Q708" s="15"/>
      <c r="R708" s="15"/>
      <c r="S708" s="15"/>
      <c r="T708" s="15"/>
      <c r="U708" s="15"/>
      <c r="V708" s="15"/>
      <c r="W708" s="15"/>
    </row>
    <row r="709" spans="1:23" ht="45" x14ac:dyDescent="0.25">
      <c r="A709" s="14" t="s">
        <v>1003</v>
      </c>
      <c r="B709" s="14" t="s">
        <v>68</v>
      </c>
      <c r="C709" s="14"/>
      <c r="D709" s="14" t="s">
        <v>199</v>
      </c>
      <c r="E709" s="14" t="s">
        <v>68</v>
      </c>
      <c r="F709" s="14" t="s">
        <v>68</v>
      </c>
      <c r="G709" s="14" t="s">
        <v>78</v>
      </c>
      <c r="H709" s="14" t="s">
        <v>68</v>
      </c>
      <c r="I709" s="14" t="s">
        <v>68</v>
      </c>
      <c r="J709" s="14" t="s">
        <v>201</v>
      </c>
      <c r="K709" s="14" t="s">
        <v>68</v>
      </c>
      <c r="L709" s="14" t="s">
        <v>68</v>
      </c>
      <c r="M709" s="14"/>
      <c r="N709" s="14"/>
      <c r="O709" s="15"/>
      <c r="P709" s="15"/>
      <c r="Q709" s="15"/>
      <c r="R709" s="15"/>
      <c r="S709" s="15"/>
      <c r="T709" s="15"/>
      <c r="U709" s="15"/>
      <c r="V709" s="15"/>
      <c r="W709" s="15"/>
    </row>
    <row r="710" spans="1:23" ht="60" x14ac:dyDescent="0.25">
      <c r="A710" s="14" t="s">
        <v>1004</v>
      </c>
      <c r="B710" s="14" t="s">
        <v>68</v>
      </c>
      <c r="C710" s="14"/>
      <c r="D710" s="14" t="s">
        <v>215</v>
      </c>
      <c r="E710" s="14" t="s">
        <v>216</v>
      </c>
      <c r="F710" s="14" t="s">
        <v>68</v>
      </c>
      <c r="G710" s="14" t="s">
        <v>74</v>
      </c>
      <c r="H710" s="14" t="s">
        <v>68</v>
      </c>
      <c r="I710" s="14" t="s">
        <v>68</v>
      </c>
      <c r="J710" s="14" t="s">
        <v>74</v>
      </c>
      <c r="K710" s="14" t="s">
        <v>68</v>
      </c>
      <c r="L710" s="14" t="s">
        <v>68</v>
      </c>
      <c r="M710" s="14"/>
      <c r="N710" s="14"/>
      <c r="O710" s="15"/>
      <c r="P710" s="15"/>
      <c r="Q710" s="15"/>
      <c r="R710" s="15"/>
      <c r="S710" s="15"/>
      <c r="T710" s="15"/>
      <c r="U710" s="15"/>
      <c r="V710" s="15"/>
      <c r="W710" s="15"/>
    </row>
    <row r="711" spans="1:23" ht="45" x14ac:dyDescent="0.25">
      <c r="A711" s="14" t="s">
        <v>1005</v>
      </c>
      <c r="B711" s="14" t="s">
        <v>68</v>
      </c>
      <c r="C711" s="14"/>
      <c r="D711" s="14" t="s">
        <v>199</v>
      </c>
      <c r="E711" s="14" t="s">
        <v>68</v>
      </c>
      <c r="F711" s="14" t="s">
        <v>68</v>
      </c>
      <c r="G711" s="14" t="s">
        <v>78</v>
      </c>
      <c r="H711" s="14" t="s">
        <v>68</v>
      </c>
      <c r="I711" s="14" t="s">
        <v>68</v>
      </c>
      <c r="J711" s="14" t="s">
        <v>201</v>
      </c>
      <c r="K711" s="14" t="s">
        <v>68</v>
      </c>
      <c r="L711" s="14" t="s">
        <v>68</v>
      </c>
      <c r="M711" s="14"/>
      <c r="N711" s="14"/>
      <c r="O711" s="15"/>
      <c r="P711" s="15"/>
      <c r="Q711" s="15"/>
      <c r="R711" s="15"/>
      <c r="S711" s="15"/>
      <c r="T711" s="15"/>
      <c r="U711" s="15"/>
      <c r="V711" s="15"/>
      <c r="W711" s="15"/>
    </row>
    <row r="712" spans="1:23" ht="45" x14ac:dyDescent="0.25">
      <c r="A712" s="14" t="s">
        <v>1006</v>
      </c>
      <c r="B712" s="14" t="s">
        <v>68</v>
      </c>
      <c r="C712" s="14"/>
      <c r="D712" s="14" t="s">
        <v>211</v>
      </c>
      <c r="E712" s="14" t="s">
        <v>212</v>
      </c>
      <c r="F712" s="14" t="s">
        <v>135</v>
      </c>
      <c r="G712" s="14" t="s">
        <v>68</v>
      </c>
      <c r="H712" s="14" t="s">
        <v>68</v>
      </c>
      <c r="I712" s="14" t="s">
        <v>68</v>
      </c>
      <c r="J712" s="14" t="s">
        <v>201</v>
      </c>
      <c r="K712" s="14" t="s">
        <v>68</v>
      </c>
      <c r="L712" s="14" t="s">
        <v>68</v>
      </c>
      <c r="M712" s="14"/>
      <c r="N712" s="14"/>
      <c r="O712" s="15"/>
      <c r="P712" s="15"/>
      <c r="Q712" s="15"/>
      <c r="R712" s="15"/>
      <c r="S712" s="15"/>
      <c r="T712" s="15"/>
      <c r="U712" s="15"/>
      <c r="V712" s="15"/>
      <c r="W712" s="15"/>
    </row>
    <row r="713" spans="1:23" ht="45" x14ac:dyDescent="0.25">
      <c r="A713" s="14" t="s">
        <v>1007</v>
      </c>
      <c r="B713" s="14" t="s">
        <v>68</v>
      </c>
      <c r="C713" s="14"/>
      <c r="D713" s="14" t="s">
        <v>241</v>
      </c>
      <c r="E713" s="14" t="s">
        <v>236</v>
      </c>
      <c r="F713" s="14" t="s">
        <v>452</v>
      </c>
      <c r="G713" s="14" t="s">
        <v>68</v>
      </c>
      <c r="H713" s="14" t="s">
        <v>68</v>
      </c>
      <c r="I713" s="14" t="s">
        <v>68</v>
      </c>
      <c r="J713" s="14" t="s">
        <v>201</v>
      </c>
      <c r="K713" s="14" t="s">
        <v>68</v>
      </c>
      <c r="L713" s="14" t="s">
        <v>68</v>
      </c>
      <c r="M713" s="14"/>
      <c r="N713" s="14"/>
      <c r="O713" s="15"/>
      <c r="P713" s="15"/>
      <c r="Q713" s="15"/>
      <c r="R713" s="15"/>
      <c r="S713" s="15"/>
      <c r="T713" s="15"/>
      <c r="U713" s="15"/>
      <c r="V713" s="15"/>
      <c r="W713" s="15"/>
    </row>
    <row r="714" spans="1:23" ht="45" x14ac:dyDescent="0.25">
      <c r="A714" s="14" t="s">
        <v>1008</v>
      </c>
      <c r="B714" s="14" t="s">
        <v>68</v>
      </c>
      <c r="C714" s="14"/>
      <c r="D714" s="14" t="s">
        <v>238</v>
      </c>
      <c r="E714" s="14" t="s">
        <v>239</v>
      </c>
      <c r="F714" s="14" t="s">
        <v>68</v>
      </c>
      <c r="G714" s="14" t="s">
        <v>68</v>
      </c>
      <c r="H714" s="14" t="s">
        <v>68</v>
      </c>
      <c r="I714" s="14" t="s">
        <v>68</v>
      </c>
      <c r="J714" s="14" t="s">
        <v>68</v>
      </c>
      <c r="K714" s="14" t="s">
        <v>68</v>
      </c>
      <c r="L714" s="14" t="s">
        <v>68</v>
      </c>
      <c r="M714" s="14"/>
      <c r="N714" s="14"/>
      <c r="O714" s="15"/>
      <c r="P714" s="15"/>
      <c r="Q714" s="15"/>
      <c r="R714" s="15"/>
      <c r="S714" s="15"/>
      <c r="T714" s="15"/>
      <c r="U714" s="15"/>
      <c r="V714" s="15"/>
      <c r="W714" s="15"/>
    </row>
    <row r="715" spans="1:23" ht="45" x14ac:dyDescent="0.25">
      <c r="A715" s="14" t="s">
        <v>1009</v>
      </c>
      <c r="B715" s="14" t="s">
        <v>68</v>
      </c>
      <c r="C715" s="14"/>
      <c r="D715" s="14" t="s">
        <v>328</v>
      </c>
      <c r="E715" s="14" t="s">
        <v>296</v>
      </c>
      <c r="F715" s="14" t="s">
        <v>68</v>
      </c>
      <c r="G715" s="14" t="s">
        <v>68</v>
      </c>
      <c r="H715" s="14" t="s">
        <v>68</v>
      </c>
      <c r="I715" s="14" t="s">
        <v>68</v>
      </c>
      <c r="J715" s="14" t="s">
        <v>68</v>
      </c>
      <c r="K715" s="14" t="s">
        <v>68</v>
      </c>
      <c r="L715" s="14" t="s">
        <v>68</v>
      </c>
      <c r="M715" s="14"/>
      <c r="N715" s="14"/>
      <c r="O715" s="15"/>
      <c r="P715" s="15"/>
      <c r="Q715" s="15"/>
      <c r="R715" s="15"/>
      <c r="S715" s="15"/>
      <c r="T715" s="15"/>
      <c r="U715" s="15"/>
      <c r="V715" s="15"/>
      <c r="W715" s="15"/>
    </row>
    <row r="716" spans="1:23" ht="45" x14ac:dyDescent="0.25">
      <c r="A716" s="14" t="s">
        <v>1010</v>
      </c>
      <c r="B716" s="14" t="s">
        <v>68</v>
      </c>
      <c r="C716" s="14"/>
      <c r="D716" s="14" t="s">
        <v>515</v>
      </c>
      <c r="E716" s="14" t="s">
        <v>516</v>
      </c>
      <c r="F716" s="14" t="s">
        <v>68</v>
      </c>
      <c r="G716" s="14" t="s">
        <v>68</v>
      </c>
      <c r="H716" s="14" t="s">
        <v>68</v>
      </c>
      <c r="I716" s="14" t="s">
        <v>68</v>
      </c>
      <c r="J716" s="14" t="s">
        <v>68</v>
      </c>
      <c r="K716" s="14" t="s">
        <v>68</v>
      </c>
      <c r="L716" s="14" t="s">
        <v>68</v>
      </c>
      <c r="M716" s="14"/>
      <c r="N716" s="14"/>
      <c r="O716" s="15"/>
      <c r="P716" s="15"/>
      <c r="Q716" s="15"/>
      <c r="R716" s="15"/>
      <c r="S716" s="15"/>
      <c r="T716" s="15"/>
      <c r="U716" s="15"/>
      <c r="V716" s="15"/>
      <c r="W716" s="15"/>
    </row>
    <row r="717" spans="1:23" ht="45" x14ac:dyDescent="0.25">
      <c r="A717" s="14" t="s">
        <v>1011</v>
      </c>
      <c r="B717" s="14" t="s">
        <v>68</v>
      </c>
      <c r="C717" s="14"/>
      <c r="D717" s="14" t="s">
        <v>219</v>
      </c>
      <c r="E717" s="14" t="s">
        <v>220</v>
      </c>
      <c r="F717" s="14" t="s">
        <v>68</v>
      </c>
      <c r="G717" s="14" t="s">
        <v>125</v>
      </c>
      <c r="H717" s="14" t="s">
        <v>68</v>
      </c>
      <c r="I717" s="14" t="s">
        <v>68</v>
      </c>
      <c r="J717" s="14" t="s">
        <v>201</v>
      </c>
      <c r="K717" s="14" t="s">
        <v>68</v>
      </c>
      <c r="L717" s="14" t="s">
        <v>68</v>
      </c>
      <c r="M717" s="14"/>
      <c r="N717" s="14"/>
      <c r="O717" s="15"/>
      <c r="P717" s="15"/>
      <c r="Q717" s="15"/>
      <c r="R717" s="15"/>
      <c r="S717" s="15"/>
      <c r="T717" s="15"/>
      <c r="U717" s="15"/>
      <c r="V717" s="15"/>
      <c r="W717" s="15"/>
    </row>
    <row r="718" spans="1:23" ht="45" x14ac:dyDescent="0.25">
      <c r="A718" s="14" t="s">
        <v>1012</v>
      </c>
      <c r="B718" s="14" t="s">
        <v>68</v>
      </c>
      <c r="C718" s="14"/>
      <c r="D718" s="14" t="s">
        <v>199</v>
      </c>
      <c r="E718" s="14" t="s">
        <v>68</v>
      </c>
      <c r="F718" s="14" t="s">
        <v>68</v>
      </c>
      <c r="G718" s="14" t="s">
        <v>78</v>
      </c>
      <c r="H718" s="14" t="s">
        <v>68</v>
      </c>
      <c r="I718" s="14" t="s">
        <v>68</v>
      </c>
      <c r="J718" s="14" t="s">
        <v>201</v>
      </c>
      <c r="K718" s="14" t="s">
        <v>68</v>
      </c>
      <c r="L718" s="14" t="s">
        <v>68</v>
      </c>
      <c r="M718" s="14"/>
      <c r="N718" s="14"/>
      <c r="O718" s="15"/>
      <c r="P718" s="15"/>
      <c r="Q718" s="15"/>
      <c r="R718" s="15"/>
      <c r="S718" s="15"/>
      <c r="T718" s="15"/>
      <c r="U718" s="15"/>
      <c r="V718" s="15"/>
      <c r="W718" s="15"/>
    </row>
    <row r="719" spans="1:23" ht="45" x14ac:dyDescent="0.25">
      <c r="A719" s="14" t="s">
        <v>1013</v>
      </c>
      <c r="B719" s="14" t="s">
        <v>68</v>
      </c>
      <c r="C719" s="14"/>
      <c r="D719" s="14" t="s">
        <v>381</v>
      </c>
      <c r="E719" s="14" t="s">
        <v>280</v>
      </c>
      <c r="F719" s="14" t="s">
        <v>68</v>
      </c>
      <c r="G719" s="14" t="s">
        <v>68</v>
      </c>
      <c r="H719" s="14" t="s">
        <v>68</v>
      </c>
      <c r="I719" s="14" t="s">
        <v>68</v>
      </c>
      <c r="J719" s="14" t="s">
        <v>68</v>
      </c>
      <c r="K719" s="14" t="s">
        <v>68</v>
      </c>
      <c r="L719" s="14" t="s">
        <v>68</v>
      </c>
      <c r="M719" s="14"/>
      <c r="N719" s="14"/>
      <c r="O719" s="15"/>
      <c r="P719" s="15"/>
      <c r="Q719" s="15"/>
      <c r="R719" s="15"/>
      <c r="S719" s="15"/>
      <c r="T719" s="15"/>
      <c r="U719" s="15"/>
      <c r="V719" s="15"/>
      <c r="W719" s="15"/>
    </row>
    <row r="720" spans="1:23" ht="45" x14ac:dyDescent="0.25">
      <c r="A720" s="14" t="s">
        <v>1014</v>
      </c>
      <c r="B720" s="14" t="s">
        <v>68</v>
      </c>
      <c r="C720" s="14"/>
      <c r="D720" s="14" t="s">
        <v>232</v>
      </c>
      <c r="E720" s="14" t="s">
        <v>209</v>
      </c>
      <c r="F720" s="14" t="s">
        <v>68</v>
      </c>
      <c r="G720" s="14" t="s">
        <v>68</v>
      </c>
      <c r="H720" s="14" t="s">
        <v>68</v>
      </c>
      <c r="I720" s="14" t="s">
        <v>68</v>
      </c>
      <c r="J720" s="14" t="s">
        <v>68</v>
      </c>
      <c r="K720" s="14" t="s">
        <v>68</v>
      </c>
      <c r="L720" s="14" t="s">
        <v>68</v>
      </c>
      <c r="M720" s="14"/>
      <c r="N720" s="14"/>
      <c r="O720" s="15"/>
      <c r="P720" s="15"/>
      <c r="Q720" s="15"/>
      <c r="R720" s="15"/>
      <c r="S720" s="15"/>
      <c r="T720" s="15"/>
      <c r="U720" s="15"/>
      <c r="V720" s="15"/>
      <c r="W720" s="15"/>
    </row>
    <row r="721" spans="1:23" ht="45" x14ac:dyDescent="0.25">
      <c r="A721" s="14" t="s">
        <v>1015</v>
      </c>
      <c r="B721" s="14" t="s">
        <v>68</v>
      </c>
      <c r="C721" s="14"/>
      <c r="D721" s="14" t="s">
        <v>219</v>
      </c>
      <c r="E721" s="14" t="s">
        <v>220</v>
      </c>
      <c r="F721" s="14" t="s">
        <v>68</v>
      </c>
      <c r="G721" s="14" t="s">
        <v>125</v>
      </c>
      <c r="H721" s="14" t="s">
        <v>68</v>
      </c>
      <c r="I721" s="14" t="s">
        <v>68</v>
      </c>
      <c r="J721" s="14" t="s">
        <v>201</v>
      </c>
      <c r="K721" s="14" t="s">
        <v>68</v>
      </c>
      <c r="L721" s="14" t="s">
        <v>68</v>
      </c>
      <c r="M721" s="14"/>
      <c r="N721" s="14"/>
      <c r="O721" s="15"/>
      <c r="P721" s="15"/>
      <c r="Q721" s="15"/>
      <c r="R721" s="15"/>
      <c r="S721" s="15"/>
      <c r="T721" s="15"/>
      <c r="U721" s="15"/>
      <c r="V721" s="15"/>
      <c r="W721" s="15"/>
    </row>
    <row r="722" spans="1:23" ht="45" x14ac:dyDescent="0.25">
      <c r="A722" s="14" t="s">
        <v>1016</v>
      </c>
      <c r="B722" s="14" t="s">
        <v>68</v>
      </c>
      <c r="C722" s="14"/>
      <c r="D722" s="14" t="s">
        <v>232</v>
      </c>
      <c r="E722" s="14" t="s">
        <v>209</v>
      </c>
      <c r="F722" s="14" t="s">
        <v>68</v>
      </c>
      <c r="G722" s="14" t="s">
        <v>68</v>
      </c>
      <c r="H722" s="14" t="s">
        <v>68</v>
      </c>
      <c r="I722" s="14" t="s">
        <v>68</v>
      </c>
      <c r="J722" s="14" t="s">
        <v>68</v>
      </c>
      <c r="K722" s="14" t="s">
        <v>68</v>
      </c>
      <c r="L722" s="14" t="s">
        <v>68</v>
      </c>
      <c r="M722" s="14"/>
      <c r="N722" s="14"/>
      <c r="O722" s="15"/>
      <c r="P722" s="15"/>
      <c r="Q722" s="15"/>
      <c r="R722" s="15"/>
      <c r="S722" s="15"/>
      <c r="T722" s="15"/>
      <c r="U722" s="15"/>
      <c r="V722" s="15"/>
      <c r="W722" s="15"/>
    </row>
    <row r="723" spans="1:23" ht="45" x14ac:dyDescent="0.25">
      <c r="A723" s="14" t="s">
        <v>1017</v>
      </c>
      <c r="B723" s="14" t="s">
        <v>68</v>
      </c>
      <c r="C723" s="14"/>
      <c r="D723" s="14" t="s">
        <v>199</v>
      </c>
      <c r="E723" s="14" t="s">
        <v>68</v>
      </c>
      <c r="F723" s="14" t="s">
        <v>68</v>
      </c>
      <c r="G723" s="14" t="s">
        <v>162</v>
      </c>
      <c r="H723" s="14" t="s">
        <v>68</v>
      </c>
      <c r="I723" s="14" t="s">
        <v>68</v>
      </c>
      <c r="J723" s="14" t="s">
        <v>68</v>
      </c>
      <c r="K723" s="14" t="s">
        <v>68</v>
      </c>
      <c r="L723" s="14" t="s">
        <v>68</v>
      </c>
      <c r="M723" s="14"/>
      <c r="N723" s="14"/>
      <c r="O723" s="15"/>
      <c r="P723" s="15"/>
      <c r="Q723" s="15"/>
      <c r="R723" s="15"/>
      <c r="S723" s="15"/>
      <c r="T723" s="15"/>
      <c r="U723" s="15"/>
      <c r="V723" s="15"/>
      <c r="W723" s="15"/>
    </row>
    <row r="724" spans="1:23" ht="45" x14ac:dyDescent="0.25">
      <c r="A724" s="14" t="s">
        <v>1018</v>
      </c>
      <c r="B724" s="14" t="s">
        <v>68</v>
      </c>
      <c r="C724" s="14"/>
      <c r="D724" s="14" t="s">
        <v>199</v>
      </c>
      <c r="E724" s="14" t="s">
        <v>68</v>
      </c>
      <c r="F724" s="14" t="s">
        <v>68</v>
      </c>
      <c r="G724" s="14" t="s">
        <v>162</v>
      </c>
      <c r="H724" s="14" t="s">
        <v>68</v>
      </c>
      <c r="I724" s="14" t="s">
        <v>68</v>
      </c>
      <c r="J724" s="14" t="s">
        <v>68</v>
      </c>
      <c r="K724" s="14" t="s">
        <v>68</v>
      </c>
      <c r="L724" s="14" t="s">
        <v>68</v>
      </c>
      <c r="M724" s="14"/>
      <c r="N724" s="14"/>
      <c r="O724" s="15"/>
      <c r="P724" s="15"/>
      <c r="Q724" s="15"/>
      <c r="R724" s="15"/>
      <c r="S724" s="15"/>
      <c r="T724" s="15"/>
      <c r="U724" s="15"/>
      <c r="V724" s="15"/>
      <c r="W724" s="15"/>
    </row>
    <row r="725" spans="1:23" ht="45" x14ac:dyDescent="0.25">
      <c r="A725" s="14" t="s">
        <v>1019</v>
      </c>
      <c r="B725" s="14" t="s">
        <v>68</v>
      </c>
      <c r="C725" s="14"/>
      <c r="D725" s="14" t="s">
        <v>211</v>
      </c>
      <c r="E725" s="14" t="s">
        <v>212</v>
      </c>
      <c r="F725" s="14" t="s">
        <v>135</v>
      </c>
      <c r="G725" s="14" t="s">
        <v>68</v>
      </c>
      <c r="H725" s="14" t="s">
        <v>68</v>
      </c>
      <c r="I725" s="14" t="s">
        <v>68</v>
      </c>
      <c r="J725" s="14" t="s">
        <v>201</v>
      </c>
      <c r="K725" s="14" t="s">
        <v>68</v>
      </c>
      <c r="L725" s="14" t="s">
        <v>68</v>
      </c>
      <c r="M725" s="14"/>
      <c r="N725" s="14"/>
      <c r="O725" s="15"/>
      <c r="P725" s="15"/>
      <c r="Q725" s="15"/>
      <c r="R725" s="15"/>
      <c r="S725" s="15"/>
      <c r="T725" s="15"/>
      <c r="U725" s="15"/>
      <c r="V725" s="15"/>
      <c r="W725" s="15"/>
    </row>
    <row r="726" spans="1:23" ht="45" x14ac:dyDescent="0.25">
      <c r="A726" s="14" t="s">
        <v>1020</v>
      </c>
      <c r="B726" s="14" t="s">
        <v>68</v>
      </c>
      <c r="C726" s="14"/>
      <c r="D726" s="14" t="s">
        <v>199</v>
      </c>
      <c r="E726" s="14" t="s">
        <v>68</v>
      </c>
      <c r="F726" s="14" t="s">
        <v>68</v>
      </c>
      <c r="G726" s="14" t="s">
        <v>130</v>
      </c>
      <c r="H726" s="14" t="s">
        <v>68</v>
      </c>
      <c r="I726" s="14" t="s">
        <v>68</v>
      </c>
      <c r="J726" s="14" t="s">
        <v>201</v>
      </c>
      <c r="K726" s="14" t="s">
        <v>68</v>
      </c>
      <c r="L726" s="14" t="s">
        <v>68</v>
      </c>
      <c r="M726" s="14"/>
      <c r="N726" s="14"/>
      <c r="O726" s="15"/>
      <c r="P726" s="15"/>
      <c r="Q726" s="15"/>
      <c r="R726" s="15"/>
      <c r="S726" s="15"/>
      <c r="T726" s="15"/>
      <c r="U726" s="15"/>
      <c r="V726" s="15"/>
      <c r="W726" s="15"/>
    </row>
    <row r="727" spans="1:23" ht="45" x14ac:dyDescent="0.25">
      <c r="A727" s="14" t="s">
        <v>1021</v>
      </c>
      <c r="B727" s="14" t="s">
        <v>68</v>
      </c>
      <c r="C727" s="14"/>
      <c r="D727" s="14" t="s">
        <v>328</v>
      </c>
      <c r="E727" s="14" t="s">
        <v>296</v>
      </c>
      <c r="F727" s="14" t="s">
        <v>68</v>
      </c>
      <c r="G727" s="14" t="s">
        <v>68</v>
      </c>
      <c r="H727" s="14" t="s">
        <v>68</v>
      </c>
      <c r="I727" s="14" t="s">
        <v>68</v>
      </c>
      <c r="J727" s="14" t="s">
        <v>68</v>
      </c>
      <c r="K727" s="14" t="s">
        <v>68</v>
      </c>
      <c r="L727" s="14" t="s">
        <v>68</v>
      </c>
      <c r="M727" s="14"/>
      <c r="N727" s="14"/>
      <c r="O727" s="15"/>
      <c r="P727" s="15"/>
      <c r="Q727" s="15"/>
      <c r="R727" s="15"/>
      <c r="S727" s="15"/>
      <c r="T727" s="15"/>
      <c r="U727" s="15"/>
      <c r="V727" s="15"/>
      <c r="W727" s="15"/>
    </row>
    <row r="728" spans="1:23" ht="45" x14ac:dyDescent="0.25">
      <c r="A728" s="14" t="s">
        <v>1022</v>
      </c>
      <c r="B728" s="14" t="s">
        <v>68</v>
      </c>
      <c r="C728" s="14"/>
      <c r="D728" s="14" t="s">
        <v>199</v>
      </c>
      <c r="E728" s="14" t="s">
        <v>68</v>
      </c>
      <c r="F728" s="14" t="s">
        <v>68</v>
      </c>
      <c r="G728" s="14" t="s">
        <v>78</v>
      </c>
      <c r="H728" s="14" t="s">
        <v>68</v>
      </c>
      <c r="I728" s="14" t="s">
        <v>68</v>
      </c>
      <c r="J728" s="14" t="s">
        <v>201</v>
      </c>
      <c r="K728" s="14" t="s">
        <v>68</v>
      </c>
      <c r="L728" s="14" t="s">
        <v>68</v>
      </c>
      <c r="M728" s="14"/>
      <c r="N728" s="14"/>
      <c r="O728" s="15"/>
      <c r="P728" s="15"/>
      <c r="Q728" s="15"/>
      <c r="R728" s="15"/>
      <c r="S728" s="15"/>
      <c r="T728" s="15"/>
      <c r="U728" s="15"/>
      <c r="V728" s="15"/>
      <c r="W728" s="15"/>
    </row>
    <row r="729" spans="1:23" ht="45" x14ac:dyDescent="0.25">
      <c r="A729" s="14" t="s">
        <v>1023</v>
      </c>
      <c r="B729" s="14" t="s">
        <v>68</v>
      </c>
      <c r="C729" s="14"/>
      <c r="D729" s="14" t="s">
        <v>219</v>
      </c>
      <c r="E729" s="14" t="s">
        <v>220</v>
      </c>
      <c r="F729" s="14" t="s">
        <v>68</v>
      </c>
      <c r="G729" s="14" t="s">
        <v>125</v>
      </c>
      <c r="H729" s="14" t="s">
        <v>68</v>
      </c>
      <c r="I729" s="14" t="s">
        <v>68</v>
      </c>
      <c r="J729" s="14" t="s">
        <v>201</v>
      </c>
      <c r="K729" s="14" t="s">
        <v>68</v>
      </c>
      <c r="L729" s="14" t="s">
        <v>68</v>
      </c>
      <c r="M729" s="14"/>
      <c r="N729" s="14"/>
      <c r="O729" s="15"/>
      <c r="P729" s="15"/>
      <c r="Q729" s="15"/>
      <c r="R729" s="15"/>
      <c r="S729" s="15"/>
      <c r="T729" s="15"/>
      <c r="U729" s="15"/>
      <c r="V729" s="15"/>
      <c r="W729" s="15"/>
    </row>
    <row r="730" spans="1:23" ht="45" x14ac:dyDescent="0.25">
      <c r="A730" s="14" t="s">
        <v>1024</v>
      </c>
      <c r="B730" s="14" t="s">
        <v>68</v>
      </c>
      <c r="C730" s="14"/>
      <c r="D730" s="14" t="s">
        <v>246</v>
      </c>
      <c r="E730" s="14" t="s">
        <v>247</v>
      </c>
      <c r="F730" s="14" t="s">
        <v>68</v>
      </c>
      <c r="G730" s="14" t="s">
        <v>102</v>
      </c>
      <c r="H730" s="14" t="s">
        <v>68</v>
      </c>
      <c r="I730" s="14" t="s">
        <v>68</v>
      </c>
      <c r="J730" s="14" t="s">
        <v>102</v>
      </c>
      <c r="K730" s="14" t="s">
        <v>68</v>
      </c>
      <c r="L730" s="14" t="s">
        <v>68</v>
      </c>
      <c r="M730" s="14"/>
      <c r="N730" s="14"/>
      <c r="O730" s="15"/>
      <c r="P730" s="15"/>
      <c r="Q730" s="15"/>
      <c r="R730" s="15"/>
      <c r="S730" s="15"/>
      <c r="T730" s="15"/>
      <c r="U730" s="15"/>
      <c r="V730" s="15"/>
      <c r="W730" s="15"/>
    </row>
    <row r="731" spans="1:23" ht="45" x14ac:dyDescent="0.25">
      <c r="A731" s="14" t="s">
        <v>1025</v>
      </c>
      <c r="B731" s="14" t="s">
        <v>68</v>
      </c>
      <c r="C731" s="14"/>
      <c r="D731" s="14" t="s">
        <v>199</v>
      </c>
      <c r="E731" s="14" t="s">
        <v>68</v>
      </c>
      <c r="F731" s="14" t="s">
        <v>68</v>
      </c>
      <c r="G731" s="14" t="s">
        <v>68</v>
      </c>
      <c r="H731" s="14" t="s">
        <v>68</v>
      </c>
      <c r="I731" s="14" t="s">
        <v>68</v>
      </c>
      <c r="J731" s="14" t="s">
        <v>68</v>
      </c>
      <c r="K731" s="14" t="s">
        <v>68</v>
      </c>
      <c r="L731" s="14" t="s">
        <v>68</v>
      </c>
      <c r="M731" s="14"/>
      <c r="N731" s="14"/>
      <c r="O731" s="15"/>
      <c r="P731" s="15"/>
      <c r="Q731" s="15"/>
      <c r="R731" s="15"/>
      <c r="S731" s="15"/>
      <c r="T731" s="15"/>
      <c r="U731" s="15"/>
      <c r="V731" s="15"/>
      <c r="W731" s="15"/>
    </row>
    <row r="732" spans="1:23" ht="45" x14ac:dyDescent="0.25">
      <c r="A732" s="14" t="s">
        <v>1026</v>
      </c>
      <c r="B732" s="14" t="s">
        <v>68</v>
      </c>
      <c r="C732" s="14"/>
      <c r="D732" s="14" t="s">
        <v>241</v>
      </c>
      <c r="E732" s="14" t="s">
        <v>236</v>
      </c>
      <c r="F732" s="14" t="s">
        <v>242</v>
      </c>
      <c r="G732" s="14" t="s">
        <v>68</v>
      </c>
      <c r="H732" s="14" t="s">
        <v>68</v>
      </c>
      <c r="I732" s="14" t="s">
        <v>68</v>
      </c>
      <c r="J732" s="14" t="s">
        <v>201</v>
      </c>
      <c r="K732" s="14" t="s">
        <v>68</v>
      </c>
      <c r="L732" s="14" t="s">
        <v>68</v>
      </c>
      <c r="M732" s="14"/>
      <c r="N732" s="14"/>
      <c r="O732" s="15"/>
      <c r="P732" s="15"/>
      <c r="Q732" s="15"/>
      <c r="R732" s="15"/>
      <c r="S732" s="15"/>
      <c r="T732" s="15"/>
      <c r="U732" s="15"/>
      <c r="V732" s="15"/>
      <c r="W732" s="15"/>
    </row>
    <row r="733" spans="1:23" ht="45" x14ac:dyDescent="0.25">
      <c r="A733" s="14" t="s">
        <v>1027</v>
      </c>
      <c r="B733" s="14" t="s">
        <v>68</v>
      </c>
      <c r="C733" s="14"/>
      <c r="D733" s="14" t="s">
        <v>328</v>
      </c>
      <c r="E733" s="14" t="s">
        <v>296</v>
      </c>
      <c r="F733" s="14" t="s">
        <v>68</v>
      </c>
      <c r="G733" s="14" t="s">
        <v>68</v>
      </c>
      <c r="H733" s="14" t="s">
        <v>68</v>
      </c>
      <c r="I733" s="14" t="s">
        <v>68</v>
      </c>
      <c r="J733" s="14" t="s">
        <v>68</v>
      </c>
      <c r="K733" s="14" t="s">
        <v>68</v>
      </c>
      <c r="L733" s="14" t="s">
        <v>68</v>
      </c>
      <c r="M733" s="14"/>
      <c r="N733" s="14"/>
      <c r="O733" s="15"/>
      <c r="P733" s="15"/>
      <c r="Q733" s="15"/>
      <c r="R733" s="15"/>
      <c r="S733" s="15"/>
      <c r="T733" s="15"/>
      <c r="U733" s="15"/>
      <c r="V733" s="15"/>
      <c r="W733" s="15"/>
    </row>
    <row r="734" spans="1:23" ht="45" x14ac:dyDescent="0.25">
      <c r="A734" s="14" t="s">
        <v>1028</v>
      </c>
      <c r="B734" s="14" t="s">
        <v>68</v>
      </c>
      <c r="C734" s="14"/>
      <c r="D734" s="14" t="s">
        <v>211</v>
      </c>
      <c r="E734" s="14" t="s">
        <v>212</v>
      </c>
      <c r="F734" s="14" t="s">
        <v>172</v>
      </c>
      <c r="G734" s="14" t="s">
        <v>68</v>
      </c>
      <c r="H734" s="14" t="s">
        <v>68</v>
      </c>
      <c r="I734" s="14" t="s">
        <v>68</v>
      </c>
      <c r="J734" s="14" t="s">
        <v>201</v>
      </c>
      <c r="K734" s="14" t="s">
        <v>68</v>
      </c>
      <c r="L734" s="14" t="s">
        <v>68</v>
      </c>
      <c r="M734" s="14"/>
      <c r="N734" s="14"/>
      <c r="O734" s="15"/>
      <c r="P734" s="15"/>
      <c r="Q734" s="15"/>
      <c r="R734" s="15"/>
      <c r="S734" s="15"/>
      <c r="T734" s="15"/>
      <c r="U734" s="15"/>
      <c r="V734" s="15"/>
      <c r="W734" s="15"/>
    </row>
    <row r="735" spans="1:23" ht="30" x14ac:dyDescent="0.25">
      <c r="A735" s="14" t="s">
        <v>1029</v>
      </c>
      <c r="B735" s="14" t="s">
        <v>1030</v>
      </c>
      <c r="C735" s="14"/>
      <c r="D735" s="14" t="s">
        <v>68</v>
      </c>
      <c r="E735" s="14" t="s">
        <v>68</v>
      </c>
      <c r="F735" s="14" t="s">
        <v>102</v>
      </c>
      <c r="G735" s="14" t="s">
        <v>68</v>
      </c>
      <c r="H735" s="14" t="s">
        <v>102</v>
      </c>
      <c r="I735" s="14" t="s">
        <v>103</v>
      </c>
      <c r="J735" s="14" t="s">
        <v>104</v>
      </c>
      <c r="K735" s="14" t="s">
        <v>110</v>
      </c>
      <c r="L735" s="14" t="s">
        <v>1031</v>
      </c>
      <c r="M735" s="14"/>
      <c r="N735" s="14"/>
      <c r="O735" s="16">
        <v>40841</v>
      </c>
      <c r="P735" s="16">
        <v>40862.613240740742</v>
      </c>
      <c r="Q735" s="16">
        <v>40869.586817129632</v>
      </c>
      <c r="R735" s="16">
        <v>40904.52380787037</v>
      </c>
      <c r="S735" s="16">
        <v>40906.372986111113</v>
      </c>
      <c r="T735" s="15"/>
      <c r="U735" s="17">
        <v>409</v>
      </c>
      <c r="V735" s="17">
        <v>22371</v>
      </c>
      <c r="W735" s="15"/>
    </row>
    <row r="736" spans="1:23" ht="45" x14ac:dyDescent="0.25">
      <c r="A736" s="14" t="s">
        <v>1032</v>
      </c>
      <c r="B736" s="14" t="s">
        <v>1033</v>
      </c>
      <c r="C736" s="14"/>
      <c r="D736" s="14" t="s">
        <v>246</v>
      </c>
      <c r="E736" s="14" t="s">
        <v>247</v>
      </c>
      <c r="F736" s="14" t="s">
        <v>68</v>
      </c>
      <c r="G736" s="14" t="s">
        <v>88</v>
      </c>
      <c r="H736" s="14" t="s">
        <v>105</v>
      </c>
      <c r="I736" s="14" t="s">
        <v>106</v>
      </c>
      <c r="J736" s="14" t="s">
        <v>104</v>
      </c>
      <c r="K736" s="14" t="s">
        <v>1034</v>
      </c>
      <c r="L736" s="14" t="s">
        <v>119</v>
      </c>
      <c r="M736" s="14"/>
      <c r="N736" s="14"/>
      <c r="O736" s="16">
        <v>40905.541666666664</v>
      </c>
      <c r="P736" s="16">
        <v>40920.522511574076</v>
      </c>
      <c r="Q736" s="16">
        <v>40925.485000000001</v>
      </c>
      <c r="R736" s="16">
        <v>40947.626817129632</v>
      </c>
      <c r="S736" s="15"/>
      <c r="T736" s="15"/>
      <c r="U736" s="17">
        <v>4514</v>
      </c>
      <c r="V736" s="17">
        <v>108553</v>
      </c>
      <c r="W736" s="15"/>
    </row>
    <row r="737" spans="1:23" ht="60" x14ac:dyDescent="0.25">
      <c r="A737" s="14" t="s">
        <v>1035</v>
      </c>
      <c r="B737" s="14" t="s">
        <v>1036</v>
      </c>
      <c r="C737" s="14"/>
      <c r="D737" s="14" t="s">
        <v>208</v>
      </c>
      <c r="E737" s="14" t="s">
        <v>209</v>
      </c>
      <c r="F737" s="14" t="s">
        <v>68</v>
      </c>
      <c r="G737" s="14" t="s">
        <v>148</v>
      </c>
      <c r="H737" s="14" t="s">
        <v>138</v>
      </c>
      <c r="I737" s="14" t="s">
        <v>137</v>
      </c>
      <c r="J737" s="14" t="s">
        <v>104</v>
      </c>
      <c r="K737" s="14" t="s">
        <v>110</v>
      </c>
      <c r="L737" s="14" t="s">
        <v>119</v>
      </c>
      <c r="M737" s="14"/>
      <c r="N737" s="14"/>
      <c r="O737" s="16">
        <v>40849.375</v>
      </c>
      <c r="P737" s="16">
        <v>40884.708414351851</v>
      </c>
      <c r="Q737" s="16">
        <v>40885.380104166667</v>
      </c>
      <c r="R737" s="16">
        <v>40934.321620370371</v>
      </c>
      <c r="S737" s="16">
        <v>40942.681030092594</v>
      </c>
      <c r="T737" s="15"/>
      <c r="U737" s="17">
        <v>2561</v>
      </c>
      <c r="V737" s="17">
        <v>53143</v>
      </c>
      <c r="W737" s="15"/>
    </row>
    <row r="738" spans="1:23" ht="45" x14ac:dyDescent="0.25">
      <c r="A738" s="14" t="s">
        <v>1037</v>
      </c>
      <c r="B738" s="14" t="s">
        <v>1038</v>
      </c>
      <c r="C738" s="14"/>
      <c r="D738" s="14" t="s">
        <v>204</v>
      </c>
      <c r="E738" s="14" t="s">
        <v>205</v>
      </c>
      <c r="F738" s="14" t="s">
        <v>68</v>
      </c>
      <c r="G738" s="14" t="s">
        <v>68</v>
      </c>
      <c r="H738" s="14" t="s">
        <v>160</v>
      </c>
      <c r="I738" s="14" t="s">
        <v>164</v>
      </c>
      <c r="J738" s="14" t="s">
        <v>115</v>
      </c>
      <c r="K738" s="14" t="s">
        <v>110</v>
      </c>
      <c r="L738" s="14" t="s">
        <v>119</v>
      </c>
      <c r="M738" s="14"/>
      <c r="N738" s="14"/>
      <c r="O738" s="16">
        <v>40870.541666666664</v>
      </c>
      <c r="P738" s="16">
        <v>40904.681180555555</v>
      </c>
      <c r="Q738" s="16">
        <v>40911.433148148149</v>
      </c>
      <c r="R738" s="16">
        <v>40935.367708333331</v>
      </c>
      <c r="S738" s="16">
        <v>40946.553020833337</v>
      </c>
      <c r="T738" s="15"/>
      <c r="U738" s="17">
        <v>2720</v>
      </c>
      <c r="V738" s="17">
        <v>30479</v>
      </c>
      <c r="W738" s="15"/>
    </row>
    <row r="739" spans="1:23" ht="45" x14ac:dyDescent="0.25">
      <c r="A739" s="14" t="s">
        <v>1039</v>
      </c>
      <c r="B739" s="14" t="s">
        <v>1040</v>
      </c>
      <c r="C739" s="14"/>
      <c r="D739" s="14" t="s">
        <v>229</v>
      </c>
      <c r="E739" s="14" t="s">
        <v>230</v>
      </c>
      <c r="F739" s="14" t="s">
        <v>68</v>
      </c>
      <c r="G739" s="14" t="s">
        <v>612</v>
      </c>
      <c r="H739" s="14" t="s">
        <v>93</v>
      </c>
      <c r="I739" s="14" t="s">
        <v>150</v>
      </c>
      <c r="J739" s="14" t="s">
        <v>124</v>
      </c>
      <c r="K739" s="14" t="s">
        <v>1034</v>
      </c>
      <c r="L739" s="14" t="s">
        <v>143</v>
      </c>
      <c r="M739" s="14"/>
      <c r="N739" s="14"/>
      <c r="O739" s="16">
        <v>40849.375</v>
      </c>
      <c r="P739" s="16">
        <v>40876.700682870367</v>
      </c>
      <c r="Q739" s="16">
        <v>40886.488761574074</v>
      </c>
      <c r="R739" s="16">
        <v>40945.607361111113</v>
      </c>
      <c r="S739" s="15"/>
      <c r="T739" s="15"/>
      <c r="U739" s="17">
        <v>3276</v>
      </c>
      <c r="V739" s="17">
        <v>91349</v>
      </c>
      <c r="W739" s="15"/>
    </row>
    <row r="740" spans="1:23" ht="45" x14ac:dyDescent="0.25">
      <c r="A740" s="14" t="s">
        <v>1041</v>
      </c>
      <c r="B740" s="14" t="s">
        <v>1042</v>
      </c>
      <c r="C740" s="14"/>
      <c r="D740" s="14" t="s">
        <v>328</v>
      </c>
      <c r="E740" s="14" t="s">
        <v>296</v>
      </c>
      <c r="F740" s="14" t="s">
        <v>68</v>
      </c>
      <c r="G740" s="14" t="s">
        <v>68</v>
      </c>
      <c r="H740" s="14" t="s">
        <v>93</v>
      </c>
      <c r="I740" s="14" t="s">
        <v>76</v>
      </c>
      <c r="J740" s="14" t="s">
        <v>124</v>
      </c>
      <c r="K740" s="14" t="s">
        <v>1034</v>
      </c>
      <c r="L740" s="14" t="s">
        <v>126</v>
      </c>
      <c r="M740" s="14"/>
      <c r="N740" s="14"/>
      <c r="O740" s="16">
        <v>40869</v>
      </c>
      <c r="P740" s="16">
        <v>40912.551863425928</v>
      </c>
      <c r="Q740" s="16">
        <v>40914.658622685187</v>
      </c>
      <c r="R740" s="16">
        <v>40947.438321759262</v>
      </c>
      <c r="S740" s="15"/>
      <c r="T740" s="15"/>
      <c r="U740" s="17">
        <v>702</v>
      </c>
      <c r="V740" s="17">
        <v>33527</v>
      </c>
      <c r="W740" s="15"/>
    </row>
    <row r="741" spans="1:23" ht="45" x14ac:dyDescent="0.25">
      <c r="A741" s="14" t="s">
        <v>1043</v>
      </c>
      <c r="B741" s="14" t="s">
        <v>1044</v>
      </c>
      <c r="C741" s="14"/>
      <c r="D741" s="14" t="s">
        <v>246</v>
      </c>
      <c r="E741" s="14" t="s">
        <v>247</v>
      </c>
      <c r="F741" s="14" t="s">
        <v>68</v>
      </c>
      <c r="G741" s="14" t="s">
        <v>88</v>
      </c>
      <c r="H741" s="14" t="s">
        <v>88</v>
      </c>
      <c r="I741" s="14" t="s">
        <v>139</v>
      </c>
      <c r="J741" s="14" t="s">
        <v>104</v>
      </c>
      <c r="K741" s="14" t="s">
        <v>1045</v>
      </c>
      <c r="L741" s="14" t="s">
        <v>119</v>
      </c>
      <c r="M741" s="14"/>
      <c r="N741" s="14"/>
      <c r="O741" s="16">
        <v>40885.625</v>
      </c>
      <c r="P741" s="16">
        <v>40904.779120370367</v>
      </c>
      <c r="Q741" s="16">
        <v>40911.495567129627</v>
      </c>
      <c r="R741" s="15"/>
      <c r="S741" s="15"/>
      <c r="T741" s="15"/>
      <c r="U741" s="15"/>
      <c r="V741" s="15"/>
      <c r="W741" s="15"/>
    </row>
    <row r="742" spans="1:23" ht="45" x14ac:dyDescent="0.25">
      <c r="A742" s="14" t="s">
        <v>1046</v>
      </c>
      <c r="B742" s="14" t="s">
        <v>1047</v>
      </c>
      <c r="C742" s="14"/>
      <c r="D742" s="14" t="s">
        <v>222</v>
      </c>
      <c r="E742" s="14" t="s">
        <v>223</v>
      </c>
      <c r="F742" s="14" t="s">
        <v>68</v>
      </c>
      <c r="G742" s="14" t="s">
        <v>224</v>
      </c>
      <c r="H742" s="14" t="s">
        <v>224</v>
      </c>
      <c r="I742" s="14" t="s">
        <v>1048</v>
      </c>
      <c r="J742" s="14" t="s">
        <v>115</v>
      </c>
      <c r="K742" s="14" t="s">
        <v>1045</v>
      </c>
      <c r="L742" s="14" t="s">
        <v>123</v>
      </c>
      <c r="M742" s="14"/>
      <c r="N742" s="14"/>
      <c r="O742" s="16">
        <v>40850.376388888886</v>
      </c>
      <c r="P742" s="16">
        <v>40865.506168981483</v>
      </c>
      <c r="Q742" s="16">
        <v>40870.472962962966</v>
      </c>
      <c r="R742" s="15"/>
      <c r="S742" s="15"/>
      <c r="T742" s="15"/>
      <c r="U742" s="15"/>
      <c r="V742" s="15"/>
      <c r="W742" s="15"/>
    </row>
    <row r="743" spans="1:23" ht="45" x14ac:dyDescent="0.25">
      <c r="A743" s="14" t="s">
        <v>1049</v>
      </c>
      <c r="B743" s="14" t="s">
        <v>173</v>
      </c>
      <c r="C743" s="14"/>
      <c r="D743" s="14" t="s">
        <v>284</v>
      </c>
      <c r="E743" s="14" t="s">
        <v>285</v>
      </c>
      <c r="F743" s="14" t="s">
        <v>68</v>
      </c>
      <c r="G743" s="14" t="s">
        <v>68</v>
      </c>
      <c r="H743" s="14" t="s">
        <v>74</v>
      </c>
      <c r="I743" s="14" t="s">
        <v>152</v>
      </c>
      <c r="J743" s="14" t="s">
        <v>70</v>
      </c>
      <c r="K743" s="14" t="s">
        <v>110</v>
      </c>
      <c r="L743" s="14" t="s">
        <v>120</v>
      </c>
      <c r="M743" s="14"/>
      <c r="N743" s="14"/>
      <c r="O743" s="16">
        <v>40821</v>
      </c>
      <c r="P743" s="16">
        <v>40840.475590277776</v>
      </c>
      <c r="Q743" s="16">
        <v>40842.512789351851</v>
      </c>
      <c r="R743" s="16">
        <v>40917.627129629633</v>
      </c>
      <c r="S743" s="16">
        <v>40924.640694444446</v>
      </c>
      <c r="T743" s="15"/>
      <c r="U743" s="17">
        <v>5564</v>
      </c>
      <c r="V743" s="17">
        <v>7396</v>
      </c>
      <c r="W743" s="15"/>
    </row>
    <row r="744" spans="1:23" ht="45" x14ac:dyDescent="0.25">
      <c r="A744" s="14" t="s">
        <v>1050</v>
      </c>
      <c r="B744" s="14" t="s">
        <v>1051</v>
      </c>
      <c r="C744" s="14"/>
      <c r="D744" s="14" t="s">
        <v>211</v>
      </c>
      <c r="E744" s="14" t="s">
        <v>212</v>
      </c>
      <c r="F744" s="14" t="s">
        <v>169</v>
      </c>
      <c r="G744" s="14" t="s">
        <v>68</v>
      </c>
      <c r="H744" s="14" t="s">
        <v>169</v>
      </c>
      <c r="I744" s="14" t="s">
        <v>168</v>
      </c>
      <c r="J744" s="14" t="s">
        <v>124</v>
      </c>
      <c r="K744" s="14" t="s">
        <v>1045</v>
      </c>
      <c r="L744" s="14" t="s">
        <v>143</v>
      </c>
      <c r="M744" s="14"/>
      <c r="N744" s="14"/>
      <c r="O744" s="16">
        <v>40877.041666666664</v>
      </c>
      <c r="P744" s="16">
        <v>40921.545775462961</v>
      </c>
      <c r="Q744" s="16">
        <v>40924.451319444444</v>
      </c>
      <c r="R744" s="15"/>
      <c r="S744" s="15"/>
      <c r="T744" s="15"/>
      <c r="U744" s="15"/>
      <c r="V744" s="15"/>
      <c r="W744" s="15"/>
    </row>
    <row r="745" spans="1:23" ht="30" x14ac:dyDescent="0.25">
      <c r="A745" s="14" t="s">
        <v>1052</v>
      </c>
      <c r="B745" s="14" t="s">
        <v>1053</v>
      </c>
      <c r="C745" s="14"/>
      <c r="D745" s="14" t="s">
        <v>68</v>
      </c>
      <c r="E745" s="14" t="s">
        <v>68</v>
      </c>
      <c r="F745" s="14" t="s">
        <v>88</v>
      </c>
      <c r="G745" s="14" t="s">
        <v>68</v>
      </c>
      <c r="H745" s="14" t="s">
        <v>88</v>
      </c>
      <c r="I745" s="14" t="s">
        <v>139</v>
      </c>
      <c r="J745" s="14" t="s">
        <v>104</v>
      </c>
      <c r="K745" s="14" t="s">
        <v>1034</v>
      </c>
      <c r="L745" s="14" t="s">
        <v>123</v>
      </c>
      <c r="M745" s="14"/>
      <c r="N745" s="14"/>
      <c r="O745" s="16">
        <v>40836.413194444445</v>
      </c>
      <c r="P745" s="16">
        <v>40863.731620370374</v>
      </c>
      <c r="Q745" s="16">
        <v>40868.439930555556</v>
      </c>
      <c r="R745" s="16">
        <v>40947.410752314812</v>
      </c>
      <c r="S745" s="15"/>
      <c r="T745" s="15"/>
      <c r="U745" s="17">
        <v>1255</v>
      </c>
      <c r="V745" s="17">
        <v>22837</v>
      </c>
      <c r="W745" s="15"/>
    </row>
    <row r="746" spans="1:23" ht="45" x14ac:dyDescent="0.25">
      <c r="A746" s="14" t="s">
        <v>1054</v>
      </c>
      <c r="B746" s="14" t="s">
        <v>1055</v>
      </c>
      <c r="C746" s="14"/>
      <c r="D746" s="14" t="s">
        <v>204</v>
      </c>
      <c r="E746" s="14" t="s">
        <v>205</v>
      </c>
      <c r="F746" s="14" t="s">
        <v>68</v>
      </c>
      <c r="G746" s="14" t="s">
        <v>68</v>
      </c>
      <c r="H746" s="14" t="s">
        <v>95</v>
      </c>
      <c r="I746" s="14" t="s">
        <v>96</v>
      </c>
      <c r="J746" s="14" t="s">
        <v>115</v>
      </c>
      <c r="K746" s="14" t="s">
        <v>1045</v>
      </c>
      <c r="L746" s="14" t="s">
        <v>123</v>
      </c>
      <c r="M746" s="14"/>
      <c r="N746" s="14"/>
      <c r="O746" s="16">
        <v>40878.383333333331</v>
      </c>
      <c r="P746" s="16">
        <v>40930.620173611111</v>
      </c>
      <c r="Q746" s="16">
        <v>40932.494930555556</v>
      </c>
      <c r="R746" s="15"/>
      <c r="S746" s="15"/>
      <c r="T746" s="15"/>
      <c r="U746" s="15"/>
      <c r="V746" s="15"/>
      <c r="W746" s="15"/>
    </row>
    <row r="747" spans="1:23" ht="45" x14ac:dyDescent="0.25">
      <c r="A747" s="14" t="s">
        <v>1056</v>
      </c>
      <c r="B747" s="14" t="s">
        <v>1057</v>
      </c>
      <c r="C747" s="14"/>
      <c r="D747" s="14" t="s">
        <v>241</v>
      </c>
      <c r="E747" s="14" t="s">
        <v>236</v>
      </c>
      <c r="F747" s="14" t="s">
        <v>81</v>
      </c>
      <c r="G747" s="14" t="s">
        <v>68</v>
      </c>
      <c r="H747" s="14" t="s">
        <v>81</v>
      </c>
      <c r="I747" s="14" t="s">
        <v>82</v>
      </c>
      <c r="J747" s="14" t="s">
        <v>201</v>
      </c>
      <c r="K747" s="14" t="s">
        <v>1045</v>
      </c>
      <c r="L747" s="14" t="s">
        <v>136</v>
      </c>
      <c r="M747" s="14"/>
      <c r="N747" s="14"/>
      <c r="O747" s="16">
        <v>40889.354166666664</v>
      </c>
      <c r="P747" s="16">
        <v>40939.617349537039</v>
      </c>
      <c r="Q747" s="16">
        <v>40942.423449074071</v>
      </c>
      <c r="R747" s="15"/>
      <c r="S747" s="15"/>
      <c r="T747" s="15"/>
      <c r="U747" s="15"/>
      <c r="V747" s="15"/>
      <c r="W747" s="15"/>
    </row>
    <row r="748" spans="1:23" ht="45" x14ac:dyDescent="0.25">
      <c r="A748" s="14" t="s">
        <v>1058</v>
      </c>
      <c r="B748" s="14" t="s">
        <v>1059</v>
      </c>
      <c r="C748" s="14"/>
      <c r="D748" s="14" t="s">
        <v>238</v>
      </c>
      <c r="E748" s="14" t="s">
        <v>239</v>
      </c>
      <c r="F748" s="14" t="s">
        <v>68</v>
      </c>
      <c r="G748" s="14" t="s">
        <v>68</v>
      </c>
      <c r="H748" s="14" t="s">
        <v>127</v>
      </c>
      <c r="I748" s="14" t="s">
        <v>134</v>
      </c>
      <c r="J748" s="14" t="s">
        <v>115</v>
      </c>
      <c r="K748" s="14" t="s">
        <v>110</v>
      </c>
      <c r="L748" s="14" t="s">
        <v>1060</v>
      </c>
      <c r="M748" s="14"/>
      <c r="N748" s="14"/>
      <c r="O748" s="16">
        <v>40847</v>
      </c>
      <c r="P748" s="16">
        <v>40854.678229166668</v>
      </c>
      <c r="Q748" s="16">
        <v>40855.444733796299</v>
      </c>
      <c r="R748" s="16">
        <v>40932.598078703704</v>
      </c>
      <c r="S748" s="16">
        <v>40933.611435185187</v>
      </c>
      <c r="T748" s="15"/>
      <c r="U748" s="17">
        <v>3193</v>
      </c>
      <c r="V748" s="17">
        <v>38642</v>
      </c>
      <c r="W748" s="15"/>
    </row>
    <row r="749" spans="1:23" ht="60" x14ac:dyDescent="0.25">
      <c r="A749" s="14" t="s">
        <v>1061</v>
      </c>
      <c r="B749" s="14" t="s">
        <v>1062</v>
      </c>
      <c r="C749" s="14"/>
      <c r="D749" s="14" t="s">
        <v>208</v>
      </c>
      <c r="E749" s="14" t="s">
        <v>209</v>
      </c>
      <c r="F749" s="14" t="s">
        <v>68</v>
      </c>
      <c r="G749" s="14" t="s">
        <v>148</v>
      </c>
      <c r="H749" s="14" t="s">
        <v>148</v>
      </c>
      <c r="I749" s="14" t="s">
        <v>147</v>
      </c>
      <c r="J749" s="14" t="s">
        <v>104</v>
      </c>
      <c r="K749" s="14" t="s">
        <v>1034</v>
      </c>
      <c r="L749" s="14" t="s">
        <v>123</v>
      </c>
      <c r="M749" s="14"/>
      <c r="N749" s="14"/>
      <c r="O749" s="16">
        <v>40877.40902777778</v>
      </c>
      <c r="P749" s="16">
        <v>40908.538854166669</v>
      </c>
      <c r="Q749" s="16">
        <v>40913.410763888889</v>
      </c>
      <c r="R749" s="16">
        <v>40947.361481481479</v>
      </c>
      <c r="S749" s="15"/>
      <c r="T749" s="15"/>
      <c r="U749" s="17">
        <v>1581</v>
      </c>
      <c r="V749" s="17">
        <v>25911</v>
      </c>
      <c r="W749" s="15"/>
    </row>
    <row r="750" spans="1:23" ht="45" x14ac:dyDescent="0.25">
      <c r="A750" s="14" t="s">
        <v>1063</v>
      </c>
      <c r="B750" s="14" t="s">
        <v>1064</v>
      </c>
      <c r="C750" s="14"/>
      <c r="D750" s="14" t="s">
        <v>199</v>
      </c>
      <c r="E750" s="14" t="s">
        <v>68</v>
      </c>
      <c r="F750" s="14" t="s">
        <v>68</v>
      </c>
      <c r="G750" s="14" t="s">
        <v>78</v>
      </c>
      <c r="H750" s="14" t="s">
        <v>78</v>
      </c>
      <c r="I750" s="14" t="s">
        <v>157</v>
      </c>
      <c r="J750" s="14" t="s">
        <v>124</v>
      </c>
      <c r="K750" s="14" t="s">
        <v>1034</v>
      </c>
      <c r="L750" s="14" t="s">
        <v>72</v>
      </c>
      <c r="M750" s="14"/>
      <c r="N750" s="14"/>
      <c r="O750" s="16">
        <v>40891</v>
      </c>
      <c r="P750" s="16">
        <v>40912.427557870367</v>
      </c>
      <c r="Q750" s="16">
        <v>40914.577557870369</v>
      </c>
      <c r="R750" s="16">
        <v>40946.678425925929</v>
      </c>
      <c r="S750" s="15"/>
      <c r="T750" s="15"/>
      <c r="U750" s="17">
        <v>161</v>
      </c>
      <c r="V750" s="17">
        <v>19470</v>
      </c>
      <c r="W750" s="15"/>
    </row>
    <row r="751" spans="1:23" ht="45" x14ac:dyDescent="0.25">
      <c r="A751" s="14" t="s">
        <v>1065</v>
      </c>
      <c r="B751" s="14" t="s">
        <v>1066</v>
      </c>
      <c r="C751" s="14"/>
      <c r="D751" s="14" t="s">
        <v>199</v>
      </c>
      <c r="E751" s="14" t="s">
        <v>68</v>
      </c>
      <c r="F751" s="14" t="s">
        <v>68</v>
      </c>
      <c r="G751" s="14" t="s">
        <v>68</v>
      </c>
      <c r="H751" s="14" t="s">
        <v>78</v>
      </c>
      <c r="I751" s="14" t="s">
        <v>161</v>
      </c>
      <c r="J751" s="14" t="s">
        <v>201</v>
      </c>
      <c r="K751" s="14" t="s">
        <v>1045</v>
      </c>
      <c r="L751" s="14" t="s">
        <v>77</v>
      </c>
      <c r="M751" s="14"/>
      <c r="N751" s="14"/>
      <c r="O751" s="16">
        <v>40857</v>
      </c>
      <c r="P751" s="16">
        <v>40931.524594907409</v>
      </c>
      <c r="Q751" s="16">
        <v>40934.332233796296</v>
      </c>
      <c r="R751" s="15"/>
      <c r="S751" s="15"/>
      <c r="T751" s="15"/>
      <c r="U751" s="15"/>
      <c r="V751" s="15"/>
      <c r="W751" s="15"/>
    </row>
    <row r="752" spans="1:23" ht="45" x14ac:dyDescent="0.25">
      <c r="A752" s="14" t="s">
        <v>1067</v>
      </c>
      <c r="B752" s="14" t="s">
        <v>1068</v>
      </c>
      <c r="C752" s="14"/>
      <c r="D752" s="14" t="s">
        <v>232</v>
      </c>
      <c r="E752" s="14" t="s">
        <v>233</v>
      </c>
      <c r="F752" s="14" t="s">
        <v>68</v>
      </c>
      <c r="G752" s="14" t="s">
        <v>68</v>
      </c>
      <c r="H752" s="14" t="s">
        <v>107</v>
      </c>
      <c r="I752" s="14" t="s">
        <v>108</v>
      </c>
      <c r="J752" s="14" t="s">
        <v>146</v>
      </c>
      <c r="K752" s="14" t="s">
        <v>1034</v>
      </c>
      <c r="L752" s="14" t="s">
        <v>71</v>
      </c>
      <c r="M752" s="14"/>
      <c r="N752" s="14"/>
      <c r="O752" s="16">
        <v>40684</v>
      </c>
      <c r="P752" s="16">
        <v>40775.590833333335</v>
      </c>
      <c r="Q752" s="16">
        <v>40780.670393518521</v>
      </c>
      <c r="R752" s="16">
        <v>40919.858807870369</v>
      </c>
      <c r="S752" s="15"/>
      <c r="T752" s="15"/>
      <c r="U752" s="17">
        <v>12711</v>
      </c>
      <c r="V752" s="17">
        <v>32938</v>
      </c>
      <c r="W752" s="15"/>
    </row>
    <row r="753" spans="1:23" ht="45" x14ac:dyDescent="0.25">
      <c r="A753" s="14" t="s">
        <v>1069</v>
      </c>
      <c r="B753" s="14" t="s">
        <v>1070</v>
      </c>
      <c r="C753" s="14"/>
      <c r="D753" s="14" t="s">
        <v>279</v>
      </c>
      <c r="E753" s="14" t="s">
        <v>280</v>
      </c>
      <c r="F753" s="14" t="s">
        <v>132</v>
      </c>
      <c r="G753" s="14" t="s">
        <v>68</v>
      </c>
      <c r="H753" s="14" t="s">
        <v>132</v>
      </c>
      <c r="I753" s="14" t="s">
        <v>131</v>
      </c>
      <c r="J753" s="14" t="s">
        <v>115</v>
      </c>
      <c r="K753" s="14" t="s">
        <v>1045</v>
      </c>
      <c r="L753" s="14" t="s">
        <v>1071</v>
      </c>
      <c r="M753" s="14"/>
      <c r="N753" s="14"/>
      <c r="O753" s="16">
        <v>40787</v>
      </c>
      <c r="P753" s="16">
        <v>40861.665254629632</v>
      </c>
      <c r="Q753" s="16">
        <v>40869.595706018517</v>
      </c>
      <c r="R753" s="16">
        <v>40938.648217592592</v>
      </c>
      <c r="S753" s="15"/>
      <c r="T753" s="15"/>
      <c r="U753" s="17">
        <v>2349</v>
      </c>
      <c r="V753" s="17">
        <v>30713</v>
      </c>
      <c r="W753" s="15"/>
    </row>
    <row r="754" spans="1:23" ht="45" x14ac:dyDescent="0.25">
      <c r="A754" s="14" t="s">
        <v>1072</v>
      </c>
      <c r="B754" s="14" t="s">
        <v>1073</v>
      </c>
      <c r="C754" s="14"/>
      <c r="D754" s="14" t="s">
        <v>199</v>
      </c>
      <c r="E754" s="14" t="s">
        <v>68</v>
      </c>
      <c r="F754" s="14" t="s">
        <v>68</v>
      </c>
      <c r="G754" s="14" t="s">
        <v>78</v>
      </c>
      <c r="H754" s="14" t="s">
        <v>78</v>
      </c>
      <c r="I754" s="14" t="s">
        <v>79</v>
      </c>
      <c r="J754" s="14" t="s">
        <v>201</v>
      </c>
      <c r="K754" s="14" t="s">
        <v>1074</v>
      </c>
      <c r="L754" s="14" t="s">
        <v>77</v>
      </c>
      <c r="M754" s="14"/>
      <c r="N754" s="14"/>
      <c r="O754" s="16">
        <v>40847</v>
      </c>
      <c r="P754" s="16">
        <v>40941.528726851851</v>
      </c>
      <c r="Q754" s="15"/>
      <c r="R754" s="15"/>
      <c r="S754" s="15"/>
      <c r="T754" s="15"/>
      <c r="U754" s="15"/>
      <c r="V754" s="15"/>
      <c r="W754" s="15"/>
    </row>
    <row r="755" spans="1:23" ht="45" x14ac:dyDescent="0.25">
      <c r="A755" s="14" t="s">
        <v>1075</v>
      </c>
      <c r="B755" s="14" t="s">
        <v>1076</v>
      </c>
      <c r="C755" s="14"/>
      <c r="D755" s="14" t="s">
        <v>199</v>
      </c>
      <c r="E755" s="14" t="s">
        <v>68</v>
      </c>
      <c r="F755" s="14" t="s">
        <v>68</v>
      </c>
      <c r="G755" s="14" t="s">
        <v>78</v>
      </c>
      <c r="H755" s="14" t="s">
        <v>78</v>
      </c>
      <c r="I755" s="14" t="s">
        <v>151</v>
      </c>
      <c r="J755" s="14" t="s">
        <v>124</v>
      </c>
      <c r="K755" s="14" t="s">
        <v>1045</v>
      </c>
      <c r="L755" s="14" t="s">
        <v>1077</v>
      </c>
      <c r="M755" s="14"/>
      <c r="N755" s="14"/>
      <c r="O755" s="16">
        <v>40840.083333333336</v>
      </c>
      <c r="P755" s="16">
        <v>40863.720324074071</v>
      </c>
      <c r="Q755" s="16">
        <v>40882.462164351855</v>
      </c>
      <c r="R755" s="15"/>
      <c r="S755" s="15"/>
      <c r="T755" s="15"/>
      <c r="U755" s="15"/>
      <c r="V755" s="15"/>
      <c r="W755" s="15"/>
    </row>
    <row r="756" spans="1:23" ht="45" x14ac:dyDescent="0.25">
      <c r="A756" s="14" t="s">
        <v>1078</v>
      </c>
      <c r="B756" s="14" t="s">
        <v>1079</v>
      </c>
      <c r="C756" s="14"/>
      <c r="D756" s="14" t="s">
        <v>204</v>
      </c>
      <c r="E756" s="14" t="s">
        <v>205</v>
      </c>
      <c r="F756" s="14" t="s">
        <v>68</v>
      </c>
      <c r="G756" s="14" t="s">
        <v>68</v>
      </c>
      <c r="H756" s="14" t="s">
        <v>87</v>
      </c>
      <c r="I756" s="14" t="s">
        <v>1080</v>
      </c>
      <c r="J756" s="14" t="s">
        <v>115</v>
      </c>
      <c r="K756" s="14" t="s">
        <v>1045</v>
      </c>
      <c r="L756" s="14" t="s">
        <v>123</v>
      </c>
      <c r="M756" s="14"/>
      <c r="N756" s="14"/>
      <c r="O756" s="16">
        <v>40897.368055555555</v>
      </c>
      <c r="P756" s="16">
        <v>40928.596516203703</v>
      </c>
      <c r="Q756" s="16">
        <v>40933.421111111114</v>
      </c>
      <c r="R756" s="15"/>
      <c r="S756" s="15"/>
      <c r="T756" s="15"/>
      <c r="U756" s="15"/>
      <c r="V756" s="15"/>
      <c r="W756" s="15"/>
    </row>
    <row r="757" spans="1:23" ht="45" x14ac:dyDescent="0.25">
      <c r="A757" s="14" t="s">
        <v>1081</v>
      </c>
      <c r="B757" s="14" t="s">
        <v>1082</v>
      </c>
      <c r="C757" s="14"/>
      <c r="D757" s="14" t="s">
        <v>288</v>
      </c>
      <c r="E757" s="14" t="s">
        <v>289</v>
      </c>
      <c r="F757" s="14" t="s">
        <v>68</v>
      </c>
      <c r="G757" s="14" t="s">
        <v>87</v>
      </c>
      <c r="H757" s="14" t="s">
        <v>87</v>
      </c>
      <c r="I757" s="14" t="s">
        <v>1083</v>
      </c>
      <c r="J757" s="14" t="s">
        <v>115</v>
      </c>
      <c r="K757" s="14" t="s">
        <v>1034</v>
      </c>
      <c r="L757" s="14" t="s">
        <v>123</v>
      </c>
      <c r="M757" s="14"/>
      <c r="N757" s="14"/>
      <c r="O757" s="16">
        <v>40848.386111111111</v>
      </c>
      <c r="P757" s="16">
        <v>40859.563726851855</v>
      </c>
      <c r="Q757" s="16">
        <v>40862.374513888892</v>
      </c>
      <c r="R757" s="16">
        <v>40946.778796296298</v>
      </c>
      <c r="S757" s="15"/>
      <c r="T757" s="15"/>
      <c r="U757" s="17">
        <v>2394</v>
      </c>
      <c r="V757" s="17">
        <v>14238</v>
      </c>
      <c r="W757" s="15"/>
    </row>
    <row r="758" spans="1:23" ht="60" x14ac:dyDescent="0.25">
      <c r="A758" s="14" t="s">
        <v>1084</v>
      </c>
      <c r="B758" s="14" t="s">
        <v>1085</v>
      </c>
      <c r="C758" s="14"/>
      <c r="D758" s="14" t="s">
        <v>208</v>
      </c>
      <c r="E758" s="14" t="s">
        <v>209</v>
      </c>
      <c r="F758" s="14" t="s">
        <v>68</v>
      </c>
      <c r="G758" s="14" t="s">
        <v>148</v>
      </c>
      <c r="H758" s="14" t="s">
        <v>148</v>
      </c>
      <c r="I758" s="14" t="s">
        <v>147</v>
      </c>
      <c r="J758" s="14" t="s">
        <v>102</v>
      </c>
      <c r="K758" s="14" t="s">
        <v>1045</v>
      </c>
      <c r="L758" s="14" t="s">
        <v>123</v>
      </c>
      <c r="M758" s="14"/>
      <c r="N758" s="14"/>
      <c r="O758" s="16">
        <v>40919.392361111109</v>
      </c>
      <c r="P758" s="16">
        <v>40933.544942129629</v>
      </c>
      <c r="Q758" s="16">
        <v>40941.345497685186</v>
      </c>
      <c r="R758" s="15"/>
      <c r="S758" s="15"/>
      <c r="T758" s="15"/>
      <c r="U758" s="15"/>
      <c r="V758" s="15"/>
      <c r="W758" s="15"/>
    </row>
    <row r="759" spans="1:23" ht="45" x14ac:dyDescent="0.25">
      <c r="A759" s="14" t="s">
        <v>1086</v>
      </c>
      <c r="B759" s="14" t="s">
        <v>1087</v>
      </c>
      <c r="C759" s="14"/>
      <c r="D759" s="14" t="s">
        <v>246</v>
      </c>
      <c r="E759" s="14" t="s">
        <v>247</v>
      </c>
      <c r="F759" s="14" t="s">
        <v>68</v>
      </c>
      <c r="G759" s="14" t="s">
        <v>369</v>
      </c>
      <c r="H759" s="14" t="s">
        <v>102</v>
      </c>
      <c r="I759" s="14" t="s">
        <v>103</v>
      </c>
      <c r="J759" s="14" t="s">
        <v>104</v>
      </c>
      <c r="K759" s="14" t="s">
        <v>1045</v>
      </c>
      <c r="L759" s="14" t="s">
        <v>1031</v>
      </c>
      <c r="M759" s="14"/>
      <c r="N759" s="14"/>
      <c r="O759" s="16">
        <v>40881.447916666664</v>
      </c>
      <c r="P759" s="16">
        <v>40901.382048611114</v>
      </c>
      <c r="Q759" s="16">
        <v>40911.516041666669</v>
      </c>
      <c r="R759" s="15"/>
      <c r="S759" s="15"/>
      <c r="T759" s="15"/>
      <c r="U759" s="15"/>
      <c r="V759" s="15"/>
      <c r="W759" s="15"/>
    </row>
    <row r="760" spans="1:23" ht="45" x14ac:dyDescent="0.25">
      <c r="A760" s="14" t="s">
        <v>1088</v>
      </c>
      <c r="B760" s="14" t="s">
        <v>1089</v>
      </c>
      <c r="C760" s="14"/>
      <c r="D760" s="14" t="s">
        <v>258</v>
      </c>
      <c r="E760" s="14" t="s">
        <v>227</v>
      </c>
      <c r="F760" s="14" t="s">
        <v>159</v>
      </c>
      <c r="G760" s="14" t="s">
        <v>68</v>
      </c>
      <c r="H760" s="14" t="s">
        <v>159</v>
      </c>
      <c r="I760" s="14" t="s">
        <v>158</v>
      </c>
      <c r="J760" s="14" t="s">
        <v>102</v>
      </c>
      <c r="K760" s="14" t="s">
        <v>1045</v>
      </c>
      <c r="L760" s="14" t="s">
        <v>120</v>
      </c>
      <c r="M760" s="14"/>
      <c r="N760" s="14"/>
      <c r="O760" s="16">
        <v>40877.416666666664</v>
      </c>
      <c r="P760" s="16">
        <v>40932.500879629632</v>
      </c>
      <c r="Q760" s="16">
        <v>40933.459710648145</v>
      </c>
      <c r="R760" s="15"/>
      <c r="S760" s="15"/>
      <c r="T760" s="15"/>
      <c r="U760" s="15"/>
      <c r="V760" s="15"/>
      <c r="W760" s="15"/>
    </row>
    <row r="761" spans="1:23" ht="60" x14ac:dyDescent="0.25">
      <c r="A761" s="14" t="s">
        <v>1090</v>
      </c>
      <c r="B761" s="14" t="s">
        <v>1091</v>
      </c>
      <c r="C761" s="14"/>
      <c r="D761" s="14" t="s">
        <v>208</v>
      </c>
      <c r="E761" s="14" t="s">
        <v>209</v>
      </c>
      <c r="F761" s="14" t="s">
        <v>68</v>
      </c>
      <c r="G761" s="14" t="s">
        <v>148</v>
      </c>
      <c r="H761" s="14" t="s">
        <v>148</v>
      </c>
      <c r="I761" s="14" t="s">
        <v>147</v>
      </c>
      <c r="J761" s="14" t="s">
        <v>104</v>
      </c>
      <c r="K761" s="14" t="s">
        <v>110</v>
      </c>
      <c r="L761" s="14" t="s">
        <v>120</v>
      </c>
      <c r="M761" s="14"/>
      <c r="N761" s="14"/>
      <c r="O761" s="16">
        <v>40858</v>
      </c>
      <c r="P761" s="16">
        <v>40875.364108796297</v>
      </c>
      <c r="Q761" s="16">
        <v>40876.631655092591</v>
      </c>
      <c r="R761" s="16">
        <v>40925.480763888889</v>
      </c>
      <c r="S761" s="16">
        <v>40935.469467592593</v>
      </c>
      <c r="T761" s="15"/>
      <c r="U761" s="17">
        <v>612</v>
      </c>
      <c r="V761" s="17">
        <v>15151</v>
      </c>
      <c r="W761" s="15"/>
    </row>
    <row r="762" spans="1:23" ht="45" x14ac:dyDescent="0.25">
      <c r="A762" s="14" t="s">
        <v>1092</v>
      </c>
      <c r="B762" s="14" t="s">
        <v>1093</v>
      </c>
      <c r="C762" s="14"/>
      <c r="D762" s="14" t="s">
        <v>312</v>
      </c>
      <c r="E762" s="14" t="s">
        <v>205</v>
      </c>
      <c r="F762" s="14" t="s">
        <v>68</v>
      </c>
      <c r="G762" s="14" t="s">
        <v>68</v>
      </c>
      <c r="H762" s="14" t="s">
        <v>349</v>
      </c>
      <c r="I762" s="14" t="s">
        <v>1094</v>
      </c>
      <c r="J762" s="14" t="s">
        <v>104</v>
      </c>
      <c r="K762" s="14" t="s">
        <v>1034</v>
      </c>
      <c r="L762" s="14" t="s">
        <v>122</v>
      </c>
      <c r="M762" s="14"/>
      <c r="N762" s="14"/>
      <c r="O762" s="16">
        <v>40907</v>
      </c>
      <c r="P762" s="16">
        <v>40913.454050925924</v>
      </c>
      <c r="Q762" s="16">
        <v>40914.373622685183</v>
      </c>
      <c r="R762" s="16">
        <v>40931.601620370369</v>
      </c>
      <c r="S762" s="15"/>
      <c r="T762" s="15"/>
      <c r="U762" s="17">
        <v>698</v>
      </c>
      <c r="V762" s="17">
        <v>11493</v>
      </c>
      <c r="W762" s="15"/>
    </row>
    <row r="763" spans="1:23" ht="45" x14ac:dyDescent="0.25">
      <c r="A763" s="14" t="s">
        <v>1095</v>
      </c>
      <c r="B763" s="14" t="s">
        <v>1096</v>
      </c>
      <c r="C763" s="14"/>
      <c r="D763" s="14" t="s">
        <v>199</v>
      </c>
      <c r="E763" s="14" t="s">
        <v>68</v>
      </c>
      <c r="F763" s="14" t="s">
        <v>68</v>
      </c>
      <c r="G763" s="14" t="s">
        <v>78</v>
      </c>
      <c r="H763" s="14" t="s">
        <v>78</v>
      </c>
      <c r="I763" s="14" t="s">
        <v>151</v>
      </c>
      <c r="J763" s="14" t="s">
        <v>201</v>
      </c>
      <c r="K763" s="14" t="s">
        <v>1074</v>
      </c>
      <c r="L763" s="14" t="s">
        <v>77</v>
      </c>
      <c r="M763" s="14"/>
      <c r="N763" s="14"/>
      <c r="O763" s="16">
        <v>40849</v>
      </c>
      <c r="P763" s="16">
        <v>40941.449502314812</v>
      </c>
      <c r="Q763" s="15"/>
      <c r="R763" s="15"/>
      <c r="S763" s="15"/>
      <c r="T763" s="15"/>
      <c r="U763" s="15"/>
      <c r="V763" s="15"/>
      <c r="W763" s="15"/>
    </row>
    <row r="764" spans="1:23" ht="45" x14ac:dyDescent="0.25">
      <c r="A764" s="14" t="s">
        <v>1097</v>
      </c>
      <c r="B764" s="14" t="s">
        <v>1098</v>
      </c>
      <c r="C764" s="14"/>
      <c r="D764" s="14" t="s">
        <v>288</v>
      </c>
      <c r="E764" s="14" t="s">
        <v>291</v>
      </c>
      <c r="F764" s="14" t="s">
        <v>68</v>
      </c>
      <c r="G764" s="14" t="s">
        <v>68</v>
      </c>
      <c r="H764" s="14" t="s">
        <v>225</v>
      </c>
      <c r="I764" s="14" t="s">
        <v>1099</v>
      </c>
      <c r="J764" s="14" t="s">
        <v>115</v>
      </c>
      <c r="K764" s="14" t="s">
        <v>1034</v>
      </c>
      <c r="L764" s="14" t="s">
        <v>154</v>
      </c>
      <c r="M764" s="14"/>
      <c r="N764" s="14"/>
      <c r="O764" s="16">
        <v>40882.375</v>
      </c>
      <c r="P764" s="16">
        <v>40921.338287037041</v>
      </c>
      <c r="Q764" s="16">
        <v>40924.461006944446</v>
      </c>
      <c r="R764" s="16">
        <v>40946.448078703703</v>
      </c>
      <c r="S764" s="15"/>
      <c r="T764" s="15"/>
      <c r="U764" s="17">
        <v>-5681</v>
      </c>
      <c r="V764" s="17">
        <v>36152</v>
      </c>
      <c r="W764" s="15"/>
    </row>
    <row r="765" spans="1:23" ht="60" x14ac:dyDescent="0.25">
      <c r="A765" s="14" t="s">
        <v>1100</v>
      </c>
      <c r="B765" s="14" t="s">
        <v>1101</v>
      </c>
      <c r="C765" s="14"/>
      <c r="D765" s="14" t="s">
        <v>208</v>
      </c>
      <c r="E765" s="14" t="s">
        <v>209</v>
      </c>
      <c r="F765" s="14" t="s">
        <v>68</v>
      </c>
      <c r="G765" s="14" t="s">
        <v>148</v>
      </c>
      <c r="H765" s="14" t="s">
        <v>148</v>
      </c>
      <c r="I765" s="14" t="s">
        <v>140</v>
      </c>
      <c r="J765" s="14" t="s">
        <v>104</v>
      </c>
      <c r="K765" s="14" t="s">
        <v>110</v>
      </c>
      <c r="L765" s="14" t="s">
        <v>119</v>
      </c>
      <c r="M765" s="14"/>
      <c r="N765" s="14"/>
      <c r="O765" s="16">
        <v>40864.375</v>
      </c>
      <c r="P765" s="16">
        <v>40890.791550925926</v>
      </c>
      <c r="Q765" s="16">
        <v>40896.623194444444</v>
      </c>
      <c r="R765" s="16">
        <v>40937.801076388889</v>
      </c>
      <c r="S765" s="16">
        <v>40942.523912037039</v>
      </c>
      <c r="T765" s="15"/>
      <c r="U765" s="17">
        <v>1989</v>
      </c>
      <c r="V765" s="17">
        <v>33653</v>
      </c>
      <c r="W765" s="15"/>
    </row>
    <row r="766" spans="1:23" ht="45" x14ac:dyDescent="0.25">
      <c r="A766" s="14" t="s">
        <v>1102</v>
      </c>
      <c r="B766" s="14" t="s">
        <v>149</v>
      </c>
      <c r="C766" s="14"/>
      <c r="D766" s="14" t="s">
        <v>246</v>
      </c>
      <c r="E766" s="14" t="s">
        <v>247</v>
      </c>
      <c r="F766" s="14" t="s">
        <v>68</v>
      </c>
      <c r="G766" s="14" t="s">
        <v>1103</v>
      </c>
      <c r="H766" s="14" t="s">
        <v>148</v>
      </c>
      <c r="I766" s="14" t="s">
        <v>147</v>
      </c>
      <c r="J766" s="14" t="s">
        <v>104</v>
      </c>
      <c r="K766" s="14" t="s">
        <v>110</v>
      </c>
      <c r="L766" s="14" t="s">
        <v>119</v>
      </c>
      <c r="M766" s="14"/>
      <c r="N766" s="14"/>
      <c r="O766" s="16">
        <v>40857.541666666664</v>
      </c>
      <c r="P766" s="16">
        <v>40869.83803240741</v>
      </c>
      <c r="Q766" s="16">
        <v>40875.469976851855</v>
      </c>
      <c r="R766" s="16">
        <v>40917.46607638889</v>
      </c>
      <c r="S766" s="16">
        <v>40917.559803240743</v>
      </c>
      <c r="T766" s="15"/>
      <c r="U766" s="17">
        <v>853</v>
      </c>
      <c r="V766" s="17">
        <v>53909</v>
      </c>
      <c r="W766" s="15"/>
    </row>
    <row r="767" spans="1:23" ht="45" x14ac:dyDescent="0.25">
      <c r="A767" s="14" t="s">
        <v>1104</v>
      </c>
      <c r="B767" s="14" t="s">
        <v>1105</v>
      </c>
      <c r="C767" s="14"/>
      <c r="D767" s="14" t="s">
        <v>423</v>
      </c>
      <c r="E767" s="14" t="s">
        <v>424</v>
      </c>
      <c r="F767" s="14" t="s">
        <v>68</v>
      </c>
      <c r="G767" s="14" t="s">
        <v>68</v>
      </c>
      <c r="H767" s="14" t="s">
        <v>102</v>
      </c>
      <c r="I767" s="14" t="s">
        <v>103</v>
      </c>
      <c r="J767" s="14" t="s">
        <v>102</v>
      </c>
      <c r="K767" s="14" t="s">
        <v>1106</v>
      </c>
      <c r="L767" s="14" t="s">
        <v>1107</v>
      </c>
      <c r="M767" s="14"/>
      <c r="N767" s="14"/>
      <c r="O767" s="16">
        <v>40683.458333333336</v>
      </c>
      <c r="P767" s="16">
        <v>40924.91646990741</v>
      </c>
      <c r="Q767" s="15"/>
      <c r="R767" s="15"/>
      <c r="S767" s="15"/>
      <c r="T767" s="15"/>
      <c r="U767" s="15"/>
      <c r="V767" s="15"/>
      <c r="W767" s="15"/>
    </row>
    <row r="768" spans="1:23" ht="60" x14ac:dyDescent="0.25">
      <c r="A768" s="14" t="s">
        <v>1108</v>
      </c>
      <c r="B768" s="14" t="s">
        <v>1109</v>
      </c>
      <c r="C768" s="14"/>
      <c r="D768" s="14" t="s">
        <v>208</v>
      </c>
      <c r="E768" s="14" t="s">
        <v>209</v>
      </c>
      <c r="F768" s="14" t="s">
        <v>68</v>
      </c>
      <c r="G768" s="14" t="s">
        <v>148</v>
      </c>
      <c r="H768" s="14" t="s">
        <v>148</v>
      </c>
      <c r="I768" s="14" t="s">
        <v>147</v>
      </c>
      <c r="J768" s="14" t="s">
        <v>104</v>
      </c>
      <c r="K768" s="14" t="s">
        <v>1045</v>
      </c>
      <c r="L768" s="14" t="s">
        <v>123</v>
      </c>
      <c r="M768" s="14"/>
      <c r="N768" s="14"/>
      <c r="O768" s="16">
        <v>40883</v>
      </c>
      <c r="P768" s="16">
        <v>40909.535069444442</v>
      </c>
      <c r="Q768" s="16">
        <v>40913.408576388887</v>
      </c>
      <c r="R768" s="15"/>
      <c r="S768" s="15"/>
      <c r="T768" s="15"/>
      <c r="U768" s="15"/>
      <c r="V768" s="15"/>
      <c r="W768" s="15"/>
    </row>
    <row r="769" spans="1:23" ht="45" x14ac:dyDescent="0.25">
      <c r="A769" s="14" t="s">
        <v>1110</v>
      </c>
      <c r="B769" s="14" t="s">
        <v>170</v>
      </c>
      <c r="C769" s="14"/>
      <c r="D769" s="14" t="s">
        <v>219</v>
      </c>
      <c r="E769" s="14" t="s">
        <v>220</v>
      </c>
      <c r="F769" s="14" t="s">
        <v>68</v>
      </c>
      <c r="G769" s="14" t="s">
        <v>125</v>
      </c>
      <c r="H769" s="14" t="s">
        <v>125</v>
      </c>
      <c r="I769" s="14" t="s">
        <v>144</v>
      </c>
      <c r="J769" s="14" t="s">
        <v>124</v>
      </c>
      <c r="K769" s="14" t="s">
        <v>114</v>
      </c>
      <c r="L769" s="14" t="s">
        <v>126</v>
      </c>
      <c r="M769" s="14"/>
      <c r="N769" s="14"/>
      <c r="O769" s="16">
        <v>40786</v>
      </c>
      <c r="P769" s="16">
        <v>40830.338807870372</v>
      </c>
      <c r="Q769" s="16">
        <v>40830.695787037039</v>
      </c>
      <c r="R769" s="16">
        <v>40851.377129629633</v>
      </c>
      <c r="S769" s="16">
        <v>40854.443043981482</v>
      </c>
      <c r="T769" s="15"/>
      <c r="U769" s="17">
        <v>4969</v>
      </c>
      <c r="V769" s="17">
        <v>24303</v>
      </c>
      <c r="W769" s="15"/>
    </row>
    <row r="770" spans="1:23" ht="45" x14ac:dyDescent="0.25">
      <c r="A770" s="14" t="s">
        <v>1111</v>
      </c>
      <c r="B770" s="14" t="s">
        <v>1112</v>
      </c>
      <c r="C770" s="14"/>
      <c r="D770" s="14" t="s">
        <v>246</v>
      </c>
      <c r="E770" s="14" t="s">
        <v>247</v>
      </c>
      <c r="F770" s="14" t="s">
        <v>68</v>
      </c>
      <c r="G770" s="14" t="s">
        <v>102</v>
      </c>
      <c r="H770" s="14" t="s">
        <v>148</v>
      </c>
      <c r="I770" s="14" t="s">
        <v>1113</v>
      </c>
      <c r="J770" s="14" t="s">
        <v>104</v>
      </c>
      <c r="K770" s="14" t="s">
        <v>1045</v>
      </c>
      <c r="L770" s="14" t="s">
        <v>1031</v>
      </c>
      <c r="M770" s="14"/>
      <c r="N770" s="14"/>
      <c r="O770" s="16">
        <v>40881.583333333336</v>
      </c>
      <c r="P770" s="16">
        <v>40901.381550925929</v>
      </c>
      <c r="Q770" s="16">
        <v>40911.512060185189</v>
      </c>
      <c r="R770" s="15"/>
      <c r="S770" s="15"/>
      <c r="T770" s="15"/>
      <c r="U770" s="15"/>
      <c r="V770" s="15"/>
      <c r="W770" s="15"/>
    </row>
    <row r="771" spans="1:23" ht="45" x14ac:dyDescent="0.25">
      <c r="A771" s="14" t="s">
        <v>1114</v>
      </c>
      <c r="B771" s="14" t="s">
        <v>1115</v>
      </c>
      <c r="C771" s="14"/>
      <c r="D771" s="14" t="s">
        <v>199</v>
      </c>
      <c r="E771" s="14" t="s">
        <v>68</v>
      </c>
      <c r="F771" s="14" t="s">
        <v>68</v>
      </c>
      <c r="G771" s="14" t="s">
        <v>78</v>
      </c>
      <c r="H771" s="14" t="s">
        <v>78</v>
      </c>
      <c r="I771" s="14" t="s">
        <v>151</v>
      </c>
      <c r="J771" s="14" t="s">
        <v>201</v>
      </c>
      <c r="K771" s="14" t="s">
        <v>1074</v>
      </c>
      <c r="L771" s="14" t="s">
        <v>77</v>
      </c>
      <c r="M771" s="14"/>
      <c r="N771" s="14"/>
      <c r="O771" s="16">
        <v>40848</v>
      </c>
      <c r="P771" s="16">
        <v>40941.522662037038</v>
      </c>
      <c r="Q771" s="15"/>
      <c r="R771" s="15"/>
      <c r="S771" s="15"/>
      <c r="T771" s="15"/>
      <c r="U771" s="15"/>
      <c r="V771" s="15"/>
      <c r="W771" s="15"/>
    </row>
    <row r="772" spans="1:23" ht="60" x14ac:dyDescent="0.25">
      <c r="A772" s="14" t="s">
        <v>1116</v>
      </c>
      <c r="B772" s="14" t="s">
        <v>1117</v>
      </c>
      <c r="C772" s="14"/>
      <c r="D772" s="14" t="s">
        <v>208</v>
      </c>
      <c r="E772" s="14" t="s">
        <v>209</v>
      </c>
      <c r="F772" s="14" t="s">
        <v>68</v>
      </c>
      <c r="G772" s="14" t="s">
        <v>148</v>
      </c>
      <c r="H772" s="14" t="s">
        <v>148</v>
      </c>
      <c r="I772" s="14" t="s">
        <v>1118</v>
      </c>
      <c r="J772" s="14" t="s">
        <v>104</v>
      </c>
      <c r="K772" s="14" t="s">
        <v>1034</v>
      </c>
      <c r="L772" s="14" t="s">
        <v>123</v>
      </c>
      <c r="M772" s="14"/>
      <c r="N772" s="14"/>
      <c r="O772" s="16">
        <v>40884.388888888891</v>
      </c>
      <c r="P772" s="16">
        <v>40908.69226851852</v>
      </c>
      <c r="Q772" s="16">
        <v>40912.557233796295</v>
      </c>
      <c r="R772" s="16">
        <v>40946.499537037038</v>
      </c>
      <c r="S772" s="15"/>
      <c r="T772" s="15"/>
      <c r="U772" s="17">
        <v>966</v>
      </c>
      <c r="V772" s="17">
        <v>8706</v>
      </c>
      <c r="W772" s="15"/>
    </row>
    <row r="773" spans="1:23" ht="45" x14ac:dyDescent="0.25">
      <c r="A773" s="14" t="s">
        <v>1119</v>
      </c>
      <c r="B773" s="14" t="s">
        <v>1120</v>
      </c>
      <c r="C773" s="14"/>
      <c r="D773" s="14" t="s">
        <v>246</v>
      </c>
      <c r="E773" s="14" t="s">
        <v>247</v>
      </c>
      <c r="F773" s="14" t="s">
        <v>68</v>
      </c>
      <c r="G773" s="14" t="s">
        <v>102</v>
      </c>
      <c r="H773" s="14" t="s">
        <v>102</v>
      </c>
      <c r="I773" s="14" t="s">
        <v>103</v>
      </c>
      <c r="J773" s="14" t="s">
        <v>104</v>
      </c>
      <c r="K773" s="14" t="s">
        <v>1045</v>
      </c>
      <c r="L773" s="14" t="s">
        <v>142</v>
      </c>
      <c r="M773" s="14"/>
      <c r="N773" s="14"/>
      <c r="O773" s="16">
        <v>40884</v>
      </c>
      <c r="P773" s="16">
        <v>40905.600844907407</v>
      </c>
      <c r="Q773" s="16">
        <v>40911.677372685182</v>
      </c>
      <c r="R773" s="15"/>
      <c r="S773" s="15"/>
      <c r="T773" s="15"/>
      <c r="U773" s="15"/>
      <c r="V773" s="15"/>
      <c r="W773" s="15"/>
    </row>
    <row r="774" spans="1:23" ht="30" x14ac:dyDescent="0.25">
      <c r="A774" s="14" t="s">
        <v>1121</v>
      </c>
      <c r="B774" s="14" t="s">
        <v>1122</v>
      </c>
      <c r="C774" s="14"/>
      <c r="D774" s="14" t="s">
        <v>68</v>
      </c>
      <c r="E774" s="14" t="s">
        <v>68</v>
      </c>
      <c r="F774" s="14" t="s">
        <v>102</v>
      </c>
      <c r="G774" s="14" t="s">
        <v>68</v>
      </c>
      <c r="H774" s="14" t="s">
        <v>102</v>
      </c>
      <c r="I774" s="14" t="s">
        <v>103</v>
      </c>
      <c r="J774" s="14" t="s">
        <v>104</v>
      </c>
      <c r="K774" s="14" t="s">
        <v>110</v>
      </c>
      <c r="L774" s="14" t="s">
        <v>174</v>
      </c>
      <c r="M774" s="14"/>
      <c r="N774" s="14"/>
      <c r="O774" s="16">
        <v>40815.375</v>
      </c>
      <c r="P774" s="16">
        <v>40893.559791666667</v>
      </c>
      <c r="Q774" s="16">
        <v>40896.441747685189</v>
      </c>
      <c r="R774" s="16">
        <v>40937.880416666667</v>
      </c>
      <c r="S774" s="16">
        <v>40942.498090277775</v>
      </c>
      <c r="T774" s="15"/>
      <c r="U774" s="17">
        <v>3220</v>
      </c>
      <c r="V774" s="17">
        <v>58524</v>
      </c>
      <c r="W774" s="15"/>
    </row>
    <row r="775" spans="1:23" ht="45" x14ac:dyDescent="0.25">
      <c r="A775" s="14" t="s">
        <v>1058</v>
      </c>
      <c r="B775" s="14" t="s">
        <v>1123</v>
      </c>
      <c r="C775" s="14"/>
      <c r="D775" s="14" t="s">
        <v>238</v>
      </c>
      <c r="E775" s="14" t="s">
        <v>239</v>
      </c>
      <c r="F775" s="14" t="s">
        <v>68</v>
      </c>
      <c r="G775" s="14" t="s">
        <v>68</v>
      </c>
      <c r="H775" s="14" t="s">
        <v>127</v>
      </c>
      <c r="I775" s="14" t="s">
        <v>134</v>
      </c>
      <c r="J775" s="14" t="s">
        <v>225</v>
      </c>
      <c r="K775" s="14" t="s">
        <v>1106</v>
      </c>
      <c r="L775" s="14" t="s">
        <v>1060</v>
      </c>
      <c r="M775" s="14"/>
      <c r="N775" s="14"/>
      <c r="O775" s="15"/>
      <c r="P775" s="15"/>
      <c r="Q775" s="15"/>
      <c r="R775" s="15"/>
      <c r="S775" s="15"/>
      <c r="T775" s="15"/>
      <c r="U775" s="15"/>
      <c r="V775" s="15"/>
      <c r="W775" s="15"/>
    </row>
    <row r="776" spans="1:23" ht="45" x14ac:dyDescent="0.25">
      <c r="A776" s="14" t="s">
        <v>1124</v>
      </c>
      <c r="B776" s="14" t="s">
        <v>1125</v>
      </c>
      <c r="C776" s="14"/>
      <c r="D776" s="14" t="s">
        <v>288</v>
      </c>
      <c r="E776" s="14" t="s">
        <v>291</v>
      </c>
      <c r="F776" s="14" t="s">
        <v>68</v>
      </c>
      <c r="G776" s="14" t="s">
        <v>87</v>
      </c>
      <c r="H776" s="14" t="s">
        <v>87</v>
      </c>
      <c r="I776" s="14" t="s">
        <v>155</v>
      </c>
      <c r="J776" s="14" t="s">
        <v>115</v>
      </c>
      <c r="K776" s="14" t="s">
        <v>1045</v>
      </c>
      <c r="L776" s="14" t="s">
        <v>123</v>
      </c>
      <c r="M776" s="14"/>
      <c r="N776" s="14"/>
      <c r="O776" s="16">
        <v>40849.381944444445</v>
      </c>
      <c r="P776" s="16">
        <v>40860.574930555558</v>
      </c>
      <c r="Q776" s="16">
        <v>40862.372708333336</v>
      </c>
      <c r="R776" s="15"/>
      <c r="S776" s="15"/>
      <c r="T776" s="15"/>
      <c r="U776" s="15"/>
      <c r="V776" s="15"/>
      <c r="W776" s="15"/>
    </row>
    <row r="777" spans="1:23" ht="45" x14ac:dyDescent="0.25">
      <c r="A777" s="14" t="s">
        <v>1126</v>
      </c>
      <c r="B777" s="14" t="s">
        <v>1127</v>
      </c>
      <c r="C777" s="14"/>
      <c r="D777" s="14" t="s">
        <v>246</v>
      </c>
      <c r="E777" s="14" t="s">
        <v>247</v>
      </c>
      <c r="F777" s="14" t="s">
        <v>68</v>
      </c>
      <c r="G777" s="14" t="s">
        <v>102</v>
      </c>
      <c r="H777" s="14" t="s">
        <v>102</v>
      </c>
      <c r="I777" s="14" t="s">
        <v>1128</v>
      </c>
      <c r="J777" s="14" t="s">
        <v>104</v>
      </c>
      <c r="K777" s="14" t="s">
        <v>1045</v>
      </c>
      <c r="L777" s="14" t="s">
        <v>142</v>
      </c>
      <c r="M777" s="14"/>
      <c r="N777" s="14"/>
      <c r="O777" s="16">
        <v>40889</v>
      </c>
      <c r="P777" s="16">
        <v>40905.576388888891</v>
      </c>
      <c r="Q777" s="16">
        <v>40911.563368055555</v>
      </c>
      <c r="R777" s="15"/>
      <c r="S777" s="15"/>
      <c r="T777" s="15"/>
      <c r="U777" s="15"/>
      <c r="V777" s="15"/>
      <c r="W777" s="15"/>
    </row>
    <row r="778" spans="1:23" ht="30" x14ac:dyDescent="0.25">
      <c r="A778" s="14" t="s">
        <v>1129</v>
      </c>
      <c r="B778" s="14" t="s">
        <v>175</v>
      </c>
      <c r="C778" s="14"/>
      <c r="D778" s="14" t="s">
        <v>68</v>
      </c>
      <c r="E778" s="14" t="s">
        <v>68</v>
      </c>
      <c r="F778" s="14" t="s">
        <v>159</v>
      </c>
      <c r="G778" s="14" t="s">
        <v>68</v>
      </c>
      <c r="H778" s="14" t="s">
        <v>159</v>
      </c>
      <c r="I778" s="14" t="s">
        <v>158</v>
      </c>
      <c r="J778" s="14" t="s">
        <v>104</v>
      </c>
      <c r="K778" s="14" t="s">
        <v>110</v>
      </c>
      <c r="L778" s="14" t="s">
        <v>119</v>
      </c>
      <c r="M778" s="14"/>
      <c r="N778" s="14"/>
      <c r="O778" s="16">
        <v>40822.375</v>
      </c>
      <c r="P778" s="16">
        <v>40833.724722222221</v>
      </c>
      <c r="Q778" s="16">
        <v>40835.663587962961</v>
      </c>
      <c r="R778" s="16">
        <v>40884.690127314818</v>
      </c>
      <c r="S778" s="16">
        <v>40898.541759259257</v>
      </c>
      <c r="T778" s="15"/>
      <c r="U778" s="17">
        <v>719</v>
      </c>
      <c r="V778" s="17">
        <v>37731</v>
      </c>
      <c r="W778" s="15"/>
    </row>
    <row r="779" spans="1:23" ht="45" x14ac:dyDescent="0.25">
      <c r="A779" s="14" t="s">
        <v>1130</v>
      </c>
      <c r="B779" s="14" t="s">
        <v>1131</v>
      </c>
      <c r="C779" s="14"/>
      <c r="D779" s="14" t="s">
        <v>381</v>
      </c>
      <c r="E779" s="14" t="s">
        <v>280</v>
      </c>
      <c r="F779" s="14" t="s">
        <v>68</v>
      </c>
      <c r="G779" s="14" t="s">
        <v>68</v>
      </c>
      <c r="H779" s="14" t="s">
        <v>84</v>
      </c>
      <c r="I779" s="14" t="s">
        <v>85</v>
      </c>
      <c r="J779" s="14" t="s">
        <v>371</v>
      </c>
      <c r="K779" s="14" t="s">
        <v>1106</v>
      </c>
      <c r="L779" s="14" t="s">
        <v>128</v>
      </c>
      <c r="M779" s="14"/>
      <c r="N779" s="14"/>
      <c r="O779" s="16">
        <v>40875</v>
      </c>
      <c r="P779" s="16">
        <v>40928.3830787037</v>
      </c>
      <c r="Q779" s="15"/>
      <c r="R779" s="15"/>
      <c r="S779" s="15"/>
      <c r="T779" s="15"/>
      <c r="U779" s="15"/>
      <c r="V779" s="15"/>
      <c r="W779" s="15"/>
    </row>
    <row r="780" spans="1:23" ht="45" x14ac:dyDescent="0.25">
      <c r="A780" s="14" t="s">
        <v>1132</v>
      </c>
      <c r="B780" s="14" t="s">
        <v>1133</v>
      </c>
      <c r="C780" s="14"/>
      <c r="D780" s="14" t="s">
        <v>312</v>
      </c>
      <c r="E780" s="14" t="s">
        <v>205</v>
      </c>
      <c r="F780" s="14" t="s">
        <v>68</v>
      </c>
      <c r="G780" s="14" t="s">
        <v>68</v>
      </c>
      <c r="H780" s="14" t="s">
        <v>404</v>
      </c>
      <c r="I780" s="14" t="s">
        <v>1134</v>
      </c>
      <c r="J780" s="14" t="s">
        <v>104</v>
      </c>
      <c r="K780" s="14" t="s">
        <v>1045</v>
      </c>
      <c r="L780" s="14" t="s">
        <v>1071</v>
      </c>
      <c r="M780" s="14"/>
      <c r="N780" s="14"/>
      <c r="O780" s="16">
        <v>40892.541666666664</v>
      </c>
      <c r="P780" s="16">
        <v>40911.582453703704</v>
      </c>
      <c r="Q780" s="16">
        <v>40914.375902777778</v>
      </c>
      <c r="R780" s="15"/>
      <c r="S780" s="15"/>
      <c r="T780" s="15"/>
      <c r="U780" s="15"/>
      <c r="V780" s="15"/>
      <c r="W780" s="15"/>
    </row>
    <row r="781" spans="1:23" ht="45" x14ac:dyDescent="0.25">
      <c r="A781" s="14" t="s">
        <v>1135</v>
      </c>
      <c r="B781" s="14" t="s">
        <v>1136</v>
      </c>
      <c r="C781" s="14"/>
      <c r="D781" s="14" t="s">
        <v>204</v>
      </c>
      <c r="E781" s="14" t="s">
        <v>205</v>
      </c>
      <c r="F781" s="14" t="s">
        <v>68</v>
      </c>
      <c r="G781" s="14" t="s">
        <v>68</v>
      </c>
      <c r="H781" s="14" t="s">
        <v>132</v>
      </c>
      <c r="I781" s="14" t="s">
        <v>131</v>
      </c>
      <c r="J781" s="14" t="s">
        <v>115</v>
      </c>
      <c r="K781" s="14" t="s">
        <v>1045</v>
      </c>
      <c r="L781" s="14" t="s">
        <v>123</v>
      </c>
      <c r="M781" s="14"/>
      <c r="N781" s="14"/>
      <c r="O781" s="16">
        <v>40892</v>
      </c>
      <c r="P781" s="16">
        <v>40920.545891203707</v>
      </c>
      <c r="Q781" s="16">
        <v>40924.418634259258</v>
      </c>
      <c r="R781" s="15"/>
      <c r="S781" s="15"/>
      <c r="T781" s="15"/>
      <c r="U781" s="15"/>
      <c r="V781" s="15"/>
      <c r="W781" s="15"/>
    </row>
    <row r="782" spans="1:23" ht="60" x14ac:dyDescent="0.25">
      <c r="A782" s="14" t="s">
        <v>1137</v>
      </c>
      <c r="B782" s="14" t="s">
        <v>1138</v>
      </c>
      <c r="C782" s="14"/>
      <c r="D782" s="14" t="s">
        <v>314</v>
      </c>
      <c r="E782" s="14" t="s">
        <v>68</v>
      </c>
      <c r="F782" s="14" t="s">
        <v>68</v>
      </c>
      <c r="G782" s="14" t="s">
        <v>349</v>
      </c>
      <c r="H782" s="14" t="s">
        <v>349</v>
      </c>
      <c r="I782" s="14" t="s">
        <v>1139</v>
      </c>
      <c r="J782" s="14" t="s">
        <v>104</v>
      </c>
      <c r="K782" s="14" t="s">
        <v>110</v>
      </c>
      <c r="L782" s="14" t="s">
        <v>142</v>
      </c>
      <c r="M782" s="14"/>
      <c r="N782" s="14"/>
      <c r="O782" s="16">
        <v>40853</v>
      </c>
      <c r="P782" s="16">
        <v>40868.671284722222</v>
      </c>
      <c r="Q782" s="16">
        <v>40875.523240740738</v>
      </c>
      <c r="R782" s="16">
        <v>40943.82608796296</v>
      </c>
      <c r="S782" s="16">
        <v>40946.541215277779</v>
      </c>
      <c r="T782" s="15"/>
      <c r="U782" s="17">
        <v>2406</v>
      </c>
      <c r="V782" s="17">
        <v>61566</v>
      </c>
      <c r="W782" s="15"/>
    </row>
    <row r="783" spans="1:23" ht="45" x14ac:dyDescent="0.25">
      <c r="A783" s="14" t="s">
        <v>1140</v>
      </c>
      <c r="B783" s="14" t="s">
        <v>1141</v>
      </c>
      <c r="C783" s="14"/>
      <c r="D783" s="14" t="s">
        <v>328</v>
      </c>
      <c r="E783" s="14" t="s">
        <v>296</v>
      </c>
      <c r="F783" s="14" t="s">
        <v>68</v>
      </c>
      <c r="G783" s="14" t="s">
        <v>68</v>
      </c>
      <c r="H783" s="14" t="s">
        <v>166</v>
      </c>
      <c r="I783" s="14" t="s">
        <v>165</v>
      </c>
      <c r="J783" s="14" t="s">
        <v>124</v>
      </c>
      <c r="K783" s="14" t="s">
        <v>1045</v>
      </c>
      <c r="L783" s="14" t="s">
        <v>75</v>
      </c>
      <c r="M783" s="14"/>
      <c r="N783" s="14"/>
      <c r="O783" s="16">
        <v>40893</v>
      </c>
      <c r="P783" s="16">
        <v>40912.63354166667</v>
      </c>
      <c r="Q783" s="16">
        <v>40917.52983796296</v>
      </c>
      <c r="R783" s="15"/>
      <c r="S783" s="15"/>
      <c r="T783" s="15"/>
      <c r="U783" s="15"/>
      <c r="V783" s="15"/>
      <c r="W783" s="15"/>
    </row>
    <row r="784" spans="1:23" ht="45" x14ac:dyDescent="0.25">
      <c r="A784" s="14" t="s">
        <v>1142</v>
      </c>
      <c r="B784" s="14" t="s">
        <v>1143</v>
      </c>
      <c r="C784" s="14"/>
      <c r="D784" s="14" t="s">
        <v>199</v>
      </c>
      <c r="E784" s="14" t="s">
        <v>68</v>
      </c>
      <c r="F784" s="14" t="s">
        <v>68</v>
      </c>
      <c r="G784" s="14" t="s">
        <v>78</v>
      </c>
      <c r="H784" s="14" t="s">
        <v>78</v>
      </c>
      <c r="I784" s="14" t="s">
        <v>99</v>
      </c>
      <c r="J784" s="14" t="s">
        <v>124</v>
      </c>
      <c r="K784" s="14" t="s">
        <v>1045</v>
      </c>
      <c r="L784" s="14" t="s">
        <v>77</v>
      </c>
      <c r="M784" s="14"/>
      <c r="N784" s="14"/>
      <c r="O784" s="16">
        <v>40840</v>
      </c>
      <c r="P784" s="16">
        <v>40904.620497685188</v>
      </c>
      <c r="Q784" s="16">
        <v>40911.436365740738</v>
      </c>
      <c r="R784" s="15"/>
      <c r="S784" s="15"/>
      <c r="T784" s="15"/>
      <c r="U784" s="15"/>
      <c r="V784" s="15"/>
      <c r="W784" s="15"/>
    </row>
    <row r="785" spans="1:23" ht="45" x14ac:dyDescent="0.25">
      <c r="A785" s="14" t="s">
        <v>1039</v>
      </c>
      <c r="B785" s="14" t="s">
        <v>1144</v>
      </c>
      <c r="C785" s="14"/>
      <c r="D785" s="14" t="s">
        <v>229</v>
      </c>
      <c r="E785" s="14" t="s">
        <v>230</v>
      </c>
      <c r="F785" s="14" t="s">
        <v>68</v>
      </c>
      <c r="G785" s="14" t="s">
        <v>612</v>
      </c>
      <c r="H785" s="14" t="s">
        <v>93</v>
      </c>
      <c r="I785" s="14" t="s">
        <v>150</v>
      </c>
      <c r="J785" s="14" t="s">
        <v>201</v>
      </c>
      <c r="K785" s="14" t="s">
        <v>1106</v>
      </c>
      <c r="L785" s="14" t="s">
        <v>143</v>
      </c>
      <c r="M785" s="14"/>
      <c r="N785" s="14"/>
      <c r="O785" s="16">
        <v>40849.375</v>
      </c>
      <c r="P785" s="15"/>
      <c r="Q785" s="15"/>
      <c r="R785" s="15"/>
      <c r="S785" s="15"/>
      <c r="T785" s="15"/>
      <c r="U785" s="15"/>
      <c r="V785" s="15"/>
      <c r="W785" s="15"/>
    </row>
    <row r="786" spans="1:23" ht="45" x14ac:dyDescent="0.25">
      <c r="A786" s="14" t="s">
        <v>1145</v>
      </c>
      <c r="B786" s="14" t="s">
        <v>1146</v>
      </c>
      <c r="C786" s="14"/>
      <c r="D786" s="14" t="s">
        <v>288</v>
      </c>
      <c r="E786" s="14" t="s">
        <v>291</v>
      </c>
      <c r="F786" s="14" t="s">
        <v>68</v>
      </c>
      <c r="G786" s="14" t="s">
        <v>68</v>
      </c>
      <c r="H786" s="14" t="s">
        <v>87</v>
      </c>
      <c r="I786" s="14" t="s">
        <v>167</v>
      </c>
      <c r="J786" s="14" t="s">
        <v>115</v>
      </c>
      <c r="K786" s="14" t="s">
        <v>1045</v>
      </c>
      <c r="L786" s="14" t="s">
        <v>153</v>
      </c>
      <c r="M786" s="14"/>
      <c r="N786" s="14"/>
      <c r="O786" s="16">
        <v>40898</v>
      </c>
      <c r="P786" s="16">
        <v>40898.546157407407</v>
      </c>
      <c r="Q786" s="16">
        <v>40904.646111111113</v>
      </c>
      <c r="R786" s="15"/>
      <c r="S786" s="15"/>
      <c r="T786" s="15"/>
      <c r="U786" s="15"/>
      <c r="V786" s="15"/>
      <c r="W786" s="15"/>
    </row>
    <row r="787" spans="1:23" ht="45" x14ac:dyDescent="0.25">
      <c r="A787" s="14" t="s">
        <v>1147</v>
      </c>
      <c r="B787" s="14" t="s">
        <v>1148</v>
      </c>
      <c r="C787" s="14"/>
      <c r="D787" s="14" t="s">
        <v>241</v>
      </c>
      <c r="E787" s="14" t="s">
        <v>236</v>
      </c>
      <c r="F787" s="14" t="s">
        <v>83</v>
      </c>
      <c r="G787" s="14" t="s">
        <v>68</v>
      </c>
      <c r="H787" s="14" t="s">
        <v>83</v>
      </c>
      <c r="I787" s="14" t="s">
        <v>76</v>
      </c>
      <c r="J787" s="14" t="s">
        <v>124</v>
      </c>
      <c r="K787" s="14" t="s">
        <v>1045</v>
      </c>
      <c r="L787" s="14" t="s">
        <v>126</v>
      </c>
      <c r="M787" s="14"/>
      <c r="N787" s="14"/>
      <c r="O787" s="16">
        <v>40858</v>
      </c>
      <c r="P787" s="16">
        <v>40882.652777777781</v>
      </c>
      <c r="Q787" s="16">
        <v>40884.479849537034</v>
      </c>
      <c r="R787" s="15"/>
      <c r="S787" s="15"/>
      <c r="T787" s="15"/>
      <c r="U787" s="15"/>
      <c r="V787" s="15"/>
      <c r="W787" s="15"/>
    </row>
    <row r="788" spans="1:23" ht="45" x14ac:dyDescent="0.25">
      <c r="A788" s="14" t="s">
        <v>1149</v>
      </c>
      <c r="B788" s="14" t="s">
        <v>1150</v>
      </c>
      <c r="C788" s="14"/>
      <c r="D788" s="14" t="s">
        <v>204</v>
      </c>
      <c r="E788" s="14" t="s">
        <v>205</v>
      </c>
      <c r="F788" s="14" t="s">
        <v>68</v>
      </c>
      <c r="G788" s="14" t="s">
        <v>68</v>
      </c>
      <c r="H788" s="14" t="s">
        <v>132</v>
      </c>
      <c r="I788" s="14" t="s">
        <v>116</v>
      </c>
      <c r="J788" s="14" t="s">
        <v>115</v>
      </c>
      <c r="K788" s="14" t="s">
        <v>1045</v>
      </c>
      <c r="L788" s="14" t="s">
        <v>123</v>
      </c>
      <c r="M788" s="14"/>
      <c r="N788" s="14"/>
      <c r="O788" s="16">
        <v>40862.375</v>
      </c>
      <c r="P788" s="16">
        <v>40868.692025462966</v>
      </c>
      <c r="Q788" s="16">
        <v>40875.726006944446</v>
      </c>
      <c r="R788" s="15"/>
      <c r="S788" s="15"/>
      <c r="T788" s="15"/>
      <c r="U788" s="15"/>
      <c r="V788" s="15"/>
      <c r="W788" s="15"/>
    </row>
    <row r="789" spans="1:23" ht="45" x14ac:dyDescent="0.25">
      <c r="A789" s="14" t="s">
        <v>1151</v>
      </c>
      <c r="B789" s="14" t="s">
        <v>1152</v>
      </c>
      <c r="C789" s="14"/>
      <c r="D789" s="14" t="s">
        <v>199</v>
      </c>
      <c r="E789" s="14" t="s">
        <v>68</v>
      </c>
      <c r="F789" s="14" t="s">
        <v>68</v>
      </c>
      <c r="G789" s="14" t="s">
        <v>78</v>
      </c>
      <c r="H789" s="14" t="s">
        <v>78</v>
      </c>
      <c r="I789" s="14" t="s">
        <v>157</v>
      </c>
      <c r="J789" s="14" t="s">
        <v>124</v>
      </c>
      <c r="K789" s="14" t="s">
        <v>1045</v>
      </c>
      <c r="L789" s="14" t="s">
        <v>77</v>
      </c>
      <c r="M789" s="14"/>
      <c r="N789" s="14"/>
      <c r="O789" s="16">
        <v>40868</v>
      </c>
      <c r="P789" s="16">
        <v>40920.535902777781</v>
      </c>
      <c r="Q789" s="16">
        <v>40924.416689814818</v>
      </c>
      <c r="R789" s="15"/>
      <c r="S789" s="15"/>
      <c r="T789" s="15"/>
      <c r="U789" s="15"/>
      <c r="V789" s="15"/>
      <c r="W789" s="15"/>
    </row>
    <row r="790" spans="1:23" ht="45" x14ac:dyDescent="0.25">
      <c r="A790" s="14" t="s">
        <v>1153</v>
      </c>
      <c r="B790" s="14" t="s">
        <v>1154</v>
      </c>
      <c r="C790" s="14"/>
      <c r="D790" s="14" t="s">
        <v>246</v>
      </c>
      <c r="E790" s="14" t="s">
        <v>247</v>
      </c>
      <c r="F790" s="14" t="s">
        <v>68</v>
      </c>
      <c r="G790" s="14" t="s">
        <v>102</v>
      </c>
      <c r="H790" s="14" t="s">
        <v>102</v>
      </c>
      <c r="I790" s="14" t="s">
        <v>103</v>
      </c>
      <c r="J790" s="14" t="s">
        <v>104</v>
      </c>
      <c r="K790" s="14" t="s">
        <v>1045</v>
      </c>
      <c r="L790" s="14" t="s">
        <v>120</v>
      </c>
      <c r="M790" s="14"/>
      <c r="N790" s="14"/>
      <c r="O790" s="16">
        <v>40878</v>
      </c>
      <c r="P790" s="16">
        <v>40900.478912037041</v>
      </c>
      <c r="Q790" s="16">
        <v>40911.461446759262</v>
      </c>
      <c r="R790" s="15"/>
      <c r="S790" s="15"/>
      <c r="T790" s="15"/>
      <c r="U790" s="15"/>
      <c r="V790" s="15"/>
      <c r="W790" s="15"/>
    </row>
    <row r="791" spans="1:23" ht="60" x14ac:dyDescent="0.25">
      <c r="A791" s="14" t="s">
        <v>1155</v>
      </c>
      <c r="B791" s="14" t="s">
        <v>1156</v>
      </c>
      <c r="C791" s="14"/>
      <c r="D791" s="14" t="s">
        <v>208</v>
      </c>
      <c r="E791" s="14" t="s">
        <v>209</v>
      </c>
      <c r="F791" s="14" t="s">
        <v>68</v>
      </c>
      <c r="G791" s="14" t="s">
        <v>148</v>
      </c>
      <c r="H791" s="14" t="s">
        <v>148</v>
      </c>
      <c r="I791" s="14" t="s">
        <v>1113</v>
      </c>
      <c r="J791" s="14" t="s">
        <v>104</v>
      </c>
      <c r="K791" s="14" t="s">
        <v>1045</v>
      </c>
      <c r="L791" s="14" t="s">
        <v>123</v>
      </c>
      <c r="M791" s="14"/>
      <c r="N791" s="14"/>
      <c r="O791" s="16">
        <v>40885.375</v>
      </c>
      <c r="P791" s="16">
        <v>40909.62976851852</v>
      </c>
      <c r="Q791" s="16">
        <v>40912.559953703705</v>
      </c>
      <c r="R791" s="15"/>
      <c r="S791" s="15"/>
      <c r="T791" s="15"/>
      <c r="U791" s="15"/>
      <c r="V791" s="15"/>
      <c r="W791" s="15"/>
    </row>
    <row r="792" spans="1:23" ht="45" x14ac:dyDescent="0.25">
      <c r="A792" s="14" t="s">
        <v>1157</v>
      </c>
      <c r="B792" s="14" t="s">
        <v>1158</v>
      </c>
      <c r="C792" s="14"/>
      <c r="D792" s="14" t="s">
        <v>199</v>
      </c>
      <c r="E792" s="14" t="s">
        <v>68</v>
      </c>
      <c r="F792" s="14" t="s">
        <v>68</v>
      </c>
      <c r="G792" s="14" t="s">
        <v>68</v>
      </c>
      <c r="H792" s="14" t="s">
        <v>78</v>
      </c>
      <c r="I792" s="14" t="s">
        <v>79</v>
      </c>
      <c r="J792" s="14" t="s">
        <v>124</v>
      </c>
      <c r="K792" s="14" t="s">
        <v>1045</v>
      </c>
      <c r="L792" s="14" t="s">
        <v>77</v>
      </c>
      <c r="M792" s="14"/>
      <c r="N792" s="14"/>
      <c r="O792" s="16">
        <v>40856</v>
      </c>
      <c r="P792" s="16">
        <v>40921.546643518515</v>
      </c>
      <c r="Q792" s="16">
        <v>40925.464178240742</v>
      </c>
      <c r="R792" s="15"/>
      <c r="S792" s="15"/>
      <c r="T792" s="15"/>
      <c r="U792" s="15"/>
      <c r="V792" s="15"/>
      <c r="W792" s="15"/>
    </row>
    <row r="793" spans="1:23" ht="45" x14ac:dyDescent="0.25">
      <c r="A793" s="14" t="s">
        <v>1159</v>
      </c>
      <c r="B793" s="14" t="s">
        <v>1160</v>
      </c>
      <c r="C793" s="14"/>
      <c r="D793" s="14" t="s">
        <v>246</v>
      </c>
      <c r="E793" s="14" t="s">
        <v>247</v>
      </c>
      <c r="F793" s="14" t="s">
        <v>68</v>
      </c>
      <c r="G793" s="14" t="s">
        <v>102</v>
      </c>
      <c r="H793" s="14" t="s">
        <v>102</v>
      </c>
      <c r="I793" s="14" t="s">
        <v>103</v>
      </c>
      <c r="J793" s="14" t="s">
        <v>104</v>
      </c>
      <c r="K793" s="14" t="s">
        <v>1045</v>
      </c>
      <c r="L793" s="14" t="s">
        <v>174</v>
      </c>
      <c r="M793" s="14"/>
      <c r="N793" s="14"/>
      <c r="O793" s="16">
        <v>2</v>
      </c>
      <c r="P793" s="16">
        <v>40764.517627314817</v>
      </c>
      <c r="Q793" s="16">
        <v>40764.517627314817</v>
      </c>
      <c r="R793" s="15"/>
      <c r="S793" s="15"/>
      <c r="T793" s="15"/>
      <c r="U793" s="15"/>
      <c r="V793" s="15"/>
      <c r="W793" s="15"/>
    </row>
    <row r="794" spans="1:23" ht="45" x14ac:dyDescent="0.25">
      <c r="A794" s="14" t="s">
        <v>1161</v>
      </c>
      <c r="B794" s="14" t="s">
        <v>113</v>
      </c>
      <c r="C794" s="14"/>
      <c r="D794" s="14" t="s">
        <v>246</v>
      </c>
      <c r="E794" s="14" t="s">
        <v>247</v>
      </c>
      <c r="F794" s="14" t="s">
        <v>68</v>
      </c>
      <c r="G794" s="14" t="s">
        <v>102</v>
      </c>
      <c r="H794" s="14" t="s">
        <v>112</v>
      </c>
      <c r="I794" s="14" t="s">
        <v>111</v>
      </c>
      <c r="J794" s="14" t="s">
        <v>69</v>
      </c>
      <c r="K794" s="14" t="s">
        <v>1034</v>
      </c>
      <c r="L794" s="14" t="s">
        <v>1162</v>
      </c>
      <c r="M794" s="14"/>
      <c r="N794" s="14"/>
      <c r="O794" s="16">
        <v>40770</v>
      </c>
      <c r="P794" s="16">
        <v>40787</v>
      </c>
      <c r="Q794" s="16">
        <v>40816</v>
      </c>
      <c r="R794" s="16">
        <v>40885</v>
      </c>
      <c r="S794" s="15"/>
      <c r="T794" s="15"/>
      <c r="U794" s="15"/>
      <c r="V794" s="15"/>
      <c r="W794" s="15"/>
    </row>
    <row r="795" spans="1:23" ht="45" x14ac:dyDescent="0.25">
      <c r="A795" s="14" t="s">
        <v>1163</v>
      </c>
      <c r="B795" s="14" t="s">
        <v>1164</v>
      </c>
      <c r="C795" s="14"/>
      <c r="D795" s="14" t="s">
        <v>381</v>
      </c>
      <c r="E795" s="14" t="s">
        <v>280</v>
      </c>
      <c r="F795" s="14" t="s">
        <v>68</v>
      </c>
      <c r="G795" s="14" t="s">
        <v>68</v>
      </c>
      <c r="H795" s="14" t="s">
        <v>100</v>
      </c>
      <c r="I795" s="14" t="s">
        <v>101</v>
      </c>
      <c r="J795" s="14" t="s">
        <v>309</v>
      </c>
      <c r="K795" s="14" t="s">
        <v>1045</v>
      </c>
      <c r="L795" s="14" t="s">
        <v>142</v>
      </c>
      <c r="M795" s="14"/>
      <c r="N795" s="14"/>
      <c r="O795" s="16">
        <v>40771</v>
      </c>
      <c r="P795" s="16">
        <v>40938.656273148146</v>
      </c>
      <c r="Q795" s="16">
        <v>40941.456689814811</v>
      </c>
      <c r="R795" s="15"/>
      <c r="S795" s="15"/>
      <c r="T795" s="15"/>
      <c r="U795" s="15"/>
      <c r="V795" s="15"/>
      <c r="W795" s="15"/>
    </row>
  </sheetData>
  <autoFilter ref="A1:AD795"/>
  <customSheetViews>
    <customSheetView guid="{679A3195-3DEA-4AC2-A535-82AAF5B552BC}" showAutoFilter="1" state="hidden">
      <selection activeCell="A2" sqref="A2"/>
      <pageMargins left="0.7" right="0.7" top="0.75" bottom="0.75" header="0.3" footer="0.3"/>
      <autoFilter ref="A1:AD795"/>
    </customSheetView>
    <customSheetView guid="{7378B641-E8D1-4C14-8151-CF4CE159D121}" showAutoFilter="1" state="hidden">
      <selection activeCell="A2" sqref="A2"/>
      <pageMargins left="0.7" right="0.7" top="0.75" bottom="0.75" header="0.3" footer="0.3"/>
      <autoFilter ref="A1:AD795"/>
    </customSheetView>
    <customSheetView guid="{6D63B10B-E1E6-452A-80EB-4B2C7D61CF66}" showAutoFilter="1" state="hidden">
      <selection activeCell="A2" sqref="A2"/>
      <pageMargins left="0.7" right="0.7" top="0.75" bottom="0.75" header="0.3" footer="0.3"/>
      <autoFilter ref="A1:AD795"/>
    </customSheetView>
  </customSheetView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
  <sheetViews>
    <sheetView workbookViewId="0">
      <selection activeCell="J35" sqref="J35"/>
    </sheetView>
  </sheetViews>
  <sheetFormatPr defaultRowHeight="15" x14ac:dyDescent="0.25"/>
  <sheetData/>
  <customSheetViews>
    <customSheetView guid="{679A3195-3DEA-4AC2-A535-82AAF5B552BC}" state="hidden">
      <selection activeCell="J35" sqref="J35"/>
      <pageMargins left="0.7" right="0.7" top="0.75" bottom="0.75" header="0.3" footer="0.3"/>
    </customSheetView>
    <customSheetView guid="{7378B641-E8D1-4C14-8151-CF4CE159D121}" state="hidden">
      <selection activeCell="J35" sqref="J35"/>
      <pageMargins left="0.7" right="0.7" top="0.75" bottom="0.75" header="0.3" footer="0.3"/>
    </customSheetView>
    <customSheetView guid="{6D63B10B-E1E6-452A-80EB-4B2C7D61CF66}" state="hidden">
      <selection activeCell="J35" sqref="J35"/>
      <pageMargins left="0.7" right="0.7" top="0.75" bottom="0.75" header="0.3" footer="0.3"/>
    </customSheetView>
  </customSheetView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
  <sheetViews>
    <sheetView workbookViewId="0">
      <selection activeCell="J35" sqref="J35"/>
    </sheetView>
  </sheetViews>
  <sheetFormatPr defaultRowHeight="15" x14ac:dyDescent="0.25"/>
  <sheetData/>
  <customSheetViews>
    <customSheetView guid="{679A3195-3DEA-4AC2-A535-82AAF5B552BC}" state="hidden">
      <selection activeCell="J35" sqref="J35"/>
      <pageMargins left="0.7" right="0.7" top="0.75" bottom="0.75" header="0.3" footer="0.3"/>
    </customSheetView>
    <customSheetView guid="{7378B641-E8D1-4C14-8151-CF4CE159D121}" state="hidden">
      <selection activeCell="J35" sqref="J35"/>
      <pageMargins left="0.7" right="0.7" top="0.75" bottom="0.75" header="0.3" footer="0.3"/>
    </customSheetView>
    <customSheetView guid="{6D63B10B-E1E6-452A-80EB-4B2C7D61CF66}" state="hidden">
      <selection activeCell="J35" sqref="J35"/>
      <pageMargins left="0.7" right="0.7" top="0.75" bottom="0.75" header="0.3" footer="0.3"/>
    </customSheetView>
  </customSheetView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
  <sheetViews>
    <sheetView workbookViewId="0">
      <selection activeCell="J35" sqref="J35"/>
    </sheetView>
  </sheetViews>
  <sheetFormatPr defaultRowHeight="15" x14ac:dyDescent="0.25"/>
  <sheetData/>
  <customSheetViews>
    <customSheetView guid="{679A3195-3DEA-4AC2-A535-82AAF5B552BC}" state="hidden">
      <selection activeCell="J35" sqref="J35"/>
      <pageMargins left="0.7" right="0.7" top="0.75" bottom="0.75" header="0.3" footer="0.3"/>
    </customSheetView>
    <customSheetView guid="{7378B641-E8D1-4C14-8151-CF4CE159D121}" state="hidden">
      <selection activeCell="J35" sqref="J35"/>
      <pageMargins left="0.7" right="0.7" top="0.75" bottom="0.75" header="0.3" footer="0.3"/>
    </customSheetView>
    <customSheetView guid="{6D63B10B-E1E6-452A-80EB-4B2C7D61CF66}" state="hidden">
      <selection activeCell="J35" sqref="J35"/>
      <pageMargins left="0.7" right="0.7" top="0.75" bottom="0.75" header="0.3" footer="0.3"/>
    </customSheetView>
  </customSheetView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ER75"/>
  <sheetViews>
    <sheetView workbookViewId="0">
      <pane xSplit="3" ySplit="1" topLeftCell="J2" activePane="bottomRight" state="frozen"/>
      <selection pane="topRight" activeCell="D1" sqref="D1"/>
      <selection pane="bottomLeft" activeCell="A2" sqref="A2"/>
      <selection pane="bottomRight" activeCell="U2" sqref="U2"/>
    </sheetView>
  </sheetViews>
  <sheetFormatPr defaultRowHeight="15" x14ac:dyDescent="0.25"/>
  <cols>
    <col min="1" max="1" width="5.7109375" customWidth="1"/>
    <col min="2" max="2" width="4" customWidth="1"/>
    <col min="3" max="6" width="16.7109375" customWidth="1"/>
    <col min="7" max="13" width="25" customWidth="1"/>
    <col min="14" max="121" width="16.7109375" customWidth="1"/>
    <col min="122" max="122" width="24.5703125" customWidth="1"/>
    <col min="123" max="123" width="21.85546875" customWidth="1"/>
    <col min="124" max="144" width="16.7109375" customWidth="1"/>
  </cols>
  <sheetData>
    <row r="1" spans="1:148" ht="15.95" customHeight="1" x14ac:dyDescent="0.25">
      <c r="A1" s="107" t="s">
        <v>1492</v>
      </c>
      <c r="B1" s="107" t="s">
        <v>1493</v>
      </c>
      <c r="C1" s="107" t="s">
        <v>1414</v>
      </c>
      <c r="D1" s="107" t="s">
        <v>1494</v>
      </c>
      <c r="E1" s="107" t="s">
        <v>1495</v>
      </c>
      <c r="F1" s="107" t="s">
        <v>1496</v>
      </c>
      <c r="G1" s="113" t="s">
        <v>1497</v>
      </c>
      <c r="H1" s="107" t="s">
        <v>1498</v>
      </c>
      <c r="I1" s="107" t="s">
        <v>1499</v>
      </c>
      <c r="J1" s="107" t="s">
        <v>1500</v>
      </c>
      <c r="K1" s="107" t="s">
        <v>1501</v>
      </c>
      <c r="L1" s="107" t="s">
        <v>1502</v>
      </c>
      <c r="M1" s="107" t="s">
        <v>1503</v>
      </c>
      <c r="N1" s="113" t="s">
        <v>1504</v>
      </c>
      <c r="O1" s="107" t="s">
        <v>1415</v>
      </c>
      <c r="P1" s="107" t="s">
        <v>1505</v>
      </c>
      <c r="Q1" s="107" t="s">
        <v>1506</v>
      </c>
      <c r="R1" s="107" t="s">
        <v>1507</v>
      </c>
      <c r="S1" s="107" t="s">
        <v>1508</v>
      </c>
      <c r="T1" s="107" t="s">
        <v>1509</v>
      </c>
      <c r="U1" s="107" t="s">
        <v>1510</v>
      </c>
      <c r="V1" s="107" t="s">
        <v>1511</v>
      </c>
      <c r="W1" s="107" t="s">
        <v>1512</v>
      </c>
      <c r="X1" s="107" t="s">
        <v>1513</v>
      </c>
      <c r="Y1" s="107" t="s">
        <v>1514</v>
      </c>
      <c r="Z1" s="107" t="s">
        <v>1515</v>
      </c>
      <c r="AA1" s="107" t="s">
        <v>1516</v>
      </c>
      <c r="AB1" s="107" t="s">
        <v>1517</v>
      </c>
      <c r="AC1" s="107" t="s">
        <v>1518</v>
      </c>
      <c r="AD1" s="107" t="s">
        <v>1519</v>
      </c>
      <c r="AE1" s="107" t="s">
        <v>1520</v>
      </c>
      <c r="AF1" s="107" t="s">
        <v>1521</v>
      </c>
      <c r="AG1" s="107" t="s">
        <v>1522</v>
      </c>
      <c r="AH1" s="114" t="s">
        <v>1523</v>
      </c>
      <c r="AI1" s="114" t="s">
        <v>1524</v>
      </c>
      <c r="AJ1" s="115" t="s">
        <v>1525</v>
      </c>
      <c r="AK1" s="116" t="s">
        <v>1526</v>
      </c>
      <c r="AL1" s="117" t="s">
        <v>1527</v>
      </c>
      <c r="AM1" s="117" t="s">
        <v>1528</v>
      </c>
      <c r="AN1" s="117" t="s">
        <v>1529</v>
      </c>
      <c r="AO1" s="117" t="s">
        <v>1418</v>
      </c>
      <c r="AP1" s="117" t="s">
        <v>1530</v>
      </c>
      <c r="AQ1" s="117" t="s">
        <v>1531</v>
      </c>
      <c r="AR1" s="117" t="s">
        <v>1532</v>
      </c>
      <c r="AS1" s="117" t="s">
        <v>1533</v>
      </c>
      <c r="AT1" s="118" t="s">
        <v>1534</v>
      </c>
      <c r="AU1" s="118" t="s">
        <v>1535</v>
      </c>
      <c r="AV1" s="118" t="s">
        <v>1536</v>
      </c>
      <c r="AW1" s="118" t="s">
        <v>1417</v>
      </c>
      <c r="AX1" s="118" t="s">
        <v>1537</v>
      </c>
      <c r="AY1" s="118" t="s">
        <v>1538</v>
      </c>
      <c r="AZ1" s="118" t="s">
        <v>1539</v>
      </c>
      <c r="BA1" s="118" t="s">
        <v>1540</v>
      </c>
      <c r="BB1" s="119" t="s">
        <v>1541</v>
      </c>
      <c r="BC1" s="119" t="s">
        <v>1542</v>
      </c>
      <c r="BD1" s="119" t="s">
        <v>1382</v>
      </c>
      <c r="BE1" s="119" t="s">
        <v>1543</v>
      </c>
      <c r="BF1" s="119" t="s">
        <v>1390</v>
      </c>
      <c r="BG1" s="119" t="s">
        <v>1544</v>
      </c>
      <c r="BH1" s="119" t="s">
        <v>1398</v>
      </c>
      <c r="BI1" s="119" t="s">
        <v>1545</v>
      </c>
      <c r="BJ1" s="119" t="s">
        <v>1401</v>
      </c>
      <c r="BK1" s="119" t="s">
        <v>1546</v>
      </c>
      <c r="BL1" s="119" t="s">
        <v>1404</v>
      </c>
      <c r="BM1" s="119" t="s">
        <v>1547</v>
      </c>
      <c r="BN1" s="119" t="s">
        <v>1407</v>
      </c>
      <c r="BO1" s="119" t="s">
        <v>1548</v>
      </c>
      <c r="BP1" s="119" t="s">
        <v>1410</v>
      </c>
      <c r="BQ1" s="119" t="s">
        <v>1549</v>
      </c>
      <c r="BR1" s="119" t="s">
        <v>1550</v>
      </c>
      <c r="BS1" s="119" t="s">
        <v>1551</v>
      </c>
      <c r="BT1" s="119" t="s">
        <v>1552</v>
      </c>
      <c r="BU1" s="119" t="s">
        <v>1553</v>
      </c>
      <c r="BV1" s="119" t="s">
        <v>1554</v>
      </c>
      <c r="BW1" s="119" t="s">
        <v>1555</v>
      </c>
      <c r="BX1" s="120" t="s">
        <v>1556</v>
      </c>
      <c r="BY1" s="120" t="s">
        <v>1419</v>
      </c>
      <c r="BZ1" s="120" t="s">
        <v>1557</v>
      </c>
      <c r="CA1" s="120" t="s">
        <v>1489</v>
      </c>
      <c r="CB1" s="120" t="s">
        <v>1558</v>
      </c>
      <c r="CC1" s="120" t="s">
        <v>1559</v>
      </c>
      <c r="CD1" s="121" t="s">
        <v>1560</v>
      </c>
      <c r="CE1" s="121" t="s">
        <v>1561</v>
      </c>
      <c r="CF1" s="121" t="s">
        <v>1562</v>
      </c>
      <c r="CG1" s="121" t="s">
        <v>1563</v>
      </c>
      <c r="CH1" s="121" t="s">
        <v>1564</v>
      </c>
      <c r="CI1" s="122" t="s">
        <v>1565</v>
      </c>
      <c r="CJ1" s="122" t="s">
        <v>1566</v>
      </c>
      <c r="CK1" s="121" t="s">
        <v>1567</v>
      </c>
      <c r="CL1" s="121" t="s">
        <v>1416</v>
      </c>
      <c r="CM1" s="121" t="s">
        <v>1488</v>
      </c>
      <c r="CN1" s="121" t="s">
        <v>1568</v>
      </c>
      <c r="CO1" s="121" t="s">
        <v>1569</v>
      </c>
      <c r="CP1" s="121" t="s">
        <v>1570</v>
      </c>
      <c r="CQ1" s="121" t="s">
        <v>1571</v>
      </c>
      <c r="CR1" s="121" t="s">
        <v>1572</v>
      </c>
      <c r="CS1" s="121" t="s">
        <v>1573</v>
      </c>
      <c r="CT1" s="121" t="s">
        <v>1574</v>
      </c>
      <c r="CU1" s="123" t="s">
        <v>1575</v>
      </c>
      <c r="CV1" s="123" t="s">
        <v>1576</v>
      </c>
      <c r="CW1" s="124" t="s">
        <v>1577</v>
      </c>
      <c r="CX1" s="124" t="s">
        <v>1578</v>
      </c>
      <c r="CY1" s="123" t="s">
        <v>1420</v>
      </c>
      <c r="CZ1" s="123" t="s">
        <v>1579</v>
      </c>
      <c r="DA1" s="123" t="s">
        <v>1580</v>
      </c>
      <c r="DB1" s="123" t="s">
        <v>1581</v>
      </c>
      <c r="DC1" s="123" t="s">
        <v>1582</v>
      </c>
      <c r="DD1" s="123" t="s">
        <v>1583</v>
      </c>
      <c r="DE1" s="123" t="s">
        <v>1584</v>
      </c>
      <c r="DF1" s="123" t="s">
        <v>1585</v>
      </c>
      <c r="DG1" s="125" t="s">
        <v>1586</v>
      </c>
      <c r="DH1" s="125" t="s">
        <v>1587</v>
      </c>
      <c r="DI1" s="125" t="s">
        <v>1588</v>
      </c>
      <c r="DJ1" s="126" t="s">
        <v>1589</v>
      </c>
      <c r="DK1" s="126" t="s">
        <v>1590</v>
      </c>
      <c r="DL1" s="125" t="s">
        <v>1591</v>
      </c>
      <c r="DM1" s="125" t="s">
        <v>1592</v>
      </c>
      <c r="DN1" s="125" t="s">
        <v>1593</v>
      </c>
      <c r="DO1" s="125" t="s">
        <v>1594</v>
      </c>
      <c r="DP1" s="103" t="s">
        <v>1595</v>
      </c>
      <c r="DQ1" s="103" t="s">
        <v>1596</v>
      </c>
      <c r="DR1" s="103" t="s">
        <v>1490</v>
      </c>
      <c r="DS1" s="103" t="s">
        <v>1597</v>
      </c>
      <c r="DT1" s="103" t="s">
        <v>1598</v>
      </c>
      <c r="DU1" s="103" t="s">
        <v>1599</v>
      </c>
      <c r="DV1" s="124" t="s">
        <v>1600</v>
      </c>
      <c r="DW1" s="124" t="s">
        <v>1601</v>
      </c>
      <c r="DX1" s="127" t="s">
        <v>1602</v>
      </c>
      <c r="DY1" s="127" t="s">
        <v>1603</v>
      </c>
      <c r="DZ1" s="127" t="s">
        <v>1604</v>
      </c>
      <c r="EA1" s="128" t="s">
        <v>1605</v>
      </c>
      <c r="EB1" s="128" t="s">
        <v>1606</v>
      </c>
      <c r="EC1" s="128" t="s">
        <v>1607</v>
      </c>
      <c r="ED1" s="128" t="s">
        <v>1608</v>
      </c>
      <c r="EE1" s="129" t="s">
        <v>1609</v>
      </c>
      <c r="EF1" s="124" t="s">
        <v>1610</v>
      </c>
      <c r="EG1" s="124" t="s">
        <v>1611</v>
      </c>
      <c r="EH1" s="124" t="s">
        <v>1612</v>
      </c>
      <c r="EI1" s="124" t="s">
        <v>1613</v>
      </c>
      <c r="EJ1" s="124" t="s">
        <v>1614</v>
      </c>
      <c r="EK1" s="130" t="s">
        <v>1615</v>
      </c>
      <c r="EL1" s="130" t="s">
        <v>1616</v>
      </c>
      <c r="EM1" s="130" t="s">
        <v>1617</v>
      </c>
      <c r="EN1" s="130" t="s">
        <v>1618</v>
      </c>
      <c r="EO1" s="124" t="s">
        <v>1929</v>
      </c>
      <c r="EP1" s="124" t="s">
        <v>1930</v>
      </c>
      <c r="EQ1" s="124" t="s">
        <v>1931</v>
      </c>
      <c r="ER1" s="124" t="s">
        <v>1932</v>
      </c>
    </row>
    <row r="2" spans="1:148" s="214" customFormat="1" ht="15.95" customHeight="1" x14ac:dyDescent="0.25">
      <c r="A2" s="204" t="s">
        <v>59</v>
      </c>
      <c r="B2" s="205">
        <v>0.79161560535430908</v>
      </c>
      <c r="C2" s="204" t="s">
        <v>1434</v>
      </c>
      <c r="D2" s="204" t="s">
        <v>1434</v>
      </c>
      <c r="E2" s="204" t="s">
        <v>110</v>
      </c>
      <c r="F2" s="205" t="b">
        <v>0</v>
      </c>
      <c r="G2" s="204"/>
      <c r="H2" s="204"/>
      <c r="I2" s="204" t="s">
        <v>1619</v>
      </c>
      <c r="J2" s="204" t="s">
        <v>1620</v>
      </c>
      <c r="K2" s="204" t="s">
        <v>69</v>
      </c>
      <c r="L2" s="204"/>
      <c r="M2" s="204"/>
      <c r="N2" s="204" t="s">
        <v>1621</v>
      </c>
      <c r="O2" s="204" t="s">
        <v>1422</v>
      </c>
      <c r="P2" s="206">
        <v>40821</v>
      </c>
      <c r="Q2" s="206">
        <v>40827</v>
      </c>
      <c r="R2" s="206">
        <v>40896</v>
      </c>
      <c r="S2" s="206">
        <v>40899</v>
      </c>
      <c r="T2" s="206">
        <v>40945</v>
      </c>
      <c r="U2" s="207"/>
      <c r="V2" s="205">
        <v>2017</v>
      </c>
      <c r="W2" s="204" t="s">
        <v>68</v>
      </c>
      <c r="X2" s="205">
        <v>4339</v>
      </c>
      <c r="Y2" s="205">
        <v>5</v>
      </c>
      <c r="Z2" s="205">
        <v>259</v>
      </c>
      <c r="AA2" s="208">
        <v>0.36</v>
      </c>
      <c r="AB2" s="205">
        <v>3500</v>
      </c>
      <c r="AC2" s="205">
        <v>5500</v>
      </c>
      <c r="AD2" s="205">
        <v>7</v>
      </c>
      <c r="AE2" s="205">
        <v>184</v>
      </c>
      <c r="AF2" s="208">
        <v>0.32</v>
      </c>
      <c r="AG2" s="205">
        <v>3000</v>
      </c>
      <c r="AH2" s="209"/>
      <c r="AI2" s="209"/>
      <c r="AJ2" s="210">
        <v>40882</v>
      </c>
      <c r="AK2" s="211">
        <v>0.33</v>
      </c>
      <c r="AL2" s="210">
        <v>40822</v>
      </c>
      <c r="AM2" s="209">
        <v>2017</v>
      </c>
      <c r="AN2" s="212">
        <v>0.36099999999999999</v>
      </c>
      <c r="AO2" s="213">
        <v>11379</v>
      </c>
      <c r="AP2" s="209">
        <v>4339</v>
      </c>
      <c r="AQ2" s="209">
        <v>739</v>
      </c>
      <c r="AR2" s="209">
        <v>259</v>
      </c>
      <c r="AS2" s="212">
        <v>0.36099999999999999</v>
      </c>
      <c r="AT2" s="210">
        <v>40878</v>
      </c>
      <c r="AU2" s="209">
        <v>2017</v>
      </c>
      <c r="AV2" s="212">
        <v>0.378</v>
      </c>
      <c r="AW2" s="213">
        <v>13419</v>
      </c>
      <c r="AX2" s="209">
        <v>5467</v>
      </c>
      <c r="AY2" s="209">
        <v>674</v>
      </c>
      <c r="AZ2" s="209">
        <v>241</v>
      </c>
      <c r="BA2" s="212">
        <f>AV2</f>
        <v>0.378</v>
      </c>
      <c r="BB2" s="210">
        <v>40875</v>
      </c>
      <c r="BC2" s="209">
        <v>2004</v>
      </c>
      <c r="BD2" s="209" t="s">
        <v>1387</v>
      </c>
      <c r="BE2" s="212">
        <v>8.6999999999999994E-2</v>
      </c>
      <c r="BF2" s="209" t="s">
        <v>1395</v>
      </c>
      <c r="BG2" s="212">
        <f>12.4%-8.7%</f>
        <v>3.7000000000000005E-2</v>
      </c>
      <c r="BH2" s="209" t="s">
        <v>1386</v>
      </c>
      <c r="BI2" s="212">
        <v>0</v>
      </c>
      <c r="BJ2" s="209" t="s">
        <v>1389</v>
      </c>
      <c r="BK2" s="212">
        <f>19.5%-12.4%</f>
        <v>7.1000000000000008E-2</v>
      </c>
      <c r="BL2" s="209" t="s">
        <v>1393</v>
      </c>
      <c r="BM2" s="212">
        <f>27.5%-19.5%</f>
        <v>8.0000000000000016E-2</v>
      </c>
      <c r="BN2" s="212" t="s">
        <v>1394</v>
      </c>
      <c r="BO2" s="212">
        <f>32.9%-27.5%</f>
        <v>5.3999999999999937E-2</v>
      </c>
      <c r="BP2" s="212"/>
      <c r="BQ2" s="212"/>
      <c r="BR2" s="212"/>
      <c r="BS2" s="212"/>
      <c r="BT2" s="212"/>
      <c r="BU2" s="212"/>
      <c r="BV2" s="212"/>
      <c r="BW2" s="212"/>
      <c r="BX2" s="212">
        <v>0.32900000000000001</v>
      </c>
      <c r="BY2" s="213">
        <v>14445</v>
      </c>
      <c r="BZ2" s="209">
        <v>5676</v>
      </c>
      <c r="CA2" s="213">
        <v>683</v>
      </c>
      <c r="CB2" s="213">
        <v>193</v>
      </c>
      <c r="CC2" s="212">
        <f>BX2</f>
        <v>0.32900000000000001</v>
      </c>
      <c r="CD2" s="210">
        <v>40822</v>
      </c>
      <c r="CE2" s="209" t="b">
        <v>1</v>
      </c>
      <c r="CF2" s="209" t="b">
        <v>1</v>
      </c>
      <c r="CG2" s="209" t="s">
        <v>1422</v>
      </c>
      <c r="CH2" s="209">
        <v>3582</v>
      </c>
      <c r="CI2" s="211">
        <v>0.39</v>
      </c>
      <c r="CJ2" s="211"/>
      <c r="CK2" s="209">
        <v>2017</v>
      </c>
      <c r="CL2" s="209">
        <v>9055</v>
      </c>
      <c r="CM2" s="209">
        <v>339</v>
      </c>
      <c r="CN2" s="209">
        <v>13374</v>
      </c>
      <c r="CO2" s="209">
        <v>11505</v>
      </c>
      <c r="CP2" s="209">
        <f>CN2-CO2</f>
        <v>1869</v>
      </c>
      <c r="CQ2" s="209">
        <v>676</v>
      </c>
      <c r="CR2" s="209">
        <v>431</v>
      </c>
      <c r="CS2" s="209">
        <f>CQ2-CR2</f>
        <v>245</v>
      </c>
      <c r="CT2" s="211">
        <v>0.37</v>
      </c>
      <c r="CU2" s="210">
        <v>40861</v>
      </c>
      <c r="CV2" s="209">
        <v>2160</v>
      </c>
      <c r="CW2" s="211">
        <v>0.09</v>
      </c>
      <c r="CX2" s="211"/>
      <c r="CY2" s="213">
        <v>13419</v>
      </c>
      <c r="CZ2" s="213">
        <v>7952</v>
      </c>
      <c r="DA2" s="213">
        <f>CY2-CZ2</f>
        <v>5467</v>
      </c>
      <c r="DB2" s="213">
        <v>674</v>
      </c>
      <c r="DC2" s="213">
        <v>433</v>
      </c>
      <c r="DD2" s="213">
        <f>DB2-DC2</f>
        <v>241</v>
      </c>
      <c r="DE2" s="211">
        <v>0.38</v>
      </c>
      <c r="DF2" s="211"/>
      <c r="DG2" s="209"/>
      <c r="DH2" s="209"/>
      <c r="DI2" s="209"/>
      <c r="DJ2" s="209"/>
      <c r="DK2" s="209"/>
      <c r="DL2" s="209"/>
      <c r="DM2" s="209"/>
      <c r="DN2" s="209"/>
      <c r="DO2" s="209"/>
      <c r="DP2" s="209" t="s">
        <v>1874</v>
      </c>
      <c r="DQ2" s="209"/>
      <c r="DR2" s="209"/>
      <c r="DS2" s="209"/>
      <c r="DT2" s="209"/>
      <c r="DU2" s="212"/>
      <c r="DV2" s="209">
        <v>5676</v>
      </c>
      <c r="DW2" s="209">
        <v>193</v>
      </c>
      <c r="DX2" s="211">
        <v>0.33</v>
      </c>
      <c r="DY2" s="211"/>
      <c r="DZ2" s="211"/>
      <c r="EA2" s="209">
        <v>2</v>
      </c>
      <c r="EB2" s="209">
        <v>0</v>
      </c>
      <c r="EC2" s="209" t="s">
        <v>1622</v>
      </c>
      <c r="ED2" s="209" t="s">
        <v>1623</v>
      </c>
      <c r="EE2" s="209"/>
      <c r="EF2" s="209"/>
      <c r="EG2" s="209"/>
      <c r="EH2" s="209"/>
      <c r="EI2" s="209"/>
      <c r="EJ2" s="209"/>
      <c r="EK2" s="213">
        <v>75000</v>
      </c>
      <c r="EL2" s="213">
        <v>48000</v>
      </c>
      <c r="EM2" s="213">
        <v>4</v>
      </c>
      <c r="EN2" s="213">
        <v>2</v>
      </c>
      <c r="EP2">
        <v>24.5</v>
      </c>
      <c r="EQ2"/>
      <c r="ER2"/>
    </row>
    <row r="3" spans="1:148" s="214" customFormat="1" ht="15.95" customHeight="1" x14ac:dyDescent="0.25">
      <c r="A3" s="204" t="s">
        <v>59</v>
      </c>
      <c r="B3" s="205">
        <v>0.8254469633102417</v>
      </c>
      <c r="C3" s="204" t="s">
        <v>1435</v>
      </c>
      <c r="D3" s="204" t="s">
        <v>1435</v>
      </c>
      <c r="E3" s="204" t="s">
        <v>110</v>
      </c>
      <c r="F3" s="205" t="b">
        <v>0</v>
      </c>
      <c r="G3" s="204"/>
      <c r="H3" s="204"/>
      <c r="I3" s="204" t="s">
        <v>1624</v>
      </c>
      <c r="J3" s="204" t="s">
        <v>1625</v>
      </c>
      <c r="K3" s="204" t="s">
        <v>69</v>
      </c>
      <c r="L3" s="204"/>
      <c r="M3" s="204"/>
      <c r="N3" s="204" t="s">
        <v>1626</v>
      </c>
      <c r="O3" s="204" t="s">
        <v>1422</v>
      </c>
      <c r="P3" s="206">
        <v>40789</v>
      </c>
      <c r="Q3" s="206">
        <v>40794</v>
      </c>
      <c r="R3" s="206">
        <v>40827</v>
      </c>
      <c r="S3" s="206">
        <v>40890</v>
      </c>
      <c r="T3" s="206">
        <v>40941</v>
      </c>
      <c r="U3" s="207"/>
      <c r="V3" s="205">
        <v>2200</v>
      </c>
      <c r="W3" s="204" t="s">
        <v>68</v>
      </c>
      <c r="X3" s="205">
        <v>2111</v>
      </c>
      <c r="Y3" s="205">
        <v>1</v>
      </c>
      <c r="Z3" s="205">
        <v>65</v>
      </c>
      <c r="AA3" s="208">
        <v>0.12</v>
      </c>
      <c r="AB3" s="205">
        <v>1250</v>
      </c>
      <c r="AC3" s="205">
        <v>2014</v>
      </c>
      <c r="AD3" s="205">
        <v>2</v>
      </c>
      <c r="AE3" s="205">
        <v>133</v>
      </c>
      <c r="AF3" s="208">
        <v>0.17</v>
      </c>
      <c r="AG3" s="205">
        <v>1500</v>
      </c>
      <c r="AH3" s="210">
        <v>40940</v>
      </c>
      <c r="AI3" s="215">
        <v>1500</v>
      </c>
      <c r="AJ3" s="210"/>
      <c r="AK3" s="211"/>
      <c r="AL3" s="210">
        <v>40822</v>
      </c>
      <c r="AM3" s="209">
        <v>1685</v>
      </c>
      <c r="AN3" s="212">
        <v>0.14399999999999999</v>
      </c>
      <c r="AO3" s="213">
        <v>13292</v>
      </c>
      <c r="AP3" s="209">
        <v>1770</v>
      </c>
      <c r="AQ3" s="209">
        <v>734</v>
      </c>
      <c r="AR3" s="209">
        <v>102</v>
      </c>
      <c r="AS3" s="212">
        <f>AN3</f>
        <v>0.14399999999999999</v>
      </c>
      <c r="AT3" s="210">
        <v>40880</v>
      </c>
      <c r="AU3" s="209">
        <v>2200</v>
      </c>
      <c r="AV3" s="212">
        <v>2.3E-2</v>
      </c>
      <c r="AW3" s="213">
        <v>11622</v>
      </c>
      <c r="AX3" s="209">
        <v>313</v>
      </c>
      <c r="AY3" s="209">
        <v>638</v>
      </c>
      <c r="AZ3" s="209">
        <v>8</v>
      </c>
      <c r="BA3" s="212">
        <f>AV3</f>
        <v>2.3E-2</v>
      </c>
      <c r="BB3" s="210">
        <v>40935</v>
      </c>
      <c r="BC3" s="209">
        <v>1685</v>
      </c>
      <c r="BD3" s="209" t="s">
        <v>1387</v>
      </c>
      <c r="BE3" s="212">
        <v>1.2999999999999999E-2</v>
      </c>
      <c r="BF3" s="209" t="s">
        <v>1389</v>
      </c>
      <c r="BG3" s="212">
        <v>0.14099999999999999</v>
      </c>
      <c r="BH3" s="209" t="s">
        <v>1393</v>
      </c>
      <c r="BI3" s="212">
        <v>0</v>
      </c>
      <c r="BJ3" s="209" t="s">
        <v>1386</v>
      </c>
      <c r="BK3" s="212">
        <v>-1E-3</v>
      </c>
      <c r="BL3" s="209" t="s">
        <v>1397</v>
      </c>
      <c r="BM3" s="212">
        <v>1.4999999999999999E-2</v>
      </c>
      <c r="BN3" s="212"/>
      <c r="BO3" s="212"/>
      <c r="BP3" s="212"/>
      <c r="BQ3" s="212"/>
      <c r="BR3" s="212"/>
      <c r="BS3" s="212"/>
      <c r="BT3" s="212"/>
      <c r="BU3" s="212"/>
      <c r="BV3" s="212"/>
      <c r="BW3" s="212"/>
      <c r="BX3" s="212">
        <v>0.16700000000000001</v>
      </c>
      <c r="BY3" s="213">
        <v>13614</v>
      </c>
      <c r="BZ3" s="209">
        <v>2014</v>
      </c>
      <c r="CA3" s="216">
        <v>734</v>
      </c>
      <c r="CB3" s="216">
        <v>133</v>
      </c>
      <c r="CC3" s="212">
        <f>BX3</f>
        <v>0.16700000000000001</v>
      </c>
      <c r="CD3" s="210">
        <v>40789</v>
      </c>
      <c r="CE3" s="209" t="b">
        <v>1</v>
      </c>
      <c r="CF3" s="209" t="b">
        <v>1</v>
      </c>
      <c r="CG3" s="209" t="s">
        <v>1422</v>
      </c>
      <c r="CH3" s="209">
        <v>4800</v>
      </c>
      <c r="CI3" s="211">
        <v>7.0000000000000007E-2</v>
      </c>
      <c r="CJ3" s="211"/>
      <c r="CK3" s="209">
        <v>2200</v>
      </c>
      <c r="CL3" s="209">
        <v>7444</v>
      </c>
      <c r="CM3" s="209">
        <v>520</v>
      </c>
      <c r="CN3" s="213">
        <v>13616</v>
      </c>
      <c r="CO3" s="213">
        <v>11505</v>
      </c>
      <c r="CP3" s="209">
        <f>CN3-CO3</f>
        <v>2111</v>
      </c>
      <c r="CQ3" s="209">
        <v>715</v>
      </c>
      <c r="CR3" s="209">
        <v>649</v>
      </c>
      <c r="CS3" s="209">
        <f>CQ3-CR3</f>
        <v>66</v>
      </c>
      <c r="CT3" s="211">
        <v>0.12</v>
      </c>
      <c r="CU3" s="210">
        <v>40869</v>
      </c>
      <c r="CV3" s="209">
        <v>4099</v>
      </c>
      <c r="CW3" s="211">
        <v>0.03</v>
      </c>
      <c r="CX3" s="211"/>
      <c r="CY3" s="213">
        <v>13616</v>
      </c>
      <c r="CZ3" s="213">
        <v>11622</v>
      </c>
      <c r="DA3" s="213">
        <f>CY3-CZ3</f>
        <v>1994</v>
      </c>
      <c r="DB3" s="213">
        <v>715</v>
      </c>
      <c r="DC3" s="213">
        <v>638</v>
      </c>
      <c r="DD3" s="213">
        <f>DB3-DC3</f>
        <v>77</v>
      </c>
      <c r="DE3" s="211">
        <v>0.12</v>
      </c>
      <c r="DF3" s="211"/>
      <c r="DG3" s="209">
        <v>1770</v>
      </c>
      <c r="DH3" s="209">
        <v>102</v>
      </c>
      <c r="DI3" s="211">
        <v>0.15</v>
      </c>
      <c r="DJ3" s="209" t="b">
        <v>0</v>
      </c>
      <c r="DK3" s="209" t="b">
        <v>0</v>
      </c>
      <c r="DL3" s="209">
        <v>1</v>
      </c>
      <c r="DM3" s="209">
        <v>0</v>
      </c>
      <c r="DN3" s="209" t="s">
        <v>1627</v>
      </c>
      <c r="DO3" s="209"/>
      <c r="DP3" s="209">
        <v>4</v>
      </c>
      <c r="DQ3" s="209">
        <v>2112</v>
      </c>
      <c r="DR3" s="209">
        <v>4328</v>
      </c>
      <c r="DS3" s="211">
        <v>0.28000000000000003</v>
      </c>
      <c r="DT3" s="209">
        <v>66</v>
      </c>
      <c r="DU3" s="212">
        <v>0.12</v>
      </c>
      <c r="DV3" s="209">
        <v>2014</v>
      </c>
      <c r="DW3" s="209">
        <v>133</v>
      </c>
      <c r="DX3" s="211">
        <v>0.17</v>
      </c>
      <c r="DY3" s="211" t="b">
        <v>0</v>
      </c>
      <c r="DZ3" s="211" t="b">
        <v>0</v>
      </c>
      <c r="EA3" s="209">
        <v>1</v>
      </c>
      <c r="EB3" s="209">
        <v>2</v>
      </c>
      <c r="EC3" s="209" t="s">
        <v>1628</v>
      </c>
      <c r="ED3" s="209"/>
      <c r="EE3" s="209">
        <v>0</v>
      </c>
      <c r="EF3" s="209">
        <v>2014</v>
      </c>
      <c r="EG3" s="209">
        <v>133</v>
      </c>
      <c r="EH3" s="211">
        <v>0.17</v>
      </c>
      <c r="EI3" s="209">
        <v>4379</v>
      </c>
      <c r="EJ3" s="211">
        <v>0.03</v>
      </c>
      <c r="EK3" s="213"/>
      <c r="EL3" s="213"/>
      <c r="EM3" s="213"/>
      <c r="EN3" s="213"/>
      <c r="EO3" s="214">
        <v>13480</v>
      </c>
      <c r="EP3">
        <v>24.5</v>
      </c>
      <c r="EQ3">
        <f t="shared" ref="EQ3:EQ20" si="0">DR3/EP3*60/EO3</f>
        <v>0.78628959001998422</v>
      </c>
      <c r="ER3">
        <f t="shared" ref="ER3:ER21" si="1">EI3/EP3*60/EO3</f>
        <v>0.79555501725912925</v>
      </c>
    </row>
    <row r="4" spans="1:148" s="214" customFormat="1" ht="15.95" customHeight="1" x14ac:dyDescent="0.25">
      <c r="A4" s="204" t="s">
        <v>59</v>
      </c>
      <c r="B4" s="205">
        <v>0.39372086524963379</v>
      </c>
      <c r="C4" s="204" t="s">
        <v>1436</v>
      </c>
      <c r="D4" s="204" t="s">
        <v>1436</v>
      </c>
      <c r="E4" s="204" t="s">
        <v>110</v>
      </c>
      <c r="F4" s="205" t="b">
        <v>0</v>
      </c>
      <c r="G4" s="204"/>
      <c r="H4" s="204"/>
      <c r="I4" s="204" t="s">
        <v>112</v>
      </c>
      <c r="J4" s="204" t="s">
        <v>111</v>
      </c>
      <c r="K4" s="204" t="s">
        <v>69</v>
      </c>
      <c r="L4" s="204"/>
      <c r="M4" s="204"/>
      <c r="N4" s="204" t="s">
        <v>1621</v>
      </c>
      <c r="O4" s="204" t="s">
        <v>1422</v>
      </c>
      <c r="P4" s="206">
        <v>40787</v>
      </c>
      <c r="Q4" s="206">
        <v>40794</v>
      </c>
      <c r="R4" s="206">
        <v>40822</v>
      </c>
      <c r="S4" s="206">
        <v>40883</v>
      </c>
      <c r="T4" s="206">
        <v>40927</v>
      </c>
      <c r="U4" s="207"/>
      <c r="V4" s="205">
        <v>1868</v>
      </c>
      <c r="W4" s="204" t="s">
        <v>68</v>
      </c>
      <c r="X4" s="205">
        <v>2891</v>
      </c>
      <c r="Y4" s="205">
        <v>5</v>
      </c>
      <c r="Z4" s="205">
        <v>144</v>
      </c>
      <c r="AA4" s="208">
        <v>0.32</v>
      </c>
      <c r="AB4" s="205">
        <v>3000</v>
      </c>
      <c r="AC4" s="205">
        <v>4401</v>
      </c>
      <c r="AD4" s="205">
        <v>6</v>
      </c>
      <c r="AE4" s="205">
        <v>178</v>
      </c>
      <c r="AF4" s="208">
        <v>0.35</v>
      </c>
      <c r="AG4" s="205">
        <v>3500</v>
      </c>
      <c r="AH4" s="209"/>
      <c r="AI4" s="209"/>
      <c r="AJ4" s="210"/>
      <c r="AK4" s="211"/>
      <c r="AL4" s="210">
        <v>40821</v>
      </c>
      <c r="AM4" s="209">
        <v>1900</v>
      </c>
      <c r="AN4" s="212">
        <v>0.41099999999999998</v>
      </c>
      <c r="AO4" s="213">
        <v>11337</v>
      </c>
      <c r="AP4" s="209">
        <v>4216</v>
      </c>
      <c r="AQ4" s="209">
        <v>525</v>
      </c>
      <c r="AR4" s="209">
        <v>178</v>
      </c>
      <c r="AS4" s="212">
        <f>AN4</f>
        <v>0.41099999999999998</v>
      </c>
      <c r="AT4" s="210">
        <v>40791</v>
      </c>
      <c r="AU4" s="209">
        <v>1868</v>
      </c>
      <c r="AV4" s="212">
        <v>0.39400000000000002</v>
      </c>
      <c r="AW4" s="213">
        <v>8915</v>
      </c>
      <c r="AX4" s="209">
        <v>2892</v>
      </c>
      <c r="AY4" s="209">
        <v>443</v>
      </c>
      <c r="AZ4" s="209">
        <v>144</v>
      </c>
      <c r="BA4" s="212">
        <f>AV4</f>
        <v>0.39400000000000002</v>
      </c>
      <c r="BB4" s="210">
        <v>40920</v>
      </c>
      <c r="BC4" s="209">
        <v>1900</v>
      </c>
      <c r="BD4" s="209" t="s">
        <v>1387</v>
      </c>
      <c r="BE4" s="212">
        <v>0.109</v>
      </c>
      <c r="BF4" s="209" t="s">
        <v>1388</v>
      </c>
      <c r="BG4" s="212">
        <f>21.4%-10.9%</f>
        <v>0.105</v>
      </c>
      <c r="BH4" s="209" t="s">
        <v>1386</v>
      </c>
      <c r="BI4" s="212">
        <f>24.9%-21.4%</f>
        <v>3.5000000000000003E-2</v>
      </c>
      <c r="BJ4" s="209" t="s">
        <v>1389</v>
      </c>
      <c r="BK4" s="212">
        <f>0.285-0.249</f>
        <v>3.5999999999999976E-2</v>
      </c>
      <c r="BL4" s="209" t="s">
        <v>1393</v>
      </c>
      <c r="BM4" s="212">
        <v>0.03</v>
      </c>
      <c r="BN4" s="212" t="s">
        <v>1394</v>
      </c>
      <c r="BO4" s="212">
        <v>3.7999999999999999E-2</v>
      </c>
      <c r="BP4" s="212"/>
      <c r="BQ4" s="212"/>
      <c r="BR4" s="212"/>
      <c r="BS4" s="212"/>
      <c r="BT4" s="212"/>
      <c r="BU4" s="212"/>
      <c r="BV4" s="212"/>
      <c r="BW4" s="212"/>
      <c r="BX4" s="212">
        <v>0.41499999999999998</v>
      </c>
      <c r="BY4" s="213">
        <v>11831</v>
      </c>
      <c r="BZ4" s="209">
        <v>4401</v>
      </c>
      <c r="CA4" s="216">
        <v>526</v>
      </c>
      <c r="CB4" s="216">
        <v>178</v>
      </c>
      <c r="CC4" s="212">
        <f>BX4</f>
        <v>0.41499999999999998</v>
      </c>
      <c r="CD4" s="210">
        <v>40787</v>
      </c>
      <c r="CE4" s="209" t="b">
        <v>1</v>
      </c>
      <c r="CF4" s="209" t="b">
        <v>1</v>
      </c>
      <c r="CG4" s="209" t="s">
        <v>1422</v>
      </c>
      <c r="CH4" s="209">
        <v>1565</v>
      </c>
      <c r="CI4" s="211">
        <v>0.28000000000000003</v>
      </c>
      <c r="CJ4" s="211"/>
      <c r="CK4" s="209">
        <v>1868</v>
      </c>
      <c r="CL4" s="209">
        <v>6253</v>
      </c>
      <c r="CM4" s="209">
        <v>559</v>
      </c>
      <c r="CN4" s="209">
        <v>8915</v>
      </c>
      <c r="CO4" s="209">
        <v>6024</v>
      </c>
      <c r="CP4" s="209">
        <f>CN4-CO4</f>
        <v>2891</v>
      </c>
      <c r="CQ4" s="209">
        <v>443</v>
      </c>
      <c r="CR4" s="209">
        <v>299</v>
      </c>
      <c r="CS4" s="209">
        <f>CQ4-CR4</f>
        <v>144</v>
      </c>
      <c r="CT4" s="211">
        <v>0.32</v>
      </c>
      <c r="CU4" s="210">
        <v>40823</v>
      </c>
      <c r="CV4" s="209">
        <v>1717</v>
      </c>
      <c r="CW4" s="211">
        <v>7.0000000000000007E-2</v>
      </c>
      <c r="CX4" s="211"/>
      <c r="CY4" s="213">
        <f>CN4</f>
        <v>8915</v>
      </c>
      <c r="CZ4" s="213">
        <v>5997</v>
      </c>
      <c r="DA4" s="213">
        <f>CY4-CZ4</f>
        <v>2918</v>
      </c>
      <c r="DB4" s="213">
        <f>CM4</f>
        <v>559</v>
      </c>
      <c r="DC4" s="213">
        <v>297</v>
      </c>
      <c r="DD4" s="213">
        <f>DB4-DC4</f>
        <v>262</v>
      </c>
      <c r="DE4" s="211">
        <v>0.33</v>
      </c>
      <c r="DF4" s="211"/>
      <c r="DG4" s="209">
        <v>4216</v>
      </c>
      <c r="DH4" s="209">
        <v>178</v>
      </c>
      <c r="DI4" s="211">
        <v>0.35</v>
      </c>
      <c r="DJ4" s="209" t="b">
        <v>1</v>
      </c>
      <c r="DK4" s="209" t="b">
        <v>0</v>
      </c>
      <c r="DL4" s="209">
        <v>1</v>
      </c>
      <c r="DM4" s="209">
        <v>0</v>
      </c>
      <c r="DN4" s="209" t="s">
        <v>1627</v>
      </c>
      <c r="DO4" s="209"/>
      <c r="DP4" s="209">
        <v>6</v>
      </c>
      <c r="DQ4" s="209">
        <v>4216</v>
      </c>
      <c r="DR4" s="209">
        <v>3446</v>
      </c>
      <c r="DS4" s="211">
        <v>0.28000000000000003</v>
      </c>
      <c r="DT4" s="209">
        <v>178</v>
      </c>
      <c r="DU4" s="212">
        <v>0.35</v>
      </c>
      <c r="DV4" s="209">
        <v>4401</v>
      </c>
      <c r="DW4" s="209">
        <v>178</v>
      </c>
      <c r="DX4" s="211">
        <v>0.35</v>
      </c>
      <c r="DY4" s="211" t="b">
        <v>0</v>
      </c>
      <c r="DZ4" s="211" t="b">
        <v>1</v>
      </c>
      <c r="EA4" s="209">
        <v>1</v>
      </c>
      <c r="EB4" s="209">
        <v>0</v>
      </c>
      <c r="EC4" s="209" t="s">
        <v>1629</v>
      </c>
      <c r="ED4" s="209"/>
      <c r="EE4" s="209">
        <v>1</v>
      </c>
      <c r="EF4" s="209">
        <v>4401</v>
      </c>
      <c r="EG4" s="209">
        <v>178</v>
      </c>
      <c r="EH4" s="211">
        <v>0.35</v>
      </c>
      <c r="EI4" s="209">
        <v>1550</v>
      </c>
      <c r="EJ4" s="211">
        <v>7.0000000000000007E-2</v>
      </c>
      <c r="EK4" s="213">
        <v>75000</v>
      </c>
      <c r="EL4" s="213">
        <v>64000</v>
      </c>
      <c r="EM4" s="213">
        <v>4</v>
      </c>
      <c r="EN4" s="213">
        <v>2.2999999999999998</v>
      </c>
      <c r="EO4" s="214">
        <v>16000</v>
      </c>
      <c r="EP4">
        <v>24.5</v>
      </c>
      <c r="EQ4">
        <f t="shared" si="0"/>
        <v>0.52744897959183679</v>
      </c>
      <c r="ER4">
        <f t="shared" si="1"/>
        <v>0.23724489795918369</v>
      </c>
    </row>
    <row r="5" spans="1:148" s="203" customFormat="1" ht="15.95" customHeight="1" x14ac:dyDescent="0.25">
      <c r="A5" s="194" t="s">
        <v>59</v>
      </c>
      <c r="B5" s="195">
        <v>0.92616242170333862</v>
      </c>
      <c r="C5" s="194" t="s">
        <v>1437</v>
      </c>
      <c r="D5" s="194" t="s">
        <v>1437</v>
      </c>
      <c r="E5" s="194" t="s">
        <v>110</v>
      </c>
      <c r="F5" s="195" t="b">
        <v>0</v>
      </c>
      <c r="G5" s="194"/>
      <c r="H5" s="194"/>
      <c r="I5" s="194" t="s">
        <v>1630</v>
      </c>
      <c r="J5" s="194" t="s">
        <v>1631</v>
      </c>
      <c r="K5" s="194" t="s">
        <v>69</v>
      </c>
      <c r="L5" s="194"/>
      <c r="M5" s="194"/>
      <c r="N5" s="194" t="s">
        <v>1632</v>
      </c>
      <c r="O5" s="194" t="s">
        <v>1422</v>
      </c>
      <c r="P5" s="196">
        <v>40739</v>
      </c>
      <c r="Q5" s="196">
        <v>40764</v>
      </c>
      <c r="R5" s="196">
        <v>40815</v>
      </c>
      <c r="S5" s="196">
        <v>40911</v>
      </c>
      <c r="T5" s="196">
        <v>40946</v>
      </c>
      <c r="U5" s="197"/>
      <c r="V5" s="195">
        <v>1716</v>
      </c>
      <c r="W5" s="194" t="s">
        <v>68</v>
      </c>
      <c r="X5" s="195">
        <v>2665</v>
      </c>
      <c r="Y5" s="195">
        <v>5</v>
      </c>
      <c r="Z5" s="195">
        <v>129</v>
      </c>
      <c r="AA5" s="198">
        <v>0.3</v>
      </c>
      <c r="AB5" s="195">
        <v>3000</v>
      </c>
      <c r="AC5" s="195">
        <v>2179</v>
      </c>
      <c r="AD5" s="195">
        <v>5</v>
      </c>
      <c r="AE5" s="195">
        <v>100</v>
      </c>
      <c r="AF5" s="198">
        <v>0.25</v>
      </c>
      <c r="AG5" s="195">
        <v>2500</v>
      </c>
      <c r="AH5" s="124"/>
      <c r="AI5" s="124"/>
      <c r="AJ5" s="199"/>
      <c r="AK5" s="200"/>
      <c r="AT5" s="199">
        <v>40763</v>
      </c>
      <c r="AU5" s="124">
        <v>1716</v>
      </c>
      <c r="AV5" s="201">
        <v>0.3</v>
      </c>
      <c r="AW5" s="202">
        <v>7460</v>
      </c>
      <c r="AX5" s="124">
        <v>2665</v>
      </c>
      <c r="AY5" s="124">
        <v>475</v>
      </c>
      <c r="AZ5" s="124">
        <v>128</v>
      </c>
      <c r="BA5" s="201">
        <f>AV5</f>
        <v>0.3</v>
      </c>
      <c r="BB5" s="199">
        <v>40942</v>
      </c>
      <c r="BC5" s="124">
        <v>1641</v>
      </c>
      <c r="BD5" s="124" t="s">
        <v>1387</v>
      </c>
      <c r="BE5" s="201">
        <v>3.7999999999999999E-2</v>
      </c>
      <c r="BF5" s="124" t="s">
        <v>1396</v>
      </c>
      <c r="BG5" s="201">
        <v>0.112</v>
      </c>
      <c r="BH5" s="124" t="s">
        <v>1386</v>
      </c>
      <c r="BI5" s="201">
        <v>3.4000000000000002E-2</v>
      </c>
      <c r="BJ5" s="124" t="s">
        <v>1393</v>
      </c>
      <c r="BK5" s="201">
        <v>0.01</v>
      </c>
      <c r="BL5" s="124" t="s">
        <v>1389</v>
      </c>
      <c r="BM5" s="201">
        <v>2.5000000000000001E-2</v>
      </c>
      <c r="BN5" s="201" t="s">
        <v>1394</v>
      </c>
      <c r="BO5" s="201">
        <v>2.9000000000000001E-2</v>
      </c>
      <c r="BP5" s="201"/>
      <c r="BQ5" s="201"/>
      <c r="BR5" s="201"/>
      <c r="BS5" s="201"/>
      <c r="BT5" s="201"/>
      <c r="BU5" s="201"/>
      <c r="BV5" s="201"/>
      <c r="BW5" s="201"/>
      <c r="BX5" s="201">
        <v>0.248</v>
      </c>
      <c r="BY5" s="202">
        <v>8199</v>
      </c>
      <c r="BZ5" s="124">
        <v>2179</v>
      </c>
      <c r="CA5" s="202">
        <v>4.21</v>
      </c>
      <c r="CB5" s="202">
        <v>1</v>
      </c>
      <c r="CC5" s="201">
        <f>BX5</f>
        <v>0.248</v>
      </c>
      <c r="CD5" s="199">
        <v>40739</v>
      </c>
      <c r="CE5" s="124" t="b">
        <v>1</v>
      </c>
      <c r="CF5" s="124" t="b">
        <v>1</v>
      </c>
      <c r="CG5" s="124" t="s">
        <v>1422</v>
      </c>
      <c r="CH5" s="124">
        <v>2710</v>
      </c>
      <c r="CI5" s="200">
        <v>0.28000000000000003</v>
      </c>
      <c r="CJ5" s="200"/>
      <c r="CK5" s="124">
        <v>1716</v>
      </c>
      <c r="CL5" s="124">
        <v>1897</v>
      </c>
      <c r="CM5" s="124">
        <v>611</v>
      </c>
      <c r="CN5" s="124">
        <v>7460</v>
      </c>
      <c r="CO5" s="124">
        <v>4525</v>
      </c>
      <c r="CP5" s="124">
        <f>CN5-CO5</f>
        <v>2935</v>
      </c>
      <c r="CQ5" s="124">
        <v>476</v>
      </c>
      <c r="CR5" s="124">
        <v>302</v>
      </c>
      <c r="CS5" s="124">
        <f>CQ5-CR5</f>
        <v>174</v>
      </c>
      <c r="CT5" s="200">
        <v>0.38</v>
      </c>
      <c r="CU5" s="199">
        <v>40904</v>
      </c>
      <c r="CV5" s="124">
        <v>1293</v>
      </c>
      <c r="CW5" s="200">
        <v>0.1</v>
      </c>
      <c r="CX5" s="200"/>
      <c r="CY5" s="202">
        <f>CN5</f>
        <v>7460</v>
      </c>
      <c r="CZ5" s="202">
        <v>5850</v>
      </c>
      <c r="DA5" s="202">
        <f>CY5-CZ5</f>
        <v>1610</v>
      </c>
      <c r="DB5" s="202">
        <f>CQ5</f>
        <v>476</v>
      </c>
      <c r="DC5" s="202">
        <v>304</v>
      </c>
      <c r="DD5" s="202">
        <f>DB5-DC5</f>
        <v>172</v>
      </c>
      <c r="DE5" s="200">
        <v>0.31</v>
      </c>
      <c r="DF5" s="200"/>
      <c r="DG5" s="124"/>
      <c r="DH5" s="124"/>
      <c r="DI5" s="124"/>
      <c r="DJ5" s="124" t="b">
        <v>1</v>
      </c>
      <c r="DK5" s="124"/>
      <c r="DL5" s="124"/>
      <c r="DM5" s="124"/>
      <c r="DN5" s="124" t="s">
        <v>1633</v>
      </c>
      <c r="DO5" s="124"/>
      <c r="DP5" s="124">
        <v>11</v>
      </c>
      <c r="DQ5" s="124">
        <v>3632</v>
      </c>
      <c r="DR5" s="124">
        <v>2337</v>
      </c>
      <c r="DS5" s="200">
        <v>0.28000000000000003</v>
      </c>
      <c r="DT5" s="124">
        <v>115</v>
      </c>
      <c r="DU5" s="201">
        <v>0.32</v>
      </c>
      <c r="DV5" s="124">
        <v>2179</v>
      </c>
      <c r="DW5" s="124">
        <v>100</v>
      </c>
      <c r="DX5" s="200">
        <v>0.25</v>
      </c>
      <c r="DY5" s="200" t="b">
        <v>0</v>
      </c>
      <c r="DZ5" s="200" t="b">
        <v>1</v>
      </c>
      <c r="EA5" s="124">
        <v>1</v>
      </c>
      <c r="EB5" s="124">
        <v>0</v>
      </c>
      <c r="EC5" s="124" t="s">
        <v>1634</v>
      </c>
      <c r="ED5" s="124"/>
      <c r="EE5" s="124"/>
      <c r="EF5" s="124">
        <v>2179</v>
      </c>
      <c r="EG5" s="124">
        <v>100</v>
      </c>
      <c r="EH5" s="200">
        <v>0.25</v>
      </c>
      <c r="EI5" s="124">
        <v>1275</v>
      </c>
      <c r="EJ5" s="200">
        <v>0.11</v>
      </c>
      <c r="EK5" s="202">
        <v>39000</v>
      </c>
      <c r="EL5" s="202">
        <v>56000</v>
      </c>
      <c r="EM5" s="202">
        <v>3</v>
      </c>
      <c r="EN5" s="202">
        <v>3</v>
      </c>
      <c r="EO5" s="203">
        <v>14913</v>
      </c>
      <c r="EP5">
        <v>24.5</v>
      </c>
      <c r="EQ5">
        <f t="shared" si="0"/>
        <v>0.38377692658234086</v>
      </c>
      <c r="ER5">
        <f t="shared" si="1"/>
        <v>0.209377655709236</v>
      </c>
    </row>
    <row r="6" spans="1:148" s="203" customFormat="1" ht="15.95" customHeight="1" x14ac:dyDescent="0.25">
      <c r="A6" s="194" t="s">
        <v>59</v>
      </c>
      <c r="B6" s="195">
        <v>0.35751408338546753</v>
      </c>
      <c r="C6" s="194" t="s">
        <v>1421</v>
      </c>
      <c r="D6" s="194" t="s">
        <v>1421</v>
      </c>
      <c r="E6" s="194" t="s">
        <v>110</v>
      </c>
      <c r="F6" s="195" t="b">
        <v>0</v>
      </c>
      <c r="G6" s="194"/>
      <c r="H6" s="194"/>
      <c r="I6" s="194" t="s">
        <v>1635</v>
      </c>
      <c r="J6" s="194" t="s">
        <v>1636</v>
      </c>
      <c r="K6" s="194" t="s">
        <v>69</v>
      </c>
      <c r="L6" s="194"/>
      <c r="M6" s="194"/>
      <c r="N6" s="194" t="s">
        <v>1637</v>
      </c>
      <c r="O6" s="194" t="s">
        <v>1422</v>
      </c>
      <c r="P6" s="196">
        <v>40778</v>
      </c>
      <c r="Q6" s="196">
        <v>40793</v>
      </c>
      <c r="R6" s="196">
        <v>40821</v>
      </c>
      <c r="S6" s="196">
        <v>40854</v>
      </c>
      <c r="T6" s="196">
        <v>40912</v>
      </c>
      <c r="U6" s="197"/>
      <c r="V6" s="195">
        <v>2490</v>
      </c>
      <c r="W6" s="194" t="s">
        <v>68</v>
      </c>
      <c r="X6" s="195">
        <v>39</v>
      </c>
      <c r="Y6" s="195">
        <v>0</v>
      </c>
      <c r="Z6" s="195">
        <v>107</v>
      </c>
      <c r="AA6" s="198">
        <v>0.12</v>
      </c>
      <c r="AB6" s="195">
        <v>1250</v>
      </c>
      <c r="AC6" s="195">
        <v>420</v>
      </c>
      <c r="AD6" s="195">
        <v>0</v>
      </c>
      <c r="AE6" s="195">
        <v>155</v>
      </c>
      <c r="AF6" s="198">
        <v>0.16</v>
      </c>
      <c r="AG6" s="195">
        <v>1500</v>
      </c>
      <c r="AH6" s="124"/>
      <c r="AI6" s="124"/>
      <c r="AJ6" s="199"/>
      <c r="AK6" s="200"/>
      <c r="AL6" s="199">
        <v>40819</v>
      </c>
      <c r="AM6" s="124">
        <v>2486</v>
      </c>
      <c r="AN6" s="201">
        <v>0.28899999999999998</v>
      </c>
      <c r="AO6" s="202">
        <v>7290</v>
      </c>
      <c r="AP6" s="124">
        <v>416</v>
      </c>
      <c r="AQ6" s="124">
        <v>835</v>
      </c>
      <c r="AR6" s="124">
        <v>298</v>
      </c>
      <c r="AS6" s="217">
        <f>AN6</f>
        <v>0.28899999999999998</v>
      </c>
      <c r="AT6" s="199">
        <v>40786</v>
      </c>
      <c r="AU6" s="124">
        <v>2490</v>
      </c>
      <c r="AV6" s="201">
        <v>0.124</v>
      </c>
      <c r="AW6" s="202">
        <v>6880</v>
      </c>
      <c r="AX6" s="124">
        <v>40</v>
      </c>
      <c r="AY6" s="124">
        <v>633</v>
      </c>
      <c r="AZ6" s="124">
        <v>107</v>
      </c>
      <c r="BA6" s="201">
        <f>AV6</f>
        <v>0.124</v>
      </c>
      <c r="BB6" s="199">
        <v>40910</v>
      </c>
      <c r="BC6" s="124">
        <v>2486</v>
      </c>
      <c r="BD6" s="124" t="s">
        <v>1387</v>
      </c>
      <c r="BE6" s="201">
        <v>0.01</v>
      </c>
      <c r="BF6" s="124" t="s">
        <v>1386</v>
      </c>
      <c r="BG6" s="201">
        <v>0.10100000000000001</v>
      </c>
      <c r="BH6" s="124" t="s">
        <v>1389</v>
      </c>
      <c r="BI6" s="201">
        <v>7.4999999999999997E-2</v>
      </c>
      <c r="BJ6" s="124" t="s">
        <v>1397</v>
      </c>
      <c r="BK6" s="201">
        <v>-2.9000000000000001E-2</v>
      </c>
      <c r="BL6" s="124"/>
      <c r="BM6" s="201"/>
      <c r="BN6" s="201"/>
      <c r="BO6" s="201"/>
      <c r="BP6" s="201"/>
      <c r="BQ6" s="201"/>
      <c r="BR6" s="201"/>
      <c r="BS6" s="201"/>
      <c r="BT6" s="201"/>
      <c r="BU6" s="201"/>
      <c r="BV6" s="201"/>
      <c r="BW6" s="201"/>
      <c r="BX6" s="201">
        <v>0.157</v>
      </c>
      <c r="BY6" s="202">
        <v>7278</v>
      </c>
      <c r="BZ6" s="124">
        <v>420</v>
      </c>
      <c r="CA6" s="202">
        <v>832</v>
      </c>
      <c r="CB6" s="202">
        <v>155</v>
      </c>
      <c r="CC6" s="201">
        <f>BX6</f>
        <v>0.157</v>
      </c>
      <c r="CD6" s="199">
        <v>40763</v>
      </c>
      <c r="CE6" s="124" t="b">
        <v>1</v>
      </c>
      <c r="CF6" s="124" t="b">
        <v>1</v>
      </c>
      <c r="CG6" s="124" t="s">
        <v>1422</v>
      </c>
      <c r="CH6" s="124">
        <v>1358</v>
      </c>
      <c r="CI6" s="200">
        <v>0.1</v>
      </c>
      <c r="CJ6" s="200"/>
      <c r="CK6" s="124">
        <v>2490</v>
      </c>
      <c r="CL6" s="124">
        <v>187</v>
      </c>
      <c r="CM6" s="124">
        <v>336</v>
      </c>
      <c r="CN6" s="124">
        <v>6880</v>
      </c>
      <c r="CO6" s="124">
        <v>6841</v>
      </c>
      <c r="CP6" s="124">
        <f>CN6-CO6</f>
        <v>39</v>
      </c>
      <c r="CQ6" s="124">
        <v>633</v>
      </c>
      <c r="CR6" s="124">
        <v>526</v>
      </c>
      <c r="CS6" s="124">
        <f>CQ6-CR6</f>
        <v>107</v>
      </c>
      <c r="CT6" s="200">
        <v>0.12</v>
      </c>
      <c r="CU6" s="199">
        <v>40830</v>
      </c>
      <c r="CV6" s="124">
        <v>1361</v>
      </c>
      <c r="CW6" s="200">
        <v>0.05</v>
      </c>
      <c r="CX6" s="200"/>
      <c r="CY6" s="202">
        <f>CN6</f>
        <v>6880</v>
      </c>
      <c r="CZ6" s="202">
        <v>6826</v>
      </c>
      <c r="DA6" s="202">
        <f>CY6-CZ6</f>
        <v>54</v>
      </c>
      <c r="DB6" s="202">
        <f>CQ6</f>
        <v>633</v>
      </c>
      <c r="DC6" s="202">
        <v>526</v>
      </c>
      <c r="DD6" s="202">
        <f>DB6-DC6</f>
        <v>107</v>
      </c>
      <c r="DE6" s="200">
        <v>0.13</v>
      </c>
      <c r="DF6" s="200"/>
      <c r="DG6" s="124">
        <v>416</v>
      </c>
      <c r="DH6" s="124">
        <v>298</v>
      </c>
      <c r="DI6" s="200">
        <v>0.28999999999999998</v>
      </c>
      <c r="DJ6" s="124" t="b">
        <v>0</v>
      </c>
      <c r="DK6" s="124" t="b">
        <v>1</v>
      </c>
      <c r="DL6" s="124">
        <v>1</v>
      </c>
      <c r="DM6" s="124">
        <v>0</v>
      </c>
      <c r="DN6" s="124" t="s">
        <v>1638</v>
      </c>
      <c r="DO6" s="124" t="s">
        <v>1633</v>
      </c>
      <c r="DP6" s="124">
        <v>10</v>
      </c>
      <c r="DQ6" s="124">
        <v>40</v>
      </c>
      <c r="DR6" s="124">
        <v>3977</v>
      </c>
      <c r="DS6" s="200">
        <v>0.28000000000000003</v>
      </c>
      <c r="DT6" s="124">
        <v>107</v>
      </c>
      <c r="DU6" s="201">
        <v>0.12</v>
      </c>
      <c r="DV6" s="124">
        <v>420</v>
      </c>
      <c r="DW6" s="124">
        <v>155</v>
      </c>
      <c r="DX6" s="200">
        <v>0.16</v>
      </c>
      <c r="DY6" s="200" t="b">
        <v>0</v>
      </c>
      <c r="DZ6" s="200" t="b">
        <v>1</v>
      </c>
      <c r="EA6" s="124">
        <v>0</v>
      </c>
      <c r="EB6" s="124">
        <v>0</v>
      </c>
      <c r="EC6" s="124"/>
      <c r="ED6" s="124"/>
      <c r="EE6" s="124">
        <v>2</v>
      </c>
      <c r="EF6" s="124">
        <v>56</v>
      </c>
      <c r="EG6" s="124">
        <v>107</v>
      </c>
      <c r="EH6" s="200">
        <v>0.13</v>
      </c>
      <c r="EI6" s="124">
        <v>2002</v>
      </c>
      <c r="EJ6" s="200">
        <v>7.0000000000000007E-2</v>
      </c>
      <c r="EK6" s="202"/>
      <c r="EL6" s="202"/>
      <c r="EM6" s="202"/>
      <c r="EN6" s="202"/>
      <c r="EO6" s="203">
        <v>19888</v>
      </c>
      <c r="EP6">
        <v>24.5</v>
      </c>
      <c r="EQ6">
        <f t="shared" si="0"/>
        <v>0.48972203523404539</v>
      </c>
      <c r="ER6">
        <f t="shared" si="1"/>
        <v>0.24652338811630845</v>
      </c>
    </row>
    <row r="7" spans="1:148" ht="15.95" customHeight="1" x14ac:dyDescent="0.25">
      <c r="A7" s="109" t="s">
        <v>59</v>
      </c>
      <c r="B7" s="136">
        <v>0.96900069713592529</v>
      </c>
      <c r="C7" s="109" t="s">
        <v>1639</v>
      </c>
      <c r="D7" s="109" t="s">
        <v>1639</v>
      </c>
      <c r="E7" s="109" t="s">
        <v>110</v>
      </c>
      <c r="F7" s="136" t="b">
        <v>0</v>
      </c>
      <c r="G7" s="109"/>
      <c r="H7" s="109"/>
      <c r="I7" s="109" t="s">
        <v>1640</v>
      </c>
      <c r="J7" s="109" t="s">
        <v>1641</v>
      </c>
      <c r="K7" s="109" t="s">
        <v>1642</v>
      </c>
      <c r="L7" s="109"/>
      <c r="M7" s="109"/>
      <c r="N7" s="109" t="s">
        <v>1643</v>
      </c>
      <c r="O7" s="109" t="s">
        <v>1491</v>
      </c>
      <c r="P7" s="137">
        <v>40786</v>
      </c>
      <c r="Q7" s="137">
        <v>40799</v>
      </c>
      <c r="R7" s="137">
        <v>40830</v>
      </c>
      <c r="S7" s="137">
        <v>40899</v>
      </c>
      <c r="T7" s="137">
        <v>40921</v>
      </c>
      <c r="U7" s="138"/>
      <c r="V7" s="136">
        <v>1302</v>
      </c>
      <c r="W7" s="109" t="s">
        <v>68</v>
      </c>
      <c r="X7" s="136">
        <v>0</v>
      </c>
      <c r="Y7" s="136">
        <v>61</v>
      </c>
      <c r="Z7" s="139"/>
      <c r="AA7" s="140">
        <v>1000</v>
      </c>
      <c r="AB7" s="136">
        <v>85</v>
      </c>
      <c r="AC7" s="136">
        <v>85</v>
      </c>
      <c r="AD7" s="136">
        <v>0</v>
      </c>
      <c r="AE7" s="136">
        <v>61</v>
      </c>
      <c r="AF7" s="140">
        <v>0.1</v>
      </c>
      <c r="AG7" s="136">
        <v>1000</v>
      </c>
      <c r="AH7" s="103"/>
      <c r="AI7" s="103"/>
      <c r="AJ7" s="141"/>
      <c r="AK7" s="142"/>
      <c r="AL7" s="141"/>
      <c r="AM7" s="103"/>
      <c r="AN7" s="143"/>
      <c r="AO7" s="144"/>
      <c r="AP7" s="103"/>
      <c r="AQ7" s="103"/>
      <c r="AR7" s="103"/>
      <c r="AS7" s="143"/>
      <c r="AT7" s="141"/>
      <c r="AU7" s="103"/>
      <c r="AV7" s="143"/>
      <c r="AW7" s="144"/>
      <c r="AX7" s="103"/>
      <c r="AY7" s="103"/>
      <c r="AZ7" s="103"/>
      <c r="BA7" s="143"/>
      <c r="BB7" s="141"/>
      <c r="BC7" s="103"/>
      <c r="BD7" s="103"/>
      <c r="BE7" s="143"/>
      <c r="BF7" s="103"/>
      <c r="BG7" s="143"/>
      <c r="BH7" s="103"/>
      <c r="BI7" s="143"/>
      <c r="BJ7" s="103"/>
      <c r="BK7" s="143"/>
      <c r="BL7" s="103"/>
      <c r="BM7" s="143"/>
      <c r="BN7" s="143"/>
      <c r="BO7" s="143"/>
      <c r="BP7" s="143"/>
      <c r="BQ7" s="143"/>
      <c r="BR7" s="143"/>
      <c r="BS7" s="143"/>
      <c r="BT7" s="143"/>
      <c r="BU7" s="143"/>
      <c r="BV7" s="143"/>
      <c r="BW7" s="143"/>
      <c r="BX7" s="143"/>
      <c r="BY7" s="144"/>
      <c r="BZ7" s="103"/>
      <c r="CA7" s="144"/>
      <c r="CB7" s="144"/>
      <c r="CC7" s="143"/>
      <c r="CD7" s="141">
        <v>40662</v>
      </c>
      <c r="CE7" s="103" t="b">
        <v>1</v>
      </c>
      <c r="CF7" s="103" t="b">
        <v>1</v>
      </c>
      <c r="CG7" s="103" t="s">
        <v>1491</v>
      </c>
      <c r="CH7" s="103">
        <v>2713</v>
      </c>
      <c r="CI7" s="142">
        <v>0.15</v>
      </c>
      <c r="CJ7" s="142"/>
      <c r="CK7" s="103">
        <v>1302</v>
      </c>
      <c r="CL7" s="103"/>
      <c r="CM7" s="103"/>
      <c r="CN7" s="103"/>
      <c r="CO7" s="103"/>
      <c r="CP7" s="103"/>
      <c r="CQ7" s="103"/>
      <c r="CR7" s="103"/>
      <c r="CS7" s="103"/>
      <c r="CT7" s="142"/>
      <c r="CU7" s="141">
        <v>40890</v>
      </c>
      <c r="CV7" s="103">
        <v>2581</v>
      </c>
      <c r="CW7" s="142">
        <v>0.06</v>
      </c>
      <c r="CX7" s="142"/>
      <c r="CY7" s="144"/>
      <c r="CZ7" s="144"/>
      <c r="DA7" s="144"/>
      <c r="DB7" s="144"/>
      <c r="DC7" s="144"/>
      <c r="DD7" s="144"/>
      <c r="DE7" s="142"/>
      <c r="DF7" s="142"/>
      <c r="DG7" s="103"/>
      <c r="DH7" s="103"/>
      <c r="DI7" s="103"/>
      <c r="DJ7" s="103"/>
      <c r="DK7" s="103"/>
      <c r="DL7" s="103"/>
      <c r="DM7" s="103"/>
      <c r="DN7" s="103"/>
      <c r="DO7" s="103"/>
      <c r="DP7" s="100" t="s">
        <v>1874</v>
      </c>
      <c r="DQ7" s="103"/>
      <c r="DR7" s="103"/>
      <c r="DS7" s="142"/>
      <c r="DT7" s="103"/>
      <c r="DU7" s="143"/>
      <c r="DV7" s="103"/>
      <c r="DW7" s="103"/>
      <c r="DX7" s="142"/>
      <c r="DY7" s="142" t="b">
        <v>0</v>
      </c>
      <c r="DZ7" s="142" t="b">
        <v>0</v>
      </c>
      <c r="EA7" s="103">
        <v>0</v>
      </c>
      <c r="EB7" s="103">
        <v>0</v>
      </c>
      <c r="EC7" s="103"/>
      <c r="ED7" s="103"/>
      <c r="EE7" s="103"/>
      <c r="EF7" s="103"/>
      <c r="EG7" s="103"/>
      <c r="EH7" s="103"/>
      <c r="EI7" s="103">
        <v>2254</v>
      </c>
      <c r="EJ7" s="142">
        <v>0.06</v>
      </c>
      <c r="EK7" s="134"/>
      <c r="EL7" s="134"/>
      <c r="EM7" s="134"/>
      <c r="EN7" s="134"/>
      <c r="EO7">
        <v>10416</v>
      </c>
      <c r="EP7">
        <v>24.5</v>
      </c>
      <c r="ER7">
        <f t="shared" si="1"/>
        <v>0.52995391705069128</v>
      </c>
    </row>
    <row r="8" spans="1:148" ht="15.95" customHeight="1" x14ac:dyDescent="0.25">
      <c r="A8" s="110" t="s">
        <v>59</v>
      </c>
      <c r="B8" s="145">
        <v>0.87281495332717896</v>
      </c>
      <c r="C8" s="110" t="s">
        <v>1423</v>
      </c>
      <c r="D8" s="110" t="s">
        <v>1423</v>
      </c>
      <c r="E8" s="110" t="s">
        <v>110</v>
      </c>
      <c r="F8" s="145" t="b">
        <v>0</v>
      </c>
      <c r="G8" s="110"/>
      <c r="H8" s="110"/>
      <c r="I8" s="110" t="s">
        <v>1630</v>
      </c>
      <c r="J8" s="110" t="s">
        <v>1631</v>
      </c>
      <c r="K8" s="110" t="s">
        <v>69</v>
      </c>
      <c r="L8" s="110"/>
      <c r="M8" s="110"/>
      <c r="N8" s="110" t="s">
        <v>1644</v>
      </c>
      <c r="O8" s="110" t="s">
        <v>1422</v>
      </c>
      <c r="P8" s="146">
        <v>40827</v>
      </c>
      <c r="Q8" s="146">
        <v>40829</v>
      </c>
      <c r="R8" s="146">
        <v>40861</v>
      </c>
      <c r="S8" s="146">
        <v>40899</v>
      </c>
      <c r="T8" s="146">
        <v>40945</v>
      </c>
      <c r="U8" s="91"/>
      <c r="V8" s="145">
        <v>1587</v>
      </c>
      <c r="W8" s="110" t="s">
        <v>68</v>
      </c>
      <c r="X8" s="145">
        <v>3134</v>
      </c>
      <c r="Y8" s="145">
        <v>5</v>
      </c>
      <c r="Z8" s="145">
        <v>94</v>
      </c>
      <c r="AA8" s="147">
        <v>0.26</v>
      </c>
      <c r="AB8" s="145">
        <v>2500</v>
      </c>
      <c r="AC8" s="145">
        <v>3933</v>
      </c>
      <c r="AD8" s="145">
        <v>6</v>
      </c>
      <c r="AE8" s="145">
        <v>112</v>
      </c>
      <c r="AF8" s="147">
        <v>0.28999999999999998</v>
      </c>
      <c r="AG8" s="145">
        <v>2500</v>
      </c>
      <c r="AH8" s="100"/>
      <c r="AI8" s="100"/>
      <c r="AJ8" s="132"/>
      <c r="AK8" s="133"/>
      <c r="AL8" s="132">
        <v>40858</v>
      </c>
      <c r="AM8" s="100">
        <v>1676</v>
      </c>
      <c r="AN8" s="98">
        <v>0.28899999999999998</v>
      </c>
      <c r="AO8" s="99">
        <v>11026</v>
      </c>
      <c r="AP8" s="100">
        <v>4074</v>
      </c>
      <c r="AQ8" s="100">
        <v>485</v>
      </c>
      <c r="AR8" s="100">
        <v>109</v>
      </c>
      <c r="AS8" s="135">
        <f>AN8</f>
        <v>0.28899999999999998</v>
      </c>
      <c r="AT8" s="132">
        <v>40819</v>
      </c>
      <c r="AU8" s="100">
        <v>1587</v>
      </c>
      <c r="AV8" s="98">
        <v>0.25700000000000001</v>
      </c>
      <c r="AW8" s="99">
        <v>9721</v>
      </c>
      <c r="AX8" s="100">
        <v>3134</v>
      </c>
      <c r="AY8" s="100">
        <v>448</v>
      </c>
      <c r="AZ8" s="100">
        <v>93</v>
      </c>
      <c r="BA8" s="98">
        <f>AV8</f>
        <v>0.25700000000000001</v>
      </c>
      <c r="BB8" s="132">
        <v>40941</v>
      </c>
      <c r="BC8" s="100">
        <v>1676</v>
      </c>
      <c r="BD8" s="100" t="s">
        <v>1387</v>
      </c>
      <c r="BE8" s="98">
        <v>5.0999999999999997E-2</v>
      </c>
      <c r="BF8" s="100" t="s">
        <v>1396</v>
      </c>
      <c r="BG8" s="98">
        <v>8.6999999999999994E-2</v>
      </c>
      <c r="BH8" s="100" t="s">
        <v>1386</v>
      </c>
      <c r="BI8" s="98">
        <v>4.2999999999999997E-2</v>
      </c>
      <c r="BJ8" s="100" t="s">
        <v>1389</v>
      </c>
      <c r="BK8" s="98">
        <v>3.9E-2</v>
      </c>
      <c r="BL8" s="100" t="s">
        <v>1394</v>
      </c>
      <c r="BM8" s="98">
        <v>8.5999999999999993E-2</v>
      </c>
      <c r="BN8" s="98"/>
      <c r="BO8" s="98"/>
      <c r="BP8" s="98"/>
      <c r="BQ8" s="98"/>
      <c r="BR8" s="98"/>
      <c r="BS8" s="98"/>
      <c r="BT8" s="98"/>
      <c r="BU8" s="98"/>
      <c r="BV8" s="98"/>
      <c r="BW8" s="98"/>
      <c r="BX8" s="98">
        <v>0.28599999999999998</v>
      </c>
      <c r="BY8" s="99">
        <v>11026</v>
      </c>
      <c r="BZ8" s="100">
        <v>3933</v>
      </c>
      <c r="CA8" s="134">
        <v>485</v>
      </c>
      <c r="CB8" s="134">
        <v>112</v>
      </c>
      <c r="CC8" s="98">
        <f>BX8</f>
        <v>0.28599999999999998</v>
      </c>
      <c r="CD8" s="132">
        <v>40815</v>
      </c>
      <c r="CE8" s="100" t="b">
        <v>1</v>
      </c>
      <c r="CF8" s="100" t="b">
        <v>1</v>
      </c>
      <c r="CG8" s="100" t="s">
        <v>1422</v>
      </c>
      <c r="CH8" s="100">
        <v>3310</v>
      </c>
      <c r="CI8" s="133">
        <v>0.3</v>
      </c>
      <c r="CJ8" s="133"/>
      <c r="CK8" s="100">
        <v>1587</v>
      </c>
      <c r="CL8" s="99">
        <v>14105</v>
      </c>
      <c r="CM8" s="100">
        <v>817</v>
      </c>
      <c r="CN8" s="100">
        <v>9721</v>
      </c>
      <c r="CO8" s="100">
        <v>6587</v>
      </c>
      <c r="CP8" s="100">
        <f>CN8-CO8</f>
        <v>3134</v>
      </c>
      <c r="CQ8" s="100">
        <v>448</v>
      </c>
      <c r="CR8" s="100">
        <v>354</v>
      </c>
      <c r="CS8" s="100">
        <f>CQ8-CR8</f>
        <v>94</v>
      </c>
      <c r="CT8" s="133">
        <v>0.26</v>
      </c>
      <c r="CU8" s="132">
        <v>40883</v>
      </c>
      <c r="CV8" s="100">
        <v>1675</v>
      </c>
      <c r="CW8" s="133">
        <v>0.09</v>
      </c>
      <c r="CX8" s="133"/>
      <c r="CY8" s="99">
        <f>CN8</f>
        <v>9721</v>
      </c>
      <c r="CZ8" s="99">
        <v>6603</v>
      </c>
      <c r="DA8" s="99">
        <f>CY8-CZ8</f>
        <v>3118</v>
      </c>
      <c r="DB8" s="99">
        <f>CQ8</f>
        <v>448</v>
      </c>
      <c r="DC8" s="99">
        <v>348</v>
      </c>
      <c r="DD8" s="99">
        <f>DB8-DC8</f>
        <v>100</v>
      </c>
      <c r="DE8" s="133">
        <v>0.26</v>
      </c>
      <c r="DF8" s="133"/>
      <c r="DG8" s="100">
        <v>4074</v>
      </c>
      <c r="DH8" s="100">
        <v>109</v>
      </c>
      <c r="DI8" s="133">
        <v>0.28999999999999998</v>
      </c>
      <c r="DJ8" s="100" t="b">
        <v>0</v>
      </c>
      <c r="DK8" s="100" t="b">
        <v>0</v>
      </c>
      <c r="DL8" s="100">
        <v>0</v>
      </c>
      <c r="DM8" s="100">
        <v>0</v>
      </c>
      <c r="DN8" s="100"/>
      <c r="DO8" s="100"/>
      <c r="DP8" s="100">
        <v>5</v>
      </c>
      <c r="DQ8" s="100">
        <v>4074</v>
      </c>
      <c r="DR8" s="100">
        <v>3430</v>
      </c>
      <c r="DS8" s="133">
        <v>0.28000000000000003</v>
      </c>
      <c r="DT8" s="100">
        <v>109</v>
      </c>
      <c r="DU8" s="98">
        <v>0.28999999999999998</v>
      </c>
      <c r="DV8" s="100">
        <v>3933</v>
      </c>
      <c r="DW8" s="100">
        <v>112</v>
      </c>
      <c r="DX8" s="133">
        <v>0.28999999999999998</v>
      </c>
      <c r="DY8" s="133" t="b">
        <v>0</v>
      </c>
      <c r="DZ8" s="133" t="b">
        <v>0</v>
      </c>
      <c r="EA8" s="100">
        <v>0</v>
      </c>
      <c r="EB8" s="100">
        <v>1</v>
      </c>
      <c r="EC8" s="100"/>
      <c r="ED8" s="100"/>
      <c r="EE8" s="100">
        <v>1</v>
      </c>
      <c r="EF8" s="100">
        <v>3286</v>
      </c>
      <c r="EG8" s="100">
        <v>100</v>
      </c>
      <c r="EH8" s="133">
        <v>0.28999999999999998</v>
      </c>
      <c r="EI8" s="100">
        <v>1572</v>
      </c>
      <c r="EJ8" s="133">
        <v>0.11</v>
      </c>
      <c r="EK8" s="99">
        <v>60800</v>
      </c>
      <c r="EL8" s="99">
        <v>60800</v>
      </c>
      <c r="EM8" s="99">
        <v>3</v>
      </c>
      <c r="EN8" s="99">
        <v>3</v>
      </c>
      <c r="EO8" s="236">
        <v>15084</v>
      </c>
      <c r="EP8">
        <v>24.5</v>
      </c>
      <c r="EQ8">
        <f t="shared" si="0"/>
        <v>0.55688146380270487</v>
      </c>
      <c r="ER8">
        <f t="shared" si="1"/>
        <v>0.25522380790024846</v>
      </c>
    </row>
    <row r="9" spans="1:148" s="214" customFormat="1" ht="15.95" customHeight="1" x14ac:dyDescent="0.25">
      <c r="A9" s="218" t="s">
        <v>59</v>
      </c>
      <c r="B9" s="219">
        <v>0.84690350294113159</v>
      </c>
      <c r="C9" s="218" t="s">
        <v>1424</v>
      </c>
      <c r="D9" s="218" t="s">
        <v>1424</v>
      </c>
      <c r="E9" s="218" t="s">
        <v>110</v>
      </c>
      <c r="F9" s="219" t="b">
        <v>0</v>
      </c>
      <c r="G9" s="218"/>
      <c r="H9" s="218"/>
      <c r="I9" s="218" t="s">
        <v>1645</v>
      </c>
      <c r="J9" s="218" t="s">
        <v>1646</v>
      </c>
      <c r="K9" s="218" t="s">
        <v>69</v>
      </c>
      <c r="L9" s="218"/>
      <c r="M9" s="218"/>
      <c r="N9" s="218" t="s">
        <v>1647</v>
      </c>
      <c r="O9" s="218" t="s">
        <v>1422</v>
      </c>
      <c r="P9" s="220">
        <v>40773</v>
      </c>
      <c r="Q9" s="220">
        <v>40780</v>
      </c>
      <c r="R9" s="220">
        <v>40808</v>
      </c>
      <c r="S9" s="220">
        <v>40854</v>
      </c>
      <c r="T9" s="220">
        <v>40919</v>
      </c>
      <c r="U9" s="221"/>
      <c r="V9" s="219">
        <v>1504</v>
      </c>
      <c r="W9" s="218" t="s">
        <v>68</v>
      </c>
      <c r="X9" s="219">
        <v>2422</v>
      </c>
      <c r="Y9" s="219">
        <v>3</v>
      </c>
      <c r="Z9" s="219">
        <v>273</v>
      </c>
      <c r="AA9" s="222">
        <v>0.43</v>
      </c>
      <c r="AB9" s="219">
        <v>4000</v>
      </c>
      <c r="AC9" s="219">
        <v>1983</v>
      </c>
      <c r="AD9" s="219">
        <v>2</v>
      </c>
      <c r="AE9" s="219">
        <v>81</v>
      </c>
      <c r="AF9" s="222">
        <v>0.18</v>
      </c>
      <c r="AG9" s="219">
        <v>1500</v>
      </c>
      <c r="AH9" s="209"/>
      <c r="AI9" s="209"/>
      <c r="AJ9" s="210">
        <v>40912</v>
      </c>
      <c r="AK9" s="211">
        <v>0.18</v>
      </c>
      <c r="AL9" s="210">
        <v>40807</v>
      </c>
      <c r="AM9" s="209">
        <v>1428</v>
      </c>
      <c r="AN9" s="212">
        <v>0.41499999999999998</v>
      </c>
      <c r="AO9" s="213">
        <v>9556</v>
      </c>
      <c r="AP9" s="209">
        <v>2630</v>
      </c>
      <c r="AQ9" s="209">
        <v>482</v>
      </c>
      <c r="AR9" s="209">
        <v>245</v>
      </c>
      <c r="AS9" s="212">
        <f>AN9</f>
        <v>0.41499999999999998</v>
      </c>
      <c r="AT9" s="210">
        <v>40777</v>
      </c>
      <c r="AU9" s="209">
        <v>1536</v>
      </c>
      <c r="AV9" s="212">
        <v>0.43099999999999999</v>
      </c>
      <c r="AW9" s="213">
        <v>8802</v>
      </c>
      <c r="AX9" s="209">
        <v>2423</v>
      </c>
      <c r="AY9" s="209">
        <v>526</v>
      </c>
      <c r="AZ9" s="209">
        <v>273</v>
      </c>
      <c r="BA9" s="212">
        <f>AV9</f>
        <v>0.43099999999999999</v>
      </c>
      <c r="BB9" s="210">
        <v>40905</v>
      </c>
      <c r="BC9" s="209">
        <v>1428</v>
      </c>
      <c r="BD9" s="209" t="s">
        <v>1387</v>
      </c>
      <c r="BE9" s="212">
        <v>8.1000000000000003E-2</v>
      </c>
      <c r="BF9" s="209" t="s">
        <v>1389</v>
      </c>
      <c r="BG9" s="212">
        <v>8.6999999999999994E-2</v>
      </c>
      <c r="BH9" s="209" t="s">
        <v>1393</v>
      </c>
      <c r="BI9" s="212">
        <v>0</v>
      </c>
      <c r="BJ9" s="209" t="s">
        <v>1386</v>
      </c>
      <c r="BK9" s="212">
        <v>0.02</v>
      </c>
      <c r="BL9" s="209"/>
      <c r="BM9" s="212"/>
      <c r="BN9" s="212"/>
      <c r="BO9" s="212"/>
      <c r="BP9" s="212"/>
      <c r="BQ9" s="212"/>
      <c r="BR9" s="212"/>
      <c r="BS9" s="212"/>
      <c r="BT9" s="212"/>
      <c r="BU9" s="212"/>
      <c r="BV9" s="212"/>
      <c r="BW9" s="212"/>
      <c r="BX9" s="212">
        <v>0.17899999999999999</v>
      </c>
      <c r="BY9" s="213">
        <v>9759</v>
      </c>
      <c r="BZ9" s="209">
        <v>1983</v>
      </c>
      <c r="CA9" s="213">
        <v>499</v>
      </c>
      <c r="CB9" s="213">
        <v>81</v>
      </c>
      <c r="CC9" s="212">
        <f>BX9</f>
        <v>0.17899999999999999</v>
      </c>
      <c r="CD9" s="210">
        <v>40773</v>
      </c>
      <c r="CE9" s="209" t="b">
        <v>1</v>
      </c>
      <c r="CF9" s="209" t="b">
        <v>1</v>
      </c>
      <c r="CG9" s="209" t="s">
        <v>1422</v>
      </c>
      <c r="CH9" s="209">
        <v>1428</v>
      </c>
      <c r="CI9" s="211">
        <v>0.28000000000000003</v>
      </c>
      <c r="CJ9" s="211"/>
      <c r="CK9" s="209">
        <v>1428</v>
      </c>
      <c r="CL9" s="209">
        <v>5736</v>
      </c>
      <c r="CM9" s="209">
        <v>162</v>
      </c>
      <c r="CN9" s="209">
        <v>9556</v>
      </c>
      <c r="CO9" s="209">
        <v>7309</v>
      </c>
      <c r="CP9" s="209">
        <f>CN9-CO9</f>
        <v>2247</v>
      </c>
      <c r="CQ9" s="209">
        <v>482</v>
      </c>
      <c r="CR9" s="209">
        <v>398</v>
      </c>
      <c r="CS9" s="209">
        <f>CQ9-CR9</f>
        <v>84</v>
      </c>
      <c r="CT9" s="211">
        <v>0.2</v>
      </c>
      <c r="CU9" s="210">
        <v>40803</v>
      </c>
      <c r="CV9" s="209">
        <v>1485</v>
      </c>
      <c r="CW9" s="211">
        <v>0.02</v>
      </c>
      <c r="CX9" s="211"/>
      <c r="CY9" s="213">
        <f>CN9</f>
        <v>9556</v>
      </c>
      <c r="CZ9" s="213">
        <v>7311</v>
      </c>
      <c r="DA9" s="213">
        <f>CY9-CZ9</f>
        <v>2245</v>
      </c>
      <c r="DB9" s="213">
        <f>CQ9</f>
        <v>482</v>
      </c>
      <c r="DC9" s="213">
        <v>398</v>
      </c>
      <c r="DD9" s="213">
        <f>DB9-DC9</f>
        <v>84</v>
      </c>
      <c r="DE9" s="211">
        <v>0.2</v>
      </c>
      <c r="DF9" s="211"/>
      <c r="DG9" s="209">
        <v>2630</v>
      </c>
      <c r="DH9" s="209">
        <v>245</v>
      </c>
      <c r="DI9" s="211">
        <v>0.42</v>
      </c>
      <c r="DJ9" s="209" t="b">
        <v>0</v>
      </c>
      <c r="DK9" s="209" t="b">
        <v>0</v>
      </c>
      <c r="DL9" s="209">
        <v>1</v>
      </c>
      <c r="DM9" s="209">
        <v>0</v>
      </c>
      <c r="DN9" s="209" t="s">
        <v>1648</v>
      </c>
      <c r="DO9" s="209"/>
      <c r="DP9" s="209">
        <v>5</v>
      </c>
      <c r="DQ9" s="209">
        <v>2435</v>
      </c>
      <c r="DR9" s="209">
        <v>2480</v>
      </c>
      <c r="DS9" s="211">
        <v>0.28000000000000003</v>
      </c>
      <c r="DT9" s="209">
        <v>277</v>
      </c>
      <c r="DU9" s="212">
        <v>0.44</v>
      </c>
      <c r="DV9" s="209">
        <v>1983</v>
      </c>
      <c r="DW9" s="209">
        <v>81</v>
      </c>
      <c r="DX9" s="211">
        <v>0.18</v>
      </c>
      <c r="DY9" s="211" t="b">
        <v>0</v>
      </c>
      <c r="DZ9" s="211" t="b">
        <v>0</v>
      </c>
      <c r="EA9" s="209">
        <v>0</v>
      </c>
      <c r="EB9" s="209">
        <v>0</v>
      </c>
      <c r="EC9" s="209"/>
      <c r="ED9" s="209"/>
      <c r="EE9" s="209">
        <v>3</v>
      </c>
      <c r="EF9" s="209">
        <v>1983</v>
      </c>
      <c r="EG9" s="209">
        <v>81</v>
      </c>
      <c r="EH9" s="211">
        <v>0.18</v>
      </c>
      <c r="EI9" s="209">
        <v>1485</v>
      </c>
      <c r="EJ9" s="211">
        <v>7.0000000000000007E-2</v>
      </c>
      <c r="EK9" s="213"/>
      <c r="EL9" s="213"/>
      <c r="EM9" s="213"/>
      <c r="EN9" s="213"/>
      <c r="EO9" s="214">
        <v>11424</v>
      </c>
      <c r="EP9">
        <v>24.5</v>
      </c>
      <c r="EQ9">
        <f t="shared" si="0"/>
        <v>0.53164122791973933</v>
      </c>
      <c r="ER9">
        <f t="shared" si="1"/>
        <v>0.31834162236323105</v>
      </c>
    </row>
    <row r="10" spans="1:148" s="214" customFormat="1" ht="15.95" customHeight="1" x14ac:dyDescent="0.25">
      <c r="A10" s="218" t="s">
        <v>59</v>
      </c>
      <c r="B10" s="219">
        <v>0.83361005783081055</v>
      </c>
      <c r="C10" s="218" t="s">
        <v>1425</v>
      </c>
      <c r="D10" s="218" t="s">
        <v>1425</v>
      </c>
      <c r="E10" s="218" t="s">
        <v>110</v>
      </c>
      <c r="F10" s="219" t="b">
        <v>0</v>
      </c>
      <c r="G10" s="218"/>
      <c r="H10" s="218"/>
      <c r="I10" s="218" t="s">
        <v>1649</v>
      </c>
      <c r="J10" s="218" t="s">
        <v>1650</v>
      </c>
      <c r="K10" s="218" t="s">
        <v>69</v>
      </c>
      <c r="L10" s="218"/>
      <c r="M10" s="218"/>
      <c r="N10" s="218" t="s">
        <v>1647</v>
      </c>
      <c r="O10" s="218" t="s">
        <v>1422</v>
      </c>
      <c r="P10" s="220">
        <v>40772</v>
      </c>
      <c r="Q10" s="220">
        <v>40784</v>
      </c>
      <c r="R10" s="220">
        <v>40829</v>
      </c>
      <c r="S10" s="220">
        <v>40911</v>
      </c>
      <c r="T10" s="220">
        <v>40949</v>
      </c>
      <c r="U10" s="221"/>
      <c r="V10" s="219">
        <v>3089</v>
      </c>
      <c r="W10" s="218" t="s">
        <v>68</v>
      </c>
      <c r="X10" s="219">
        <v>3457</v>
      </c>
      <c r="Y10" s="219">
        <v>4</v>
      </c>
      <c r="Z10" s="219">
        <v>212</v>
      </c>
      <c r="AA10" s="222">
        <v>0.2</v>
      </c>
      <c r="AB10" s="219">
        <v>2000</v>
      </c>
      <c r="AC10" s="219">
        <v>2207</v>
      </c>
      <c r="AD10" s="219">
        <v>2</v>
      </c>
      <c r="AE10" s="219">
        <v>173</v>
      </c>
      <c r="AF10" s="222">
        <v>0.1</v>
      </c>
      <c r="AG10" s="219">
        <v>1250</v>
      </c>
      <c r="AH10" s="209"/>
      <c r="AI10" s="209"/>
      <c r="AJ10" s="210"/>
      <c r="AK10" s="211"/>
      <c r="AL10" s="210">
        <v>40812</v>
      </c>
      <c r="AM10" s="209">
        <v>2997</v>
      </c>
      <c r="AN10" s="212"/>
      <c r="AO10" s="213">
        <v>19841</v>
      </c>
      <c r="AP10" s="209"/>
      <c r="AQ10" s="209">
        <v>1836</v>
      </c>
      <c r="AR10" s="209"/>
      <c r="AS10" s="212"/>
      <c r="AT10" s="210">
        <v>40782</v>
      </c>
      <c r="AU10" s="209">
        <v>3087</v>
      </c>
      <c r="AV10" s="212">
        <v>0.2</v>
      </c>
      <c r="AW10" s="213">
        <v>18696</v>
      </c>
      <c r="AX10" s="209">
        <v>3456</v>
      </c>
      <c r="AY10" s="209">
        <v>1008</v>
      </c>
      <c r="AZ10" s="209">
        <v>211</v>
      </c>
      <c r="BA10" s="212">
        <f>AV10</f>
        <v>0.2</v>
      </c>
      <c r="BB10" s="210"/>
      <c r="BC10" s="209"/>
      <c r="BD10" s="209"/>
      <c r="BE10" s="212"/>
      <c r="BF10" s="209"/>
      <c r="BG10" s="212"/>
      <c r="BH10" s="209"/>
      <c r="BI10" s="212"/>
      <c r="BJ10" s="209"/>
      <c r="BK10" s="212"/>
      <c r="BL10" s="209"/>
      <c r="BM10" s="212"/>
      <c r="BN10" s="212"/>
      <c r="BO10" s="212"/>
      <c r="BP10" s="212"/>
      <c r="BQ10" s="212"/>
      <c r="BR10" s="212"/>
      <c r="BS10" s="212"/>
      <c r="BT10" s="212"/>
      <c r="BU10" s="212"/>
      <c r="BV10" s="212"/>
      <c r="BW10" s="212"/>
      <c r="BX10" s="212"/>
      <c r="BY10" s="213"/>
      <c r="BZ10" s="209"/>
      <c r="CA10" s="213"/>
      <c r="CB10" s="213"/>
      <c r="CC10" s="212"/>
      <c r="CD10" s="210">
        <v>40772</v>
      </c>
      <c r="CE10" s="209" t="b">
        <v>1</v>
      </c>
      <c r="CF10" s="209" t="b">
        <v>1</v>
      </c>
      <c r="CG10" s="209" t="s">
        <v>1422</v>
      </c>
      <c r="CH10" s="209">
        <v>5060</v>
      </c>
      <c r="CI10" s="211">
        <v>0.12</v>
      </c>
      <c r="CJ10" s="211"/>
      <c r="CK10" s="209">
        <v>3089</v>
      </c>
      <c r="CL10" s="209"/>
      <c r="CM10" s="209"/>
      <c r="CN10" s="213">
        <v>18696</v>
      </c>
      <c r="CO10" s="213">
        <v>15239</v>
      </c>
      <c r="CP10" s="209">
        <f>CN10-CO10</f>
        <v>3457</v>
      </c>
      <c r="CQ10" s="209">
        <v>1008</v>
      </c>
      <c r="CR10" s="209">
        <v>796</v>
      </c>
      <c r="CS10" s="209">
        <f>CQ10-CR10</f>
        <v>212</v>
      </c>
      <c r="CT10" s="211">
        <v>0.2</v>
      </c>
      <c r="CU10" s="210"/>
      <c r="CV10" s="209"/>
      <c r="CW10" s="211"/>
      <c r="CX10" s="211"/>
      <c r="CY10" s="213"/>
      <c r="CZ10" s="213"/>
      <c r="DA10" s="213"/>
      <c r="DB10" s="213"/>
      <c r="DC10" s="213"/>
      <c r="DD10" s="213"/>
      <c r="DE10" s="211"/>
      <c r="DF10" s="211"/>
      <c r="DG10" s="209">
        <v>3416</v>
      </c>
      <c r="DH10" s="209">
        <v>214</v>
      </c>
      <c r="DI10" s="211">
        <v>0.13</v>
      </c>
      <c r="DJ10" s="209" t="b">
        <v>0</v>
      </c>
      <c r="DK10" s="209" t="b">
        <v>0</v>
      </c>
      <c r="DL10" s="209">
        <v>1</v>
      </c>
      <c r="DM10" s="209">
        <v>0</v>
      </c>
      <c r="DN10" s="209" t="s">
        <v>1648</v>
      </c>
      <c r="DO10" s="209"/>
      <c r="DP10" s="209">
        <v>21</v>
      </c>
      <c r="DQ10" s="209">
        <v>3416</v>
      </c>
      <c r="DR10" s="209">
        <v>6761</v>
      </c>
      <c r="DS10" s="211">
        <v>0.28000000000000003</v>
      </c>
      <c r="DT10" s="209">
        <v>214</v>
      </c>
      <c r="DU10" s="212">
        <v>0.13</v>
      </c>
      <c r="DV10" s="209"/>
      <c r="DW10" s="209"/>
      <c r="DX10" s="211"/>
      <c r="DY10" s="211"/>
      <c r="DZ10" s="211"/>
      <c r="EA10" s="209"/>
      <c r="EB10" s="209"/>
      <c r="EC10" s="209"/>
      <c r="ED10" s="209"/>
      <c r="EE10" s="209">
        <v>2</v>
      </c>
      <c r="EF10" s="209">
        <v>2207</v>
      </c>
      <c r="EG10" s="209">
        <v>173</v>
      </c>
      <c r="EH10" s="211">
        <v>0.1</v>
      </c>
      <c r="EI10" s="209">
        <v>5658</v>
      </c>
      <c r="EJ10" s="211">
        <v>7.0000000000000007E-2</v>
      </c>
      <c r="EK10" s="213"/>
      <c r="EL10" s="213"/>
      <c r="EM10" s="213"/>
      <c r="EN10" s="213"/>
      <c r="EO10" s="214">
        <v>26973</v>
      </c>
      <c r="EP10">
        <v>24.5</v>
      </c>
      <c r="EQ10">
        <f t="shared" si="0"/>
        <v>0.61385648687235994</v>
      </c>
      <c r="ER10">
        <f t="shared" si="1"/>
        <v>0.51371098990146613</v>
      </c>
    </row>
    <row r="11" spans="1:148" ht="15.95" customHeight="1" x14ac:dyDescent="0.25">
      <c r="A11" s="109" t="s">
        <v>59</v>
      </c>
      <c r="B11" s="136">
        <v>0.80999815464019775</v>
      </c>
      <c r="C11" s="109" t="s">
        <v>1651</v>
      </c>
      <c r="D11" s="109" t="s">
        <v>1651</v>
      </c>
      <c r="E11" s="109" t="s">
        <v>110</v>
      </c>
      <c r="F11" s="136" t="b">
        <v>0</v>
      </c>
      <c r="G11" s="109"/>
      <c r="H11" s="109"/>
      <c r="I11" s="109" t="s">
        <v>1652</v>
      </c>
      <c r="J11" s="109" t="s">
        <v>1653</v>
      </c>
      <c r="K11" s="109" t="s">
        <v>1654</v>
      </c>
      <c r="L11" s="109"/>
      <c r="M11" s="109"/>
      <c r="N11" s="109" t="s">
        <v>1655</v>
      </c>
      <c r="O11" s="109" t="s">
        <v>1491</v>
      </c>
      <c r="P11" s="148"/>
      <c r="Q11" s="137">
        <v>40855</v>
      </c>
      <c r="R11" s="148"/>
      <c r="S11" s="137">
        <v>40850</v>
      </c>
      <c r="T11" s="137">
        <v>40897</v>
      </c>
      <c r="U11" s="138"/>
      <c r="V11" s="136">
        <v>2443</v>
      </c>
      <c r="W11" s="109" t="s">
        <v>68</v>
      </c>
      <c r="X11" s="136">
        <v>231</v>
      </c>
      <c r="Y11" s="136">
        <v>1</v>
      </c>
      <c r="Z11" s="136">
        <v>74</v>
      </c>
      <c r="AA11" s="140">
        <v>0.1</v>
      </c>
      <c r="AB11" s="136">
        <v>1000</v>
      </c>
      <c r="AC11" s="136">
        <v>231</v>
      </c>
      <c r="AD11" s="136">
        <v>1</v>
      </c>
      <c r="AE11" s="136">
        <v>74</v>
      </c>
      <c r="AF11" s="140">
        <v>0.1</v>
      </c>
      <c r="AG11" s="136">
        <v>1000</v>
      </c>
      <c r="AH11" s="103"/>
      <c r="AI11" s="103"/>
      <c r="AJ11" s="141"/>
      <c r="AK11" s="142"/>
      <c r="AL11" s="141"/>
      <c r="AM11" s="103"/>
      <c r="AN11" s="143"/>
      <c r="AO11" s="144"/>
      <c r="AP11" s="103"/>
      <c r="AQ11" s="103"/>
      <c r="AR11" s="103"/>
      <c r="AS11" s="143"/>
      <c r="AT11" s="141"/>
      <c r="AU11" s="103"/>
      <c r="AV11" s="143"/>
      <c r="AW11" s="144"/>
      <c r="AX11" s="103"/>
      <c r="AY11" s="103"/>
      <c r="AZ11" s="103"/>
      <c r="BA11" s="143"/>
      <c r="BB11" s="141"/>
      <c r="BC11" s="103"/>
      <c r="BD11" s="103"/>
      <c r="BE11" s="143"/>
      <c r="BF11" s="103"/>
      <c r="BG11" s="143"/>
      <c r="BH11" s="103"/>
      <c r="BI11" s="143"/>
      <c r="BJ11" s="103"/>
      <c r="BK11" s="143"/>
      <c r="BL11" s="103"/>
      <c r="BM11" s="143"/>
      <c r="BN11" s="143"/>
      <c r="BO11" s="143"/>
      <c r="BP11" s="143"/>
      <c r="BQ11" s="143"/>
      <c r="BR11" s="143"/>
      <c r="BS11" s="143"/>
      <c r="BT11" s="143"/>
      <c r="BU11" s="143"/>
      <c r="BV11" s="143"/>
      <c r="BW11" s="143"/>
      <c r="BX11" s="143"/>
      <c r="BY11" s="144"/>
      <c r="BZ11" s="103"/>
      <c r="CA11" s="144"/>
      <c r="CB11" s="144"/>
      <c r="CC11" s="143"/>
      <c r="CD11" s="141">
        <v>40589</v>
      </c>
      <c r="CE11" s="103" t="b">
        <v>1</v>
      </c>
      <c r="CF11" s="103" t="b">
        <v>1</v>
      </c>
      <c r="CG11" s="103" t="s">
        <v>1491</v>
      </c>
      <c r="CH11" s="103">
        <v>5264</v>
      </c>
      <c r="CI11" s="142">
        <v>0.27</v>
      </c>
      <c r="CJ11" s="142"/>
      <c r="CK11" s="103">
        <v>2443</v>
      </c>
      <c r="CL11" s="103"/>
      <c r="CM11" s="103"/>
      <c r="CN11" s="103"/>
      <c r="CO11" s="103"/>
      <c r="CP11" s="103"/>
      <c r="CQ11" s="103"/>
      <c r="CR11" s="103"/>
      <c r="CS11" s="103"/>
      <c r="CT11" s="142"/>
      <c r="CU11" s="141">
        <v>40742</v>
      </c>
      <c r="CV11" s="103">
        <v>2365</v>
      </c>
      <c r="CW11" s="142">
        <v>0.06</v>
      </c>
      <c r="CX11" s="142"/>
      <c r="CY11" s="144"/>
      <c r="CZ11" s="144"/>
      <c r="DA11" s="144"/>
      <c r="DB11" s="144"/>
      <c r="DC11" s="144"/>
      <c r="DD11" s="144"/>
      <c r="DE11" s="142"/>
      <c r="DF11" s="142"/>
      <c r="DG11" s="103"/>
      <c r="DH11" s="103"/>
      <c r="DI11" s="103"/>
      <c r="DJ11" s="103"/>
      <c r="DK11" s="103"/>
      <c r="DL11" s="103"/>
      <c r="DM11" s="103"/>
      <c r="DN11" s="103"/>
      <c r="DO11" s="103"/>
      <c r="DP11" s="100" t="s">
        <v>1874</v>
      </c>
      <c r="DQ11" s="103"/>
      <c r="DR11" s="103"/>
      <c r="DS11" s="133"/>
      <c r="DT11" s="103"/>
      <c r="DU11" s="143"/>
      <c r="DV11" s="103"/>
      <c r="DW11" s="103"/>
      <c r="DX11" s="142"/>
      <c r="DY11" s="142"/>
      <c r="DZ11" s="142"/>
      <c r="EA11" s="103"/>
      <c r="EB11" s="103"/>
      <c r="EC11" s="103"/>
      <c r="ED11" s="103"/>
      <c r="EE11" s="103"/>
      <c r="EF11" s="103"/>
      <c r="EG11" s="103"/>
      <c r="EH11" s="103"/>
      <c r="EI11" s="103">
        <v>2505</v>
      </c>
      <c r="EJ11" s="142">
        <v>0.14000000000000001</v>
      </c>
      <c r="EK11" s="134"/>
      <c r="EL11" s="134"/>
      <c r="EM11" s="134"/>
      <c r="EN11" s="134"/>
      <c r="EP11">
        <v>24.5</v>
      </c>
    </row>
    <row r="12" spans="1:148" ht="15.95" customHeight="1" x14ac:dyDescent="0.25">
      <c r="A12" s="109" t="s">
        <v>59</v>
      </c>
      <c r="B12" s="136">
        <v>0.62279623746871948</v>
      </c>
      <c r="C12" s="109" t="s">
        <v>1656</v>
      </c>
      <c r="D12" s="109" t="s">
        <v>1656</v>
      </c>
      <c r="E12" s="109" t="s">
        <v>110</v>
      </c>
      <c r="F12" s="136" t="b">
        <v>0</v>
      </c>
      <c r="G12" s="109"/>
      <c r="H12" s="109"/>
      <c r="I12" s="109" t="s">
        <v>1657</v>
      </c>
      <c r="J12" s="109" t="s">
        <v>1658</v>
      </c>
      <c r="K12" s="109" t="s">
        <v>1659</v>
      </c>
      <c r="L12" s="109"/>
      <c r="M12" s="109"/>
      <c r="N12" s="109" t="s">
        <v>1655</v>
      </c>
      <c r="O12" s="109" t="s">
        <v>1491</v>
      </c>
      <c r="P12" s="137">
        <v>40780</v>
      </c>
      <c r="Q12" s="137">
        <v>40855</v>
      </c>
      <c r="R12" s="137">
        <v>40814</v>
      </c>
      <c r="S12" s="137">
        <v>40854</v>
      </c>
      <c r="T12" s="137">
        <v>40877</v>
      </c>
      <c r="U12" s="138"/>
      <c r="V12" s="136">
        <v>1883</v>
      </c>
      <c r="W12" s="109" t="s">
        <v>68</v>
      </c>
      <c r="X12" s="136">
        <v>231</v>
      </c>
      <c r="Y12" s="136">
        <v>1</v>
      </c>
      <c r="Z12" s="136">
        <v>52</v>
      </c>
      <c r="AA12" s="140">
        <v>0.1</v>
      </c>
      <c r="AB12" s="136">
        <v>1000</v>
      </c>
      <c r="AC12" s="136">
        <v>231</v>
      </c>
      <c r="AD12" s="136">
        <v>1</v>
      </c>
      <c r="AE12" s="136">
        <v>52</v>
      </c>
      <c r="AF12" s="140">
        <v>0.1</v>
      </c>
      <c r="AG12" s="136">
        <v>1000</v>
      </c>
      <c r="AH12" s="103"/>
      <c r="AI12" s="103"/>
      <c r="AJ12" s="141"/>
      <c r="AK12" s="142"/>
      <c r="AL12" s="141"/>
      <c r="AM12" s="103"/>
      <c r="AN12" s="143"/>
      <c r="AO12" s="144"/>
      <c r="AP12" s="103"/>
      <c r="AQ12" s="103"/>
      <c r="AR12" s="103"/>
      <c r="AS12" s="143"/>
      <c r="AT12" s="141"/>
      <c r="AU12" s="103"/>
      <c r="AV12" s="143"/>
      <c r="AW12" s="144"/>
      <c r="AX12" s="103"/>
      <c r="AY12" s="103"/>
      <c r="AZ12" s="103"/>
      <c r="BA12" s="143"/>
      <c r="BB12" s="141"/>
      <c r="BC12" s="103"/>
      <c r="BD12" s="103"/>
      <c r="BE12" s="143"/>
      <c r="BF12" s="103"/>
      <c r="BG12" s="143"/>
      <c r="BH12" s="103"/>
      <c r="BI12" s="143"/>
      <c r="BJ12" s="103"/>
      <c r="BK12" s="143"/>
      <c r="BL12" s="103"/>
      <c r="BM12" s="143"/>
      <c r="BN12" s="143"/>
      <c r="BO12" s="143"/>
      <c r="BP12" s="143"/>
      <c r="BQ12" s="143"/>
      <c r="BR12" s="143"/>
      <c r="BS12" s="143"/>
      <c r="BT12" s="143"/>
      <c r="BU12" s="143"/>
      <c r="BV12" s="143"/>
      <c r="BW12" s="143"/>
      <c r="BX12" s="143"/>
      <c r="BY12" s="144"/>
      <c r="BZ12" s="103"/>
      <c r="CA12" s="144"/>
      <c r="CB12" s="144"/>
      <c r="CC12" s="143"/>
      <c r="CD12" s="141">
        <v>40778</v>
      </c>
      <c r="CE12" s="103" t="b">
        <v>1</v>
      </c>
      <c r="CF12" s="103" t="b">
        <v>1</v>
      </c>
      <c r="CG12" s="103" t="s">
        <v>1491</v>
      </c>
      <c r="CH12" s="103">
        <v>5379</v>
      </c>
      <c r="CI12" s="142">
        <v>0.51</v>
      </c>
      <c r="CJ12" s="142"/>
      <c r="CK12" s="103">
        <v>1883</v>
      </c>
      <c r="CL12" s="103"/>
      <c r="CM12" s="103"/>
      <c r="CN12" s="103"/>
      <c r="CO12" s="103"/>
      <c r="CP12" s="103"/>
      <c r="CQ12" s="103"/>
      <c r="CR12" s="103"/>
      <c r="CS12" s="103"/>
      <c r="CT12" s="142"/>
      <c r="CU12" s="141">
        <v>40808</v>
      </c>
      <c r="CV12" s="103">
        <v>3551</v>
      </c>
      <c r="CW12" s="142">
        <v>0.15</v>
      </c>
      <c r="CX12" s="142"/>
      <c r="CY12" s="144"/>
      <c r="CZ12" s="144"/>
      <c r="DA12" s="144"/>
      <c r="DB12" s="144"/>
      <c r="DC12" s="144"/>
      <c r="DD12" s="144"/>
      <c r="DE12" s="142"/>
      <c r="DF12" s="142"/>
      <c r="DG12" s="103"/>
      <c r="DH12" s="103"/>
      <c r="DI12" s="103"/>
      <c r="DJ12" s="103"/>
      <c r="DK12" s="103"/>
      <c r="DL12" s="103"/>
      <c r="DM12" s="103"/>
      <c r="DN12" s="103"/>
      <c r="DO12" s="103"/>
      <c r="DP12" s="100" t="s">
        <v>1874</v>
      </c>
      <c r="DQ12" s="103"/>
      <c r="DR12" s="103"/>
      <c r="DS12" s="133"/>
      <c r="DT12" s="103"/>
      <c r="DU12" s="143"/>
      <c r="DV12" s="103"/>
      <c r="DW12" s="103"/>
      <c r="DX12" s="142"/>
      <c r="DY12" s="142" t="b">
        <v>0</v>
      </c>
      <c r="DZ12" s="142" t="b">
        <v>0</v>
      </c>
      <c r="EA12" s="103">
        <v>0</v>
      </c>
      <c r="EB12" s="103">
        <v>0</v>
      </c>
      <c r="EC12" s="103"/>
      <c r="ED12" s="103"/>
      <c r="EE12" s="103">
        <v>2</v>
      </c>
      <c r="EF12" s="103"/>
      <c r="EG12" s="103"/>
      <c r="EH12" s="103"/>
      <c r="EI12" s="103">
        <v>3758</v>
      </c>
      <c r="EJ12" s="142">
        <v>7.0000000000000007E-2</v>
      </c>
      <c r="EK12" s="134"/>
      <c r="EL12" s="134"/>
      <c r="EM12" s="134"/>
      <c r="EN12" s="134"/>
      <c r="EO12">
        <v>27762</v>
      </c>
      <c r="EP12">
        <v>24.5</v>
      </c>
      <c r="ER12">
        <f t="shared" si="1"/>
        <v>0.3315058463411299</v>
      </c>
    </row>
    <row r="13" spans="1:148" ht="15.95" customHeight="1" x14ac:dyDescent="0.25">
      <c r="A13" s="110" t="s">
        <v>59</v>
      </c>
      <c r="B13" s="145">
        <v>0.49809163808822632</v>
      </c>
      <c r="C13" s="110" t="s">
        <v>1426</v>
      </c>
      <c r="D13" s="110" t="s">
        <v>1426</v>
      </c>
      <c r="E13" s="110" t="s">
        <v>110</v>
      </c>
      <c r="F13" s="145" t="b">
        <v>0</v>
      </c>
      <c r="G13" s="110"/>
      <c r="H13" s="110"/>
      <c r="I13" s="110" t="s">
        <v>1660</v>
      </c>
      <c r="J13" s="110" t="s">
        <v>1661</v>
      </c>
      <c r="K13" s="110" t="s">
        <v>69</v>
      </c>
      <c r="L13" s="110"/>
      <c r="M13" s="110"/>
      <c r="N13" s="110" t="s">
        <v>1647</v>
      </c>
      <c r="O13" s="110" t="s">
        <v>1422</v>
      </c>
      <c r="P13" s="146">
        <v>40778</v>
      </c>
      <c r="Q13" s="146">
        <v>40795</v>
      </c>
      <c r="R13" s="146">
        <v>40829</v>
      </c>
      <c r="S13" s="146">
        <v>40898</v>
      </c>
      <c r="T13" s="146">
        <v>40940</v>
      </c>
      <c r="U13" s="91"/>
      <c r="V13" s="145">
        <v>1557</v>
      </c>
      <c r="W13" s="110" t="s">
        <v>68</v>
      </c>
      <c r="X13" s="145">
        <v>931</v>
      </c>
      <c r="Y13" s="145">
        <v>1</v>
      </c>
      <c r="Z13" s="145">
        <v>37</v>
      </c>
      <c r="AA13" s="147">
        <v>0.11</v>
      </c>
      <c r="AB13" s="145">
        <v>1250</v>
      </c>
      <c r="AC13" s="145">
        <v>1976</v>
      </c>
      <c r="AD13" s="145">
        <v>2</v>
      </c>
      <c r="AE13" s="145">
        <v>66</v>
      </c>
      <c r="AF13" s="147">
        <v>0.18</v>
      </c>
      <c r="AG13" s="145">
        <v>1500</v>
      </c>
      <c r="AH13" s="132">
        <v>40939</v>
      </c>
      <c r="AI13" s="100">
        <v>1500</v>
      </c>
      <c r="AJ13" s="132"/>
      <c r="AK13" s="133"/>
      <c r="AL13" s="132">
        <v>40826</v>
      </c>
      <c r="AM13" s="100">
        <v>1557</v>
      </c>
      <c r="AN13" s="98">
        <v>0.17399999999999999</v>
      </c>
      <c r="AO13" s="99">
        <v>9552</v>
      </c>
      <c r="AP13" s="100">
        <v>1771</v>
      </c>
      <c r="AQ13" s="100">
        <v>400</v>
      </c>
      <c r="AR13" s="100">
        <v>66</v>
      </c>
      <c r="AS13" s="98">
        <f>AN13</f>
        <v>0.17399999999999999</v>
      </c>
      <c r="AT13" s="132">
        <v>40792</v>
      </c>
      <c r="AU13" s="100">
        <v>1557</v>
      </c>
      <c r="AV13" s="98">
        <v>0.11</v>
      </c>
      <c r="AW13" s="99">
        <v>7691</v>
      </c>
      <c r="AX13" s="100">
        <v>931</v>
      </c>
      <c r="AY13" s="100">
        <v>365</v>
      </c>
      <c r="AZ13" s="100">
        <v>37</v>
      </c>
      <c r="BA13" s="98">
        <f>AV13</f>
        <v>0.11</v>
      </c>
      <c r="BB13" s="132">
        <v>40934</v>
      </c>
      <c r="BC13" s="100">
        <v>1557</v>
      </c>
      <c r="BD13" s="100" t="s">
        <v>1387</v>
      </c>
      <c r="BE13" s="98">
        <v>0.11600000000000001</v>
      </c>
      <c r="BF13" s="100" t="s">
        <v>1386</v>
      </c>
      <c r="BG13" s="98">
        <v>1.2E-2</v>
      </c>
      <c r="BH13" s="100" t="s">
        <v>1389</v>
      </c>
      <c r="BI13" s="98">
        <v>3.1E-2</v>
      </c>
      <c r="BJ13" s="100" t="s">
        <v>1393</v>
      </c>
      <c r="BK13" s="98">
        <v>2.1000000000000001E-2</v>
      </c>
      <c r="BL13" s="100"/>
      <c r="BM13" s="98"/>
      <c r="BN13" s="98"/>
      <c r="BO13" s="98"/>
      <c r="BP13" s="98"/>
      <c r="BQ13" s="98"/>
      <c r="BR13" s="98"/>
      <c r="BS13" s="98"/>
      <c r="BT13" s="98"/>
      <c r="BU13" s="98"/>
      <c r="BV13" s="98"/>
      <c r="BW13" s="98"/>
      <c r="BX13" s="98">
        <v>0.18</v>
      </c>
      <c r="BY13" s="99">
        <v>9171</v>
      </c>
      <c r="BZ13" s="100">
        <v>1976</v>
      </c>
      <c r="CA13" s="134">
        <v>429</v>
      </c>
      <c r="CB13" s="134">
        <v>66</v>
      </c>
      <c r="CC13" s="98">
        <f>BX13</f>
        <v>0.18</v>
      </c>
      <c r="CD13" s="132">
        <v>40778</v>
      </c>
      <c r="CE13" s="100" t="b">
        <v>1</v>
      </c>
      <c r="CF13" s="100" t="b">
        <v>1</v>
      </c>
      <c r="CG13" s="100" t="s">
        <v>1422</v>
      </c>
      <c r="CH13" s="100">
        <v>2147</v>
      </c>
      <c r="CI13" s="133">
        <v>0.17</v>
      </c>
      <c r="CJ13" s="133"/>
      <c r="CK13" s="100">
        <v>1557</v>
      </c>
      <c r="CL13" s="100"/>
      <c r="CM13" s="100"/>
      <c r="CN13" s="100">
        <v>9728</v>
      </c>
      <c r="CO13" s="100">
        <v>6760</v>
      </c>
      <c r="CP13" s="100">
        <f>CN13-CO13</f>
        <v>2968</v>
      </c>
      <c r="CQ13" s="100">
        <v>400</v>
      </c>
      <c r="CR13" s="100">
        <v>328</v>
      </c>
      <c r="CS13" s="100">
        <f>CQ13-CR13</f>
        <v>72</v>
      </c>
      <c r="CT13" s="133">
        <v>0.24</v>
      </c>
      <c r="CU13" s="132">
        <v>40815</v>
      </c>
      <c r="CV13" s="100">
        <v>1395</v>
      </c>
      <c r="CW13" s="133">
        <v>0.02</v>
      </c>
      <c r="CX13" s="133"/>
      <c r="CY13" s="99">
        <f>CN13</f>
        <v>9728</v>
      </c>
      <c r="CZ13" s="99">
        <v>7627</v>
      </c>
      <c r="DA13" s="99">
        <f>CY13-CZ13</f>
        <v>2101</v>
      </c>
      <c r="DB13" s="99">
        <f>CQ13</f>
        <v>400</v>
      </c>
      <c r="DC13" s="99">
        <v>316</v>
      </c>
      <c r="DD13" s="99">
        <f>DB13-DC13</f>
        <v>84</v>
      </c>
      <c r="DE13" s="133">
        <v>0.18</v>
      </c>
      <c r="DF13" s="133"/>
      <c r="DG13" s="100">
        <v>1771</v>
      </c>
      <c r="DH13" s="100">
        <v>66</v>
      </c>
      <c r="DI13" s="133">
        <v>0.17</v>
      </c>
      <c r="DJ13" s="100" t="b">
        <v>0</v>
      </c>
      <c r="DK13" s="100" t="b">
        <v>0</v>
      </c>
      <c r="DL13" s="100">
        <v>0</v>
      </c>
      <c r="DM13" s="100">
        <v>0</v>
      </c>
      <c r="DN13" s="100"/>
      <c r="DO13" s="100"/>
      <c r="DP13" s="100">
        <v>8</v>
      </c>
      <c r="DQ13" s="100">
        <v>931</v>
      </c>
      <c r="DR13" s="100">
        <v>2147</v>
      </c>
      <c r="DS13" s="133">
        <v>0.17</v>
      </c>
      <c r="DT13" s="133">
        <v>0.37</v>
      </c>
      <c r="DU13" s="98">
        <v>0.11</v>
      </c>
      <c r="DV13" s="100">
        <v>1976</v>
      </c>
      <c r="DW13" s="100">
        <v>66</v>
      </c>
      <c r="DX13" s="133">
        <v>0.18</v>
      </c>
      <c r="DY13" s="133" t="b">
        <v>0</v>
      </c>
      <c r="DZ13" s="133" t="b">
        <v>1</v>
      </c>
      <c r="EA13" s="100">
        <v>0</v>
      </c>
      <c r="EB13" s="100">
        <v>0</v>
      </c>
      <c r="EC13" s="100"/>
      <c r="ED13" s="100"/>
      <c r="EE13" s="100">
        <v>4</v>
      </c>
      <c r="EF13" s="100">
        <v>1976</v>
      </c>
      <c r="EG13" s="100">
        <v>66</v>
      </c>
      <c r="EH13" s="133">
        <v>0.18</v>
      </c>
      <c r="EI13" s="100">
        <v>1639</v>
      </c>
      <c r="EJ13" s="133">
        <v>0.06</v>
      </c>
      <c r="EK13" s="99"/>
      <c r="EL13" s="99"/>
      <c r="EM13" s="99"/>
      <c r="EN13" s="99"/>
      <c r="EO13">
        <v>12456</v>
      </c>
      <c r="EP13">
        <v>24.5</v>
      </c>
      <c r="EQ13">
        <f t="shared" si="0"/>
        <v>0.42212260626794068</v>
      </c>
      <c r="ER13">
        <f t="shared" si="1"/>
        <v>0.32224450473831145</v>
      </c>
    </row>
    <row r="14" spans="1:148" ht="15.95" customHeight="1" x14ac:dyDescent="0.25">
      <c r="A14" s="110" t="s">
        <v>59</v>
      </c>
      <c r="B14" s="145">
        <v>0.92366880178451538</v>
      </c>
      <c r="C14" s="110" t="s">
        <v>1427</v>
      </c>
      <c r="D14" s="110" t="s">
        <v>1427</v>
      </c>
      <c r="E14" s="110" t="s">
        <v>110</v>
      </c>
      <c r="F14" s="145" t="b">
        <v>0</v>
      </c>
      <c r="G14" s="110"/>
      <c r="H14" s="110"/>
      <c r="I14" s="110" t="s">
        <v>1662</v>
      </c>
      <c r="J14" s="110" t="s">
        <v>1663</v>
      </c>
      <c r="K14" s="110" t="s">
        <v>69</v>
      </c>
      <c r="L14" s="110"/>
      <c r="M14" s="110"/>
      <c r="N14" s="110" t="s">
        <v>1647</v>
      </c>
      <c r="O14" s="110" t="s">
        <v>1422</v>
      </c>
      <c r="P14" s="146">
        <v>40771</v>
      </c>
      <c r="Q14" s="146">
        <v>40781</v>
      </c>
      <c r="R14" s="146">
        <v>40814</v>
      </c>
      <c r="S14" s="146">
        <v>40899</v>
      </c>
      <c r="T14" s="146">
        <v>40941</v>
      </c>
      <c r="U14" s="91"/>
      <c r="V14" s="145">
        <v>1048</v>
      </c>
      <c r="W14" s="110" t="s">
        <v>68</v>
      </c>
      <c r="X14" s="145">
        <v>31</v>
      </c>
      <c r="Y14" s="145">
        <v>0</v>
      </c>
      <c r="Z14" s="145">
        <v>145</v>
      </c>
      <c r="AA14" s="147">
        <v>0.32</v>
      </c>
      <c r="AB14" s="145">
        <v>3000</v>
      </c>
      <c r="AC14" s="145">
        <v>62</v>
      </c>
      <c r="AD14" s="145">
        <v>0</v>
      </c>
      <c r="AE14" s="145">
        <v>76</v>
      </c>
      <c r="AF14" s="147">
        <v>0.16</v>
      </c>
      <c r="AG14" s="145">
        <v>1500</v>
      </c>
      <c r="AH14" s="132">
        <v>40941</v>
      </c>
      <c r="AI14" s="100">
        <v>1500</v>
      </c>
      <c r="AJ14" s="132"/>
      <c r="AK14" s="133"/>
      <c r="AL14" s="132">
        <v>40812</v>
      </c>
      <c r="AM14" s="100">
        <v>1044</v>
      </c>
      <c r="AN14" s="98">
        <v>0.32200000000000001</v>
      </c>
      <c r="AO14" s="99">
        <v>3684</v>
      </c>
      <c r="AP14" s="100">
        <v>46</v>
      </c>
      <c r="AQ14" s="100">
        <v>350</v>
      </c>
      <c r="AR14" s="100">
        <v>152</v>
      </c>
      <c r="AS14" s="98">
        <f>AN14</f>
        <v>0.32200000000000001</v>
      </c>
      <c r="AT14" s="132">
        <v>40896</v>
      </c>
      <c r="AU14" s="100">
        <v>1044</v>
      </c>
      <c r="AV14" s="98">
        <v>0.16400000000000001</v>
      </c>
      <c r="AW14" s="99">
        <v>3790</v>
      </c>
      <c r="AX14" s="100">
        <v>61</v>
      </c>
      <c r="AY14" s="100">
        <v>351</v>
      </c>
      <c r="AZ14" s="100">
        <v>76</v>
      </c>
      <c r="BA14" s="98">
        <f>AV14</f>
        <v>0.16400000000000001</v>
      </c>
      <c r="BB14" s="132">
        <v>40939</v>
      </c>
      <c r="BC14" s="100">
        <v>1044</v>
      </c>
      <c r="BD14" s="100" t="s">
        <v>1388</v>
      </c>
      <c r="BE14" s="98">
        <v>0.122</v>
      </c>
      <c r="BF14" s="100" t="s">
        <v>1395</v>
      </c>
      <c r="BG14" s="98">
        <v>3.6999999999999998E-2</v>
      </c>
      <c r="BH14" s="100" t="s">
        <v>1386</v>
      </c>
      <c r="BI14" s="98">
        <v>4.0000000000000001E-3</v>
      </c>
      <c r="BJ14" s="100"/>
      <c r="BK14" s="98"/>
      <c r="BL14" s="100"/>
      <c r="BM14" s="98"/>
      <c r="BN14" s="98"/>
      <c r="BO14" s="98"/>
      <c r="BP14" s="98"/>
      <c r="BQ14" s="98"/>
      <c r="BR14" s="98"/>
      <c r="BS14" s="98"/>
      <c r="BT14" s="98"/>
      <c r="BU14" s="98"/>
      <c r="BV14" s="98"/>
      <c r="BW14" s="98"/>
      <c r="BX14" s="98">
        <v>0.16300000000000001</v>
      </c>
      <c r="BY14" s="99">
        <v>3789</v>
      </c>
      <c r="BZ14" s="100">
        <v>62</v>
      </c>
      <c r="CA14" s="134">
        <v>350</v>
      </c>
      <c r="CB14" s="134">
        <v>76</v>
      </c>
      <c r="CC14" s="98">
        <f>BX14</f>
        <v>0.16300000000000001</v>
      </c>
      <c r="CD14" s="132">
        <v>40772</v>
      </c>
      <c r="CE14" s="100" t="b">
        <v>1</v>
      </c>
      <c r="CF14" s="100" t="b">
        <v>1</v>
      </c>
      <c r="CG14" s="100" t="s">
        <v>1422</v>
      </c>
      <c r="CH14" s="100">
        <v>1353</v>
      </c>
      <c r="CI14" s="133"/>
      <c r="CJ14" s="133"/>
      <c r="CK14" s="100">
        <v>1044</v>
      </c>
      <c r="CL14" s="100">
        <v>7070</v>
      </c>
      <c r="CM14" s="100">
        <v>402</v>
      </c>
      <c r="CN14" s="100">
        <v>3790</v>
      </c>
      <c r="CO14" s="100">
        <v>3704</v>
      </c>
      <c r="CP14" s="100">
        <f>CN14-CO14</f>
        <v>86</v>
      </c>
      <c r="CQ14" s="100">
        <v>351</v>
      </c>
      <c r="CR14" s="100">
        <v>191</v>
      </c>
      <c r="CS14" s="100">
        <f>CQ14-CR14</f>
        <v>160</v>
      </c>
      <c r="CT14" s="133">
        <v>0.34</v>
      </c>
      <c r="CU14" s="132">
        <v>40829</v>
      </c>
      <c r="CV14" s="100">
        <v>1095</v>
      </c>
      <c r="CW14" s="133"/>
      <c r="CX14" s="133"/>
      <c r="CY14" s="99">
        <f>CN14</f>
        <v>3790</v>
      </c>
      <c r="CZ14" s="99">
        <v>3729</v>
      </c>
      <c r="DA14" s="99">
        <f>CY14-CZ14</f>
        <v>61</v>
      </c>
      <c r="DB14" s="99">
        <f>CQ14</f>
        <v>351</v>
      </c>
      <c r="DC14" s="99">
        <v>274</v>
      </c>
      <c r="DD14" s="99">
        <f>DB14-DC14</f>
        <v>77</v>
      </c>
      <c r="DE14" s="133">
        <v>0.16</v>
      </c>
      <c r="DF14" s="133"/>
      <c r="DG14" s="100">
        <v>46</v>
      </c>
      <c r="DH14" s="100">
        <v>152</v>
      </c>
      <c r="DI14" s="133">
        <v>0.32</v>
      </c>
      <c r="DJ14" s="100" t="b">
        <v>1</v>
      </c>
      <c r="DK14" s="100" t="b">
        <v>0</v>
      </c>
      <c r="DL14" s="100">
        <v>1</v>
      </c>
      <c r="DM14" s="100">
        <v>0</v>
      </c>
      <c r="DN14" s="100" t="s">
        <v>1664</v>
      </c>
      <c r="DO14" s="100"/>
      <c r="DP14" s="100">
        <v>7</v>
      </c>
      <c r="DQ14" s="100">
        <v>46</v>
      </c>
      <c r="DR14" s="100">
        <v>1353</v>
      </c>
      <c r="DS14" s="133"/>
      <c r="DT14" s="100">
        <v>152</v>
      </c>
      <c r="DU14" s="98">
        <v>0.32</v>
      </c>
      <c r="DV14" s="100">
        <v>62</v>
      </c>
      <c r="DW14" s="100">
        <v>76</v>
      </c>
      <c r="DX14" s="133">
        <v>0.16</v>
      </c>
      <c r="DY14" s="133" t="b">
        <v>1</v>
      </c>
      <c r="DZ14" s="133" t="b">
        <v>1</v>
      </c>
      <c r="EA14" s="100">
        <v>1</v>
      </c>
      <c r="EB14" s="100">
        <v>0</v>
      </c>
      <c r="EC14" s="100" t="s">
        <v>1664</v>
      </c>
      <c r="ED14" s="100"/>
      <c r="EE14" s="100">
        <v>0</v>
      </c>
      <c r="EF14" s="100">
        <v>62</v>
      </c>
      <c r="EG14" s="100">
        <v>76</v>
      </c>
      <c r="EH14" s="133">
        <v>0.16</v>
      </c>
      <c r="EI14" s="100">
        <v>1174</v>
      </c>
      <c r="EJ14" s="100"/>
      <c r="EK14" s="99"/>
      <c r="EL14" s="99"/>
      <c r="EM14" s="99"/>
      <c r="EN14" s="99"/>
      <c r="EO14">
        <v>8352</v>
      </c>
      <c r="EP14">
        <v>24.5</v>
      </c>
      <c r="EQ14">
        <f t="shared" si="0"/>
        <v>0.39672765657987336</v>
      </c>
      <c r="ER14">
        <f t="shared" si="1"/>
        <v>0.34424114473375556</v>
      </c>
    </row>
    <row r="15" spans="1:148" s="214" customFormat="1" ht="15.95" customHeight="1" x14ac:dyDescent="0.25">
      <c r="A15" s="218" t="s">
        <v>59</v>
      </c>
      <c r="B15" s="219">
        <v>5.4945528507232666E-2</v>
      </c>
      <c r="C15" s="218" t="s">
        <v>1428</v>
      </c>
      <c r="D15" s="218" t="s">
        <v>1428</v>
      </c>
      <c r="E15" s="218" t="s">
        <v>110</v>
      </c>
      <c r="F15" s="219" t="b">
        <v>0</v>
      </c>
      <c r="G15" s="218"/>
      <c r="H15" s="218"/>
      <c r="I15" s="218" t="s">
        <v>1624</v>
      </c>
      <c r="J15" s="218" t="s">
        <v>1625</v>
      </c>
      <c r="K15" s="218" t="s">
        <v>69</v>
      </c>
      <c r="L15" s="218"/>
      <c r="M15" s="218"/>
      <c r="N15" s="218" t="s">
        <v>1626</v>
      </c>
      <c r="O15" s="218" t="s">
        <v>1422</v>
      </c>
      <c r="P15" s="220">
        <v>40778</v>
      </c>
      <c r="Q15" s="220">
        <v>40779</v>
      </c>
      <c r="R15" s="220">
        <v>40808</v>
      </c>
      <c r="S15" s="220">
        <v>40885</v>
      </c>
      <c r="T15" s="220">
        <v>40919</v>
      </c>
      <c r="U15" s="221"/>
      <c r="V15" s="219">
        <v>1940</v>
      </c>
      <c r="W15" s="218" t="s">
        <v>68</v>
      </c>
      <c r="X15" s="219">
        <v>6243</v>
      </c>
      <c r="Y15" s="219">
        <v>7</v>
      </c>
      <c r="Z15" s="219">
        <v>258</v>
      </c>
      <c r="AA15" s="222">
        <v>0.37</v>
      </c>
      <c r="AB15" s="219">
        <v>3500</v>
      </c>
      <c r="AC15" s="219">
        <v>5795</v>
      </c>
      <c r="AD15" s="219">
        <v>7</v>
      </c>
      <c r="AE15" s="219">
        <v>341</v>
      </c>
      <c r="AF15" s="222">
        <v>0.45</v>
      </c>
      <c r="AG15" s="219">
        <v>4000</v>
      </c>
      <c r="AH15" s="209"/>
      <c r="AI15" s="209"/>
      <c r="AJ15" s="210"/>
      <c r="AK15" s="211"/>
      <c r="AL15" s="210">
        <v>40807</v>
      </c>
      <c r="AM15" s="209">
        <v>1924</v>
      </c>
      <c r="AN15" s="212">
        <v>0.38700000000000001</v>
      </c>
      <c r="AO15" s="223">
        <v>17238</v>
      </c>
      <c r="AP15" s="221">
        <v>5979</v>
      </c>
      <c r="AQ15" s="221">
        <v>718</v>
      </c>
      <c r="AR15" s="209">
        <v>301</v>
      </c>
      <c r="AS15" s="212">
        <f>AN15</f>
        <v>0.38700000000000001</v>
      </c>
      <c r="AT15" s="210">
        <v>40779</v>
      </c>
      <c r="AU15" s="209">
        <v>1940</v>
      </c>
      <c r="AV15" s="212">
        <v>0.36875036735042832</v>
      </c>
      <c r="AW15" s="223">
        <v>17975</v>
      </c>
      <c r="AX15" s="209">
        <v>6243</v>
      </c>
      <c r="AY15" s="221">
        <v>664</v>
      </c>
      <c r="AZ15" s="209">
        <v>258</v>
      </c>
      <c r="BA15" s="212">
        <f>AV15</f>
        <v>0.36875036735042832</v>
      </c>
      <c r="BB15" s="210">
        <v>40918</v>
      </c>
      <c r="BC15" s="209">
        <v>1924</v>
      </c>
      <c r="BD15" s="209"/>
      <c r="BE15" s="212"/>
      <c r="BF15" s="209"/>
      <c r="BG15" s="212"/>
      <c r="BH15" s="209"/>
      <c r="BI15" s="212"/>
      <c r="BJ15" s="209"/>
      <c r="BK15" s="212"/>
      <c r="BL15" s="209"/>
      <c r="BM15" s="212"/>
      <c r="BN15" s="212"/>
      <c r="BO15" s="212"/>
      <c r="BP15" s="212"/>
      <c r="BQ15" s="212"/>
      <c r="BR15" s="212"/>
      <c r="BS15" s="212"/>
      <c r="BT15" s="212"/>
      <c r="BU15" s="212"/>
      <c r="BV15" s="212"/>
      <c r="BW15" s="212"/>
      <c r="BX15" s="212">
        <v>0.45083104866346818</v>
      </c>
      <c r="BY15" s="223">
        <v>13920</v>
      </c>
      <c r="BZ15" s="209">
        <v>5795</v>
      </c>
      <c r="CA15" s="223">
        <v>720</v>
      </c>
      <c r="CB15" s="213">
        <v>379</v>
      </c>
      <c r="CC15" s="212">
        <f>BX15</f>
        <v>0.45083104866346818</v>
      </c>
      <c r="CD15" s="210">
        <v>40778</v>
      </c>
      <c r="CE15" s="209" t="b">
        <v>1</v>
      </c>
      <c r="CF15" s="209" t="b">
        <v>1</v>
      </c>
      <c r="CG15" s="209" t="s">
        <v>1422</v>
      </c>
      <c r="CH15" s="209">
        <v>4189</v>
      </c>
      <c r="CI15" s="211">
        <v>0.17</v>
      </c>
      <c r="CJ15" s="211"/>
      <c r="CK15" s="209">
        <v>1940</v>
      </c>
      <c r="CL15" s="209">
        <v>9140</v>
      </c>
      <c r="CM15" s="209">
        <v>690</v>
      </c>
      <c r="CN15" s="213">
        <v>16861</v>
      </c>
      <c r="CO15" s="213">
        <v>11033</v>
      </c>
      <c r="CP15" s="209">
        <f>CN15-CO15</f>
        <v>5828</v>
      </c>
      <c r="CQ15" s="209">
        <v>675</v>
      </c>
      <c r="CR15" s="209">
        <v>418</v>
      </c>
      <c r="CS15" s="209">
        <f>CQ15-CR15</f>
        <v>257</v>
      </c>
      <c r="CT15" s="211">
        <v>0.36</v>
      </c>
      <c r="CU15" s="210">
        <v>40857</v>
      </c>
      <c r="CV15" s="209">
        <v>2556</v>
      </c>
      <c r="CW15" s="211">
        <v>0.03</v>
      </c>
      <c r="CX15" s="211"/>
      <c r="CY15" s="213">
        <v>17155</v>
      </c>
      <c r="CZ15" s="213">
        <v>10603</v>
      </c>
      <c r="DA15" s="213">
        <f>CY15-CZ15</f>
        <v>6552</v>
      </c>
      <c r="DB15" s="213">
        <v>675</v>
      </c>
      <c r="DC15" s="213">
        <v>373</v>
      </c>
      <c r="DD15" s="213">
        <f>DB15-DC15</f>
        <v>302</v>
      </c>
      <c r="DE15" s="211">
        <v>0.42</v>
      </c>
      <c r="DF15" s="211"/>
      <c r="DG15" s="209">
        <v>5979</v>
      </c>
      <c r="DH15" s="209">
        <v>301</v>
      </c>
      <c r="DI15" s="211">
        <v>0.39</v>
      </c>
      <c r="DJ15" s="209" t="b">
        <v>0</v>
      </c>
      <c r="DK15" s="209" t="b">
        <v>0</v>
      </c>
      <c r="DL15" s="209">
        <v>2</v>
      </c>
      <c r="DM15" s="209">
        <v>0</v>
      </c>
      <c r="DN15" s="209" t="s">
        <v>1665</v>
      </c>
      <c r="DO15" s="209" t="s">
        <v>1666</v>
      </c>
      <c r="DP15" s="209">
        <v>7</v>
      </c>
      <c r="DQ15" s="209">
        <v>5979</v>
      </c>
      <c r="DR15" s="209">
        <v>4424</v>
      </c>
      <c r="DS15" s="211">
        <v>0.28000000000000003</v>
      </c>
      <c r="DT15" s="209">
        <v>301</v>
      </c>
      <c r="DU15" s="212">
        <v>0.39</v>
      </c>
      <c r="DV15" s="209">
        <v>5795</v>
      </c>
      <c r="DW15" s="209">
        <v>341</v>
      </c>
      <c r="DX15" s="211">
        <v>0.45</v>
      </c>
      <c r="DY15" s="211" t="b">
        <v>1</v>
      </c>
      <c r="DZ15" s="211" t="b">
        <v>0</v>
      </c>
      <c r="EA15" s="209">
        <v>1</v>
      </c>
      <c r="EB15" s="209">
        <v>1</v>
      </c>
      <c r="EC15" s="209" t="s">
        <v>1667</v>
      </c>
      <c r="ED15" s="209" t="s">
        <v>1668</v>
      </c>
      <c r="EE15" s="209">
        <v>1</v>
      </c>
      <c r="EF15" s="209">
        <v>5795</v>
      </c>
      <c r="EG15" s="209">
        <v>341</v>
      </c>
      <c r="EH15" s="211">
        <v>0.45</v>
      </c>
      <c r="EI15" s="209">
        <v>2605</v>
      </c>
      <c r="EJ15" s="211">
        <v>0.04</v>
      </c>
      <c r="EK15" s="213">
        <v>120000</v>
      </c>
      <c r="EL15" s="213"/>
      <c r="EM15" s="213">
        <v>5</v>
      </c>
      <c r="EN15" s="213">
        <v>2</v>
      </c>
      <c r="EO15" s="214">
        <v>13800</v>
      </c>
      <c r="EP15">
        <v>24.5</v>
      </c>
      <c r="EQ15">
        <f t="shared" si="0"/>
        <v>0.78509316770186344</v>
      </c>
      <c r="ER15">
        <f t="shared" si="1"/>
        <v>0.46228926353149957</v>
      </c>
    </row>
    <row r="16" spans="1:148" ht="15.95" customHeight="1" x14ac:dyDescent="0.25">
      <c r="A16" s="110" t="s">
        <v>59</v>
      </c>
      <c r="B16" s="145">
        <v>0.19255560636520386</v>
      </c>
      <c r="C16" s="110" t="s">
        <v>1429</v>
      </c>
      <c r="D16" s="110" t="s">
        <v>1429</v>
      </c>
      <c r="E16" s="110" t="s">
        <v>110</v>
      </c>
      <c r="F16" s="145" t="b">
        <v>0</v>
      </c>
      <c r="G16" s="110"/>
      <c r="H16" s="110"/>
      <c r="I16" s="110" t="s">
        <v>1645</v>
      </c>
      <c r="J16" s="110" t="s">
        <v>1669</v>
      </c>
      <c r="K16" s="110" t="s">
        <v>69</v>
      </c>
      <c r="L16" s="110"/>
      <c r="M16" s="110"/>
      <c r="N16" s="110" t="s">
        <v>1621</v>
      </c>
      <c r="O16" s="110" t="s">
        <v>1422</v>
      </c>
      <c r="P16" s="146">
        <v>40770</v>
      </c>
      <c r="Q16" s="146">
        <v>40772</v>
      </c>
      <c r="R16" s="146">
        <v>40807</v>
      </c>
      <c r="S16" s="146">
        <v>40883</v>
      </c>
      <c r="T16" s="146">
        <v>40931</v>
      </c>
      <c r="U16" s="91"/>
      <c r="V16" s="145">
        <v>1260</v>
      </c>
      <c r="W16" s="110" t="s">
        <v>68</v>
      </c>
      <c r="X16" s="145">
        <v>1180</v>
      </c>
      <c r="Y16" s="145">
        <v>2</v>
      </c>
      <c r="Z16" s="145">
        <v>96</v>
      </c>
      <c r="AA16" s="147">
        <v>0.24</v>
      </c>
      <c r="AB16" s="145">
        <v>2000</v>
      </c>
      <c r="AC16" s="145">
        <v>1428</v>
      </c>
      <c r="AD16" s="145">
        <v>2</v>
      </c>
      <c r="AE16" s="145">
        <v>97</v>
      </c>
      <c r="AF16" s="147">
        <v>0.25</v>
      </c>
      <c r="AG16" s="145">
        <v>2500</v>
      </c>
      <c r="AH16" s="132">
        <v>40928</v>
      </c>
      <c r="AI16" s="100">
        <v>2500</v>
      </c>
      <c r="AJ16" s="132"/>
      <c r="AK16" s="133"/>
      <c r="AL16" s="132">
        <v>40801</v>
      </c>
      <c r="AM16" s="100">
        <v>1230</v>
      </c>
      <c r="AN16" s="98">
        <v>0.23599999999999999</v>
      </c>
      <c r="AO16" s="99">
        <v>6388</v>
      </c>
      <c r="AP16" s="100">
        <v>1401</v>
      </c>
      <c r="AQ16" s="100">
        <v>384</v>
      </c>
      <c r="AR16" s="100">
        <v>94</v>
      </c>
      <c r="AS16" s="98">
        <f>AN16</f>
        <v>0.23599999999999999</v>
      </c>
      <c r="AT16" s="132">
        <v>40772</v>
      </c>
      <c r="AU16" s="100">
        <v>1260</v>
      </c>
      <c r="AV16" s="98">
        <v>0.23699999999999999</v>
      </c>
      <c r="AW16" s="99">
        <v>5581</v>
      </c>
      <c r="AX16" s="100">
        <v>1180</v>
      </c>
      <c r="AY16" s="100">
        <v>387</v>
      </c>
      <c r="AZ16" s="100">
        <v>97</v>
      </c>
      <c r="BA16" s="98">
        <f>AV16</f>
        <v>0.23699999999999999</v>
      </c>
      <c r="BB16" s="132">
        <v>40926</v>
      </c>
      <c r="BC16" s="100">
        <v>1230</v>
      </c>
      <c r="BD16" s="100" t="s">
        <v>1387</v>
      </c>
      <c r="BE16" s="98">
        <v>7.6999999999999999E-2</v>
      </c>
      <c r="BF16" s="100" t="s">
        <v>1388</v>
      </c>
      <c r="BG16" s="98">
        <v>0.11700000000000001</v>
      </c>
      <c r="BH16" s="100" t="s">
        <v>1389</v>
      </c>
      <c r="BI16" s="98">
        <v>1.7999999999999999E-2</v>
      </c>
      <c r="BJ16" s="100" t="s">
        <v>1386</v>
      </c>
      <c r="BK16" s="98">
        <v>3.6999999999999998E-2</v>
      </c>
      <c r="BL16" s="100"/>
      <c r="BM16" s="98"/>
      <c r="BN16" s="98"/>
      <c r="BO16" s="98"/>
      <c r="BP16" s="98"/>
      <c r="BQ16" s="98"/>
      <c r="BR16" s="98"/>
      <c r="BS16" s="98"/>
      <c r="BT16" s="98"/>
      <c r="BU16" s="98"/>
      <c r="BV16" s="98"/>
      <c r="BW16" s="98"/>
      <c r="BX16" s="98">
        <v>0.246</v>
      </c>
      <c r="BY16" s="99">
        <v>6316</v>
      </c>
      <c r="BZ16" s="100">
        <v>1428</v>
      </c>
      <c r="CA16" s="134">
        <v>379</v>
      </c>
      <c r="CB16" s="134">
        <v>97</v>
      </c>
      <c r="CC16" s="98">
        <f>BX16</f>
        <v>0.246</v>
      </c>
      <c r="CD16" s="132">
        <v>40770</v>
      </c>
      <c r="CE16" s="100" t="b">
        <v>1</v>
      </c>
      <c r="CF16" s="100" t="b">
        <v>1</v>
      </c>
      <c r="CG16" s="100" t="s">
        <v>1422</v>
      </c>
      <c r="CH16" s="100">
        <v>2180</v>
      </c>
      <c r="CI16" s="133">
        <v>0.1</v>
      </c>
      <c r="CJ16" s="133"/>
      <c r="CK16" s="100">
        <v>1260</v>
      </c>
      <c r="CL16" s="100">
        <v>5993</v>
      </c>
      <c r="CM16" s="100">
        <v>360</v>
      </c>
      <c r="CN16" s="100">
        <v>5787</v>
      </c>
      <c r="CO16" s="100">
        <v>4561</v>
      </c>
      <c r="CP16" s="100">
        <f>CN16-CO16</f>
        <v>1226</v>
      </c>
      <c r="CQ16" s="100">
        <v>385</v>
      </c>
      <c r="CR16" s="100">
        <v>288</v>
      </c>
      <c r="CS16" s="100">
        <f>CQ16-CR16</f>
        <v>97</v>
      </c>
      <c r="CT16" s="133">
        <v>0.24</v>
      </c>
      <c r="CU16" s="132">
        <v>40806</v>
      </c>
      <c r="CV16" s="100">
        <v>1175</v>
      </c>
      <c r="CW16" s="133">
        <v>0.05</v>
      </c>
      <c r="CX16" s="133"/>
      <c r="CY16" s="99">
        <v>5788</v>
      </c>
      <c r="CZ16" s="99">
        <v>4548</v>
      </c>
      <c r="DA16" s="99">
        <f>CY16-CZ16</f>
        <v>1240</v>
      </c>
      <c r="DB16" s="99">
        <v>386</v>
      </c>
      <c r="DC16" s="99">
        <v>285</v>
      </c>
      <c r="DD16" s="99">
        <f>DB16-DC16</f>
        <v>101</v>
      </c>
      <c r="DE16" s="133">
        <v>0.25</v>
      </c>
      <c r="DF16" s="133"/>
      <c r="DG16" s="100">
        <v>1401</v>
      </c>
      <c r="DH16" s="100">
        <v>94</v>
      </c>
      <c r="DI16" s="133">
        <v>0.24</v>
      </c>
      <c r="DJ16" s="100" t="b">
        <v>0</v>
      </c>
      <c r="DK16" s="100" t="b">
        <v>0</v>
      </c>
      <c r="DL16" s="100">
        <v>0</v>
      </c>
      <c r="DM16" s="100">
        <v>0</v>
      </c>
      <c r="DN16" s="100"/>
      <c r="DO16" s="100"/>
      <c r="DP16" s="100">
        <v>14</v>
      </c>
      <c r="DQ16" s="100">
        <v>1401</v>
      </c>
      <c r="DR16" s="100">
        <v>2602</v>
      </c>
      <c r="DS16" s="133">
        <v>0.1</v>
      </c>
      <c r="DT16" s="100">
        <v>94</v>
      </c>
      <c r="DU16" s="98">
        <v>0.24</v>
      </c>
      <c r="DV16" s="100">
        <v>1428</v>
      </c>
      <c r="DW16" s="100">
        <v>97</v>
      </c>
      <c r="DX16" s="133">
        <v>0.25</v>
      </c>
      <c r="DY16" s="133" t="b">
        <v>0</v>
      </c>
      <c r="DZ16" s="133" t="b">
        <v>1</v>
      </c>
      <c r="EA16" s="100">
        <v>1</v>
      </c>
      <c r="EB16" s="100">
        <v>0</v>
      </c>
      <c r="EC16" s="100" t="s">
        <v>1638</v>
      </c>
      <c r="ED16" s="100"/>
      <c r="EE16" s="100">
        <v>2</v>
      </c>
      <c r="EF16" s="100">
        <v>1428</v>
      </c>
      <c r="EG16" s="100">
        <v>97</v>
      </c>
      <c r="EH16" s="133">
        <v>0.25</v>
      </c>
      <c r="EI16" s="100">
        <v>1144</v>
      </c>
      <c r="EJ16" s="133">
        <v>0.05</v>
      </c>
      <c r="EK16" s="99"/>
      <c r="EL16" s="99"/>
      <c r="EM16" s="99"/>
      <c r="EN16" s="99"/>
      <c r="EO16">
        <v>10080</v>
      </c>
      <c r="EP16">
        <v>24.5</v>
      </c>
      <c r="EQ16">
        <f t="shared" si="0"/>
        <v>0.63216715257531586</v>
      </c>
      <c r="ER16">
        <f t="shared" si="1"/>
        <v>0.27793974732750243</v>
      </c>
    </row>
    <row r="17" spans="1:148" s="214" customFormat="1" ht="15.95" customHeight="1" x14ac:dyDescent="0.25">
      <c r="A17" s="218" t="s">
        <v>59</v>
      </c>
      <c r="B17" s="219">
        <v>0.19721561670303345</v>
      </c>
      <c r="C17" s="218" t="s">
        <v>1430</v>
      </c>
      <c r="D17" s="218" t="s">
        <v>1430</v>
      </c>
      <c r="E17" s="218" t="s">
        <v>110</v>
      </c>
      <c r="F17" s="219" t="b">
        <v>0</v>
      </c>
      <c r="G17" s="218"/>
      <c r="H17" s="218"/>
      <c r="I17" s="218" t="s">
        <v>1670</v>
      </c>
      <c r="J17" s="218" t="s">
        <v>1671</v>
      </c>
      <c r="K17" s="218" t="s">
        <v>69</v>
      </c>
      <c r="L17" s="218"/>
      <c r="M17" s="218"/>
      <c r="N17" s="218" t="s">
        <v>1621</v>
      </c>
      <c r="O17" s="218" t="s">
        <v>1422</v>
      </c>
      <c r="P17" s="220">
        <v>40760</v>
      </c>
      <c r="Q17" s="220">
        <v>40766</v>
      </c>
      <c r="R17" s="220">
        <v>40796</v>
      </c>
      <c r="S17" s="220">
        <v>40802</v>
      </c>
      <c r="T17" s="220">
        <v>40884</v>
      </c>
      <c r="U17" s="221"/>
      <c r="V17" s="219">
        <v>986</v>
      </c>
      <c r="W17" s="218" t="s">
        <v>68</v>
      </c>
      <c r="X17" s="219">
        <v>4490</v>
      </c>
      <c r="Y17" s="219">
        <v>3</v>
      </c>
      <c r="Z17" s="219">
        <v>158</v>
      </c>
      <c r="AA17" s="222">
        <v>0.45</v>
      </c>
      <c r="AB17" s="219">
        <v>4000</v>
      </c>
      <c r="AC17" s="219">
        <v>3668</v>
      </c>
      <c r="AD17" s="219">
        <v>3</v>
      </c>
      <c r="AE17" s="219">
        <v>133</v>
      </c>
      <c r="AF17" s="222">
        <v>0.4</v>
      </c>
      <c r="AG17" s="219">
        <v>4000</v>
      </c>
      <c r="AH17" s="210">
        <v>40884</v>
      </c>
      <c r="AI17" s="209">
        <v>4000</v>
      </c>
      <c r="AJ17" s="210"/>
      <c r="AK17" s="211"/>
      <c r="AL17" s="210">
        <v>40793</v>
      </c>
      <c r="AM17" s="209">
        <v>952</v>
      </c>
      <c r="AN17" s="212">
        <v>0.46200000000000002</v>
      </c>
      <c r="AO17" s="213">
        <v>9466</v>
      </c>
      <c r="AP17" s="209">
        <v>4774</v>
      </c>
      <c r="AQ17" s="209">
        <v>379</v>
      </c>
      <c r="AR17" s="209">
        <v>162</v>
      </c>
      <c r="AS17" s="212">
        <f>AN17</f>
        <v>0.46200000000000002</v>
      </c>
      <c r="AT17" s="210">
        <v>40800</v>
      </c>
      <c r="AU17" s="209">
        <v>986</v>
      </c>
      <c r="AV17" s="212">
        <v>0.42299999999999999</v>
      </c>
      <c r="AW17" s="213">
        <v>9069</v>
      </c>
      <c r="AX17" s="209">
        <v>4200</v>
      </c>
      <c r="AY17" s="209">
        <v>375</v>
      </c>
      <c r="AZ17" s="209">
        <v>146</v>
      </c>
      <c r="BA17" s="212">
        <f>AV17</f>
        <v>0.42299999999999999</v>
      </c>
      <c r="BB17" s="210">
        <v>40833</v>
      </c>
      <c r="BC17" s="209">
        <v>986</v>
      </c>
      <c r="BD17" s="209" t="s">
        <v>1387</v>
      </c>
      <c r="BE17" s="212">
        <v>3.4000000000000002E-2</v>
      </c>
      <c r="BF17" s="209" t="s">
        <v>1388</v>
      </c>
      <c r="BG17" s="212">
        <v>0.14299999999999999</v>
      </c>
      <c r="BH17" s="209" t="s">
        <v>1396</v>
      </c>
      <c r="BI17" s="212">
        <v>0.153</v>
      </c>
      <c r="BJ17" s="209" t="s">
        <v>1386</v>
      </c>
      <c r="BK17" s="212">
        <v>0</v>
      </c>
      <c r="BL17" s="209" t="s">
        <v>1389</v>
      </c>
      <c r="BM17" s="212">
        <v>1.0999999999999999E-2</v>
      </c>
      <c r="BN17" s="216" t="s">
        <v>1393</v>
      </c>
      <c r="BO17" s="212">
        <v>4.5999999999999999E-2</v>
      </c>
      <c r="BT17" s="212"/>
      <c r="BU17" s="212"/>
      <c r="BV17" s="212"/>
      <c r="BW17" s="212"/>
      <c r="BX17" s="212">
        <v>0.38700000000000001</v>
      </c>
      <c r="BY17" s="213">
        <v>8141</v>
      </c>
      <c r="BZ17" s="209">
        <v>3477</v>
      </c>
      <c r="CA17" s="213">
        <v>360</v>
      </c>
      <c r="CB17" s="213">
        <v>128</v>
      </c>
      <c r="CC17" s="212">
        <f>BX17</f>
        <v>0.38700000000000001</v>
      </c>
      <c r="CD17" s="210">
        <v>40760</v>
      </c>
      <c r="CE17" s="209" t="b">
        <v>1</v>
      </c>
      <c r="CF17" s="209" t="b">
        <v>1</v>
      </c>
      <c r="CG17" s="209" t="s">
        <v>1422</v>
      </c>
      <c r="CH17" s="209">
        <v>2356</v>
      </c>
      <c r="CI17" s="211">
        <v>0.28000000000000003</v>
      </c>
      <c r="CJ17" s="211"/>
      <c r="CK17" s="209">
        <v>986</v>
      </c>
      <c r="CL17" s="209">
        <v>4534</v>
      </c>
      <c r="CM17" s="209">
        <v>258</v>
      </c>
      <c r="CN17" s="209">
        <v>9173</v>
      </c>
      <c r="CO17" s="209">
        <v>4683</v>
      </c>
      <c r="CP17" s="209">
        <f>CN17-CO17</f>
        <v>4490</v>
      </c>
      <c r="CQ17" s="209">
        <v>376</v>
      </c>
      <c r="CR17" s="209">
        <v>218</v>
      </c>
      <c r="CS17" s="209">
        <f>CQ17-CR17</f>
        <v>158</v>
      </c>
      <c r="CT17" s="211">
        <v>0.45</v>
      </c>
      <c r="CU17" s="210">
        <v>40787</v>
      </c>
      <c r="CV17" s="209">
        <v>1395</v>
      </c>
      <c r="CW17" s="211">
        <v>0.22</v>
      </c>
      <c r="CX17" s="211"/>
      <c r="CY17" s="213">
        <v>9069</v>
      </c>
      <c r="CZ17" s="213">
        <v>4869</v>
      </c>
      <c r="DA17" s="213">
        <f>CY17-CZ17</f>
        <v>4200</v>
      </c>
      <c r="DB17" s="213">
        <v>375</v>
      </c>
      <c r="DC17" s="213">
        <v>229</v>
      </c>
      <c r="DD17" s="213">
        <f>DB17-DC17</f>
        <v>146</v>
      </c>
      <c r="DE17" s="211">
        <v>0.42</v>
      </c>
      <c r="DF17" s="211"/>
      <c r="DG17" s="209">
        <v>4774</v>
      </c>
      <c r="DH17" s="209">
        <v>162</v>
      </c>
      <c r="DI17" s="211">
        <v>0.46</v>
      </c>
      <c r="DJ17" s="209" t="b">
        <v>0</v>
      </c>
      <c r="DK17" s="209" t="b">
        <v>0</v>
      </c>
      <c r="DL17" s="209">
        <v>1</v>
      </c>
      <c r="DM17" s="209">
        <v>0</v>
      </c>
      <c r="DN17" s="209" t="s">
        <v>1665</v>
      </c>
      <c r="DO17" s="209"/>
      <c r="DP17" s="209">
        <v>9</v>
      </c>
      <c r="DQ17" s="209">
        <v>4774</v>
      </c>
      <c r="DR17" s="209">
        <v>2344</v>
      </c>
      <c r="DS17" s="211">
        <v>0.28000000000000003</v>
      </c>
      <c r="DT17" s="209">
        <v>162</v>
      </c>
      <c r="DU17" s="212">
        <v>0.46</v>
      </c>
      <c r="DV17" s="209">
        <v>3477</v>
      </c>
      <c r="DW17" s="209">
        <v>128</v>
      </c>
      <c r="DX17" s="211">
        <v>0.39</v>
      </c>
      <c r="DY17" s="211" t="b">
        <v>0</v>
      </c>
      <c r="DZ17" s="211" t="b">
        <v>0</v>
      </c>
      <c r="EA17" s="209">
        <v>2</v>
      </c>
      <c r="EB17" s="209">
        <v>0</v>
      </c>
      <c r="EC17" s="209" t="s">
        <v>1672</v>
      </c>
      <c r="ED17" s="209" t="s">
        <v>1673</v>
      </c>
      <c r="EE17" s="209">
        <v>1</v>
      </c>
      <c r="EF17" s="209">
        <v>3477</v>
      </c>
      <c r="EG17" s="209">
        <v>128</v>
      </c>
      <c r="EH17" s="211">
        <v>0.39</v>
      </c>
      <c r="EI17" s="209">
        <v>1282</v>
      </c>
      <c r="EJ17" s="211">
        <v>0.22</v>
      </c>
      <c r="EK17" s="213"/>
      <c r="EL17" s="213"/>
      <c r="EM17" s="213"/>
      <c r="EN17" s="213"/>
      <c r="EO17" s="214">
        <v>7888</v>
      </c>
      <c r="EP17">
        <v>24.5</v>
      </c>
      <c r="EQ17">
        <f t="shared" si="0"/>
        <v>0.72773937161071323</v>
      </c>
      <c r="ER17">
        <f t="shared" si="1"/>
        <v>0.39802127747650778</v>
      </c>
    </row>
    <row r="18" spans="1:148" ht="15.95" customHeight="1" x14ac:dyDescent="0.25">
      <c r="A18" s="109" t="s">
        <v>59</v>
      </c>
      <c r="B18" s="136">
        <v>0.66261506080627441</v>
      </c>
      <c r="C18" s="109" t="s">
        <v>1674</v>
      </c>
      <c r="D18" s="109" t="s">
        <v>1674</v>
      </c>
      <c r="E18" s="109" t="s">
        <v>110</v>
      </c>
      <c r="F18" s="136" t="b">
        <v>0</v>
      </c>
      <c r="G18" s="109"/>
      <c r="H18" s="109"/>
      <c r="I18" s="109" t="s">
        <v>112</v>
      </c>
      <c r="J18" s="109" t="s">
        <v>111</v>
      </c>
      <c r="K18" s="109" t="s">
        <v>69</v>
      </c>
      <c r="L18" s="109"/>
      <c r="M18" s="109"/>
      <c r="N18" s="109" t="s">
        <v>1621</v>
      </c>
      <c r="O18" s="109" t="s">
        <v>1491</v>
      </c>
      <c r="P18" s="137">
        <v>40758</v>
      </c>
      <c r="Q18" s="137">
        <v>40759</v>
      </c>
      <c r="R18" s="137">
        <v>40772</v>
      </c>
      <c r="S18" s="137">
        <v>40771</v>
      </c>
      <c r="T18" s="137">
        <v>40816</v>
      </c>
      <c r="U18" s="138"/>
      <c r="V18" s="136">
        <v>1582</v>
      </c>
      <c r="W18" s="109" t="s">
        <v>68</v>
      </c>
      <c r="X18" s="136">
        <v>151</v>
      </c>
      <c r="Y18" s="136">
        <v>2</v>
      </c>
      <c r="Z18" s="136">
        <v>52</v>
      </c>
      <c r="AA18" s="148"/>
      <c r="AB18" s="136">
        <v>1000</v>
      </c>
      <c r="AC18" s="136">
        <v>151</v>
      </c>
      <c r="AD18" s="136">
        <v>2</v>
      </c>
      <c r="AE18" s="136">
        <v>52</v>
      </c>
      <c r="AF18" s="140">
        <v>0.1</v>
      </c>
      <c r="AG18" s="136">
        <v>1000</v>
      </c>
      <c r="AH18" s="141">
        <v>40816</v>
      </c>
      <c r="AI18" s="103">
        <v>1000</v>
      </c>
      <c r="AJ18" s="141"/>
      <c r="AK18" s="142"/>
      <c r="AL18" s="141"/>
      <c r="AM18" s="103"/>
      <c r="AN18" s="143"/>
      <c r="AO18" s="144"/>
      <c r="AP18" s="103"/>
      <c r="AQ18" s="103"/>
      <c r="AR18" s="103"/>
      <c r="AS18" s="143"/>
      <c r="AT18" s="141"/>
      <c r="AU18" s="103"/>
      <c r="AV18" s="143"/>
      <c r="AW18" s="144"/>
      <c r="AX18" s="103"/>
      <c r="AY18" s="103"/>
      <c r="AZ18" s="103"/>
      <c r="BA18" s="143"/>
      <c r="BB18" s="141"/>
      <c r="BC18" s="103"/>
      <c r="BD18" s="103"/>
      <c r="BE18" s="143"/>
      <c r="BF18" s="103"/>
      <c r="BG18" s="143"/>
      <c r="BH18" s="103"/>
      <c r="BI18" s="143"/>
      <c r="BJ18" s="103"/>
      <c r="BK18" s="143"/>
      <c r="BL18" s="103"/>
      <c r="BM18" s="143"/>
      <c r="BN18" s="143"/>
      <c r="BO18" s="143"/>
      <c r="BP18" s="143"/>
      <c r="BQ18" s="143"/>
      <c r="BR18" s="143"/>
      <c r="BS18" s="143"/>
      <c r="BT18" s="143"/>
      <c r="BU18" s="143"/>
      <c r="BV18" s="143"/>
      <c r="BW18" s="143"/>
      <c r="BX18" s="143"/>
      <c r="BY18" s="144"/>
      <c r="BZ18" s="103"/>
      <c r="CA18" s="144"/>
      <c r="CB18" s="144"/>
      <c r="CC18" s="143"/>
      <c r="CD18" s="141">
        <v>40758</v>
      </c>
      <c r="CE18" s="103" t="b">
        <v>1</v>
      </c>
      <c r="CF18" s="103" t="b">
        <v>1</v>
      </c>
      <c r="CG18" s="103" t="s">
        <v>1491</v>
      </c>
      <c r="CH18" s="103">
        <v>2890</v>
      </c>
      <c r="CI18" s="142">
        <v>0.56999999999999995</v>
      </c>
      <c r="CJ18" s="142"/>
      <c r="CK18" s="103">
        <v>1582</v>
      </c>
      <c r="CL18" s="103"/>
      <c r="CM18" s="103"/>
      <c r="CN18" s="103"/>
      <c r="CO18" s="103"/>
      <c r="CP18" s="103"/>
      <c r="CQ18" s="103"/>
      <c r="CR18" s="103"/>
      <c r="CS18" s="103"/>
      <c r="CT18" s="142"/>
      <c r="CU18" s="141">
        <v>40767</v>
      </c>
      <c r="CV18" s="103">
        <v>2460</v>
      </c>
      <c r="CW18" s="142">
        <v>0.32</v>
      </c>
      <c r="CX18" s="142"/>
      <c r="CY18" s="144"/>
      <c r="CZ18" s="144"/>
      <c r="DA18" s="144"/>
      <c r="DB18" s="144"/>
      <c r="DC18" s="144"/>
      <c r="DD18" s="144"/>
      <c r="DE18" s="142"/>
      <c r="DF18" s="142"/>
      <c r="DG18" s="103"/>
      <c r="DH18" s="103"/>
      <c r="DI18" s="103"/>
      <c r="DJ18" s="103"/>
      <c r="DK18" s="103"/>
      <c r="DL18" s="103"/>
      <c r="DM18" s="103"/>
      <c r="DN18" s="103"/>
      <c r="DO18" s="103"/>
      <c r="DP18" s="100" t="s">
        <v>1874</v>
      </c>
      <c r="DQ18" s="103"/>
      <c r="DR18" s="103"/>
      <c r="DS18" s="133"/>
      <c r="DT18" s="103"/>
      <c r="DU18" s="143"/>
      <c r="DV18" s="103"/>
      <c r="DW18" s="103"/>
      <c r="DX18" s="142"/>
      <c r="DY18" s="142" t="b">
        <v>0</v>
      </c>
      <c r="DZ18" s="142" t="b">
        <v>0</v>
      </c>
      <c r="EA18" s="103">
        <v>2</v>
      </c>
      <c r="EB18" s="103"/>
      <c r="EC18" s="103" t="s">
        <v>1672</v>
      </c>
      <c r="ED18" s="103" t="s">
        <v>1673</v>
      </c>
      <c r="EE18" s="103">
        <v>3</v>
      </c>
      <c r="EF18" s="103"/>
      <c r="EG18" s="103"/>
      <c r="EH18" s="103"/>
      <c r="EI18" s="103">
        <v>2460</v>
      </c>
      <c r="EJ18" s="142">
        <v>0.32</v>
      </c>
      <c r="EK18" s="134"/>
      <c r="EL18" s="134"/>
      <c r="EM18" s="134"/>
      <c r="EN18" s="134"/>
      <c r="EO18">
        <v>12656</v>
      </c>
      <c r="EP18">
        <v>24.5</v>
      </c>
      <c r="ER18">
        <f t="shared" si="1"/>
        <v>0.47601847312882173</v>
      </c>
    </row>
    <row r="19" spans="1:148" ht="15.95" customHeight="1" x14ac:dyDescent="0.25">
      <c r="A19" s="109" t="s">
        <v>59</v>
      </c>
      <c r="B19" s="136">
        <v>5.7311773300170898E-2</v>
      </c>
      <c r="C19" s="109" t="s">
        <v>1675</v>
      </c>
      <c r="D19" s="109" t="s">
        <v>1675</v>
      </c>
      <c r="E19" s="109" t="s">
        <v>110</v>
      </c>
      <c r="F19" s="136" t="b">
        <v>0</v>
      </c>
      <c r="G19" s="109"/>
      <c r="H19" s="109"/>
      <c r="I19" s="109" t="s">
        <v>1676</v>
      </c>
      <c r="J19" s="109" t="s">
        <v>1677</v>
      </c>
      <c r="K19" s="109" t="s">
        <v>1654</v>
      </c>
      <c r="L19" s="109"/>
      <c r="M19" s="109"/>
      <c r="N19" s="109" t="s">
        <v>1647</v>
      </c>
      <c r="O19" s="109" t="s">
        <v>1491</v>
      </c>
      <c r="P19" s="137">
        <v>40739</v>
      </c>
      <c r="Q19" s="137">
        <v>40744</v>
      </c>
      <c r="R19" s="137">
        <v>40752</v>
      </c>
      <c r="S19" s="137">
        <v>40801</v>
      </c>
      <c r="T19" s="137">
        <v>40820</v>
      </c>
      <c r="U19" s="138"/>
      <c r="V19" s="136">
        <v>2667</v>
      </c>
      <c r="W19" s="109" t="s">
        <v>68</v>
      </c>
      <c r="X19" s="136">
        <v>231</v>
      </c>
      <c r="Y19" s="136">
        <v>1</v>
      </c>
      <c r="Z19" s="136">
        <v>74</v>
      </c>
      <c r="AA19" s="148"/>
      <c r="AB19" s="139"/>
      <c r="AC19" s="136">
        <v>231</v>
      </c>
      <c r="AD19" s="136">
        <v>1</v>
      </c>
      <c r="AE19" s="136">
        <v>74</v>
      </c>
      <c r="AF19" s="140">
        <v>0.1</v>
      </c>
      <c r="AG19" s="136">
        <v>1000</v>
      </c>
      <c r="AH19" s="141">
        <v>40820</v>
      </c>
      <c r="AI19" s="103">
        <v>1000</v>
      </c>
      <c r="AJ19" s="141"/>
      <c r="AK19" s="142"/>
      <c r="AL19" s="141"/>
      <c r="AM19" s="103"/>
      <c r="AN19" s="143"/>
      <c r="AO19" s="144"/>
      <c r="AP19" s="103"/>
      <c r="AQ19" s="103"/>
      <c r="AR19" s="103"/>
      <c r="AS19" s="143"/>
      <c r="AT19" s="141"/>
      <c r="AU19" s="103"/>
      <c r="AV19" s="143"/>
      <c r="AW19" s="144"/>
      <c r="AX19" s="103"/>
      <c r="AY19" s="103"/>
      <c r="AZ19" s="103"/>
      <c r="BA19" s="143"/>
      <c r="BB19" s="141"/>
      <c r="BC19" s="103"/>
      <c r="BD19" s="103"/>
      <c r="BE19" s="143"/>
      <c r="BF19" s="103"/>
      <c r="BG19" s="143"/>
      <c r="BH19" s="103"/>
      <c r="BI19" s="143"/>
      <c r="BJ19" s="103"/>
      <c r="BK19" s="143"/>
      <c r="BL19" s="103"/>
      <c r="BM19" s="143"/>
      <c r="BN19" s="143"/>
      <c r="BO19" s="143"/>
      <c r="BP19" s="143"/>
      <c r="BQ19" s="143"/>
      <c r="BR19" s="143"/>
      <c r="BS19" s="143"/>
      <c r="BT19" s="143"/>
      <c r="BU19" s="143"/>
      <c r="BV19" s="143"/>
      <c r="BW19" s="143"/>
      <c r="BX19" s="143"/>
      <c r="BY19" s="144"/>
      <c r="BZ19" s="103"/>
      <c r="CA19" s="144"/>
      <c r="CB19" s="144"/>
      <c r="CC19" s="143"/>
      <c r="CD19" s="141">
        <v>40739</v>
      </c>
      <c r="CE19" s="103" t="b">
        <v>1</v>
      </c>
      <c r="CF19" s="103" t="b">
        <v>1</v>
      </c>
      <c r="CG19" s="103" t="s">
        <v>1491</v>
      </c>
      <c r="CH19" s="103">
        <v>2600</v>
      </c>
      <c r="CI19" s="142">
        <v>0.34</v>
      </c>
      <c r="CJ19" s="142"/>
      <c r="CK19" s="103">
        <v>2667</v>
      </c>
      <c r="CL19" s="103"/>
      <c r="CM19" s="103"/>
      <c r="CN19" s="103"/>
      <c r="CO19" s="103"/>
      <c r="CP19" s="103"/>
      <c r="CQ19" s="103"/>
      <c r="CR19" s="103"/>
      <c r="CS19" s="103"/>
      <c r="CT19" s="142"/>
      <c r="CU19" s="141">
        <v>40759</v>
      </c>
      <c r="CV19" s="103">
        <v>2335</v>
      </c>
      <c r="CW19" s="142">
        <v>7.0000000000000007E-2</v>
      </c>
      <c r="CX19" s="142"/>
      <c r="CY19" s="144"/>
      <c r="CZ19" s="144"/>
      <c r="DA19" s="144"/>
      <c r="DB19" s="144"/>
      <c r="DC19" s="144"/>
      <c r="DD19" s="144"/>
      <c r="DE19" s="142"/>
      <c r="DF19" s="142"/>
      <c r="DG19" s="103"/>
      <c r="DH19" s="103"/>
      <c r="DI19" s="103"/>
      <c r="DJ19" s="103"/>
      <c r="DK19" s="103"/>
      <c r="DL19" s="103">
        <v>0</v>
      </c>
      <c r="DM19" s="103">
        <v>0</v>
      </c>
      <c r="DN19" s="103"/>
      <c r="DO19" s="103"/>
      <c r="DP19" s="103" t="s">
        <v>1874</v>
      </c>
      <c r="DQ19" s="103"/>
      <c r="DR19" s="103"/>
      <c r="DS19" s="133"/>
      <c r="DT19" s="103"/>
      <c r="DU19" s="143"/>
      <c r="DV19" s="103"/>
      <c r="DW19" s="103"/>
      <c r="DX19" s="142"/>
      <c r="DY19" s="142" t="b">
        <v>0</v>
      </c>
      <c r="DZ19" s="142" t="b">
        <v>0</v>
      </c>
      <c r="EA19" s="103">
        <v>0</v>
      </c>
      <c r="EB19" s="103">
        <v>0</v>
      </c>
      <c r="EC19" s="103"/>
      <c r="ED19" s="103"/>
      <c r="EE19" s="103">
        <v>4</v>
      </c>
      <c r="EF19" s="103"/>
      <c r="EG19" s="103"/>
      <c r="EH19" s="103"/>
      <c r="EI19" s="103">
        <v>2308</v>
      </c>
      <c r="EJ19" s="142">
        <v>0.09</v>
      </c>
      <c r="EK19" s="134"/>
      <c r="EL19" s="134"/>
      <c r="EM19" s="134"/>
      <c r="EN19" s="134"/>
      <c r="EO19">
        <v>21336</v>
      </c>
      <c r="EP19">
        <v>24.5</v>
      </c>
      <c r="ER19">
        <f t="shared" si="1"/>
        <v>0.26491586510869813</v>
      </c>
    </row>
    <row r="20" spans="1:148" ht="15.95" customHeight="1" x14ac:dyDescent="0.25">
      <c r="A20" s="110" t="s">
        <v>59</v>
      </c>
      <c r="B20" s="145">
        <v>0.98552703857421875</v>
      </c>
      <c r="C20" s="110" t="s">
        <v>1431</v>
      </c>
      <c r="D20" s="110" t="s">
        <v>1431</v>
      </c>
      <c r="E20" s="110" t="s">
        <v>110</v>
      </c>
      <c r="F20" s="145" t="b">
        <v>0</v>
      </c>
      <c r="G20" s="110"/>
      <c r="H20" s="110"/>
      <c r="I20" s="110" t="s">
        <v>1678</v>
      </c>
      <c r="J20" s="110" t="s">
        <v>1679</v>
      </c>
      <c r="K20" s="110" t="s">
        <v>69</v>
      </c>
      <c r="L20" s="110"/>
      <c r="M20" s="110"/>
      <c r="N20" s="110" t="s">
        <v>1644</v>
      </c>
      <c r="O20" s="110" t="s">
        <v>1422</v>
      </c>
      <c r="P20" s="146">
        <v>40735</v>
      </c>
      <c r="Q20" s="146">
        <v>40737</v>
      </c>
      <c r="R20" s="146">
        <v>40745</v>
      </c>
      <c r="S20" s="146">
        <v>40823</v>
      </c>
      <c r="T20" s="146">
        <v>40870</v>
      </c>
      <c r="U20" s="91"/>
      <c r="V20" s="145">
        <v>1915</v>
      </c>
      <c r="W20" s="110" t="s">
        <v>68</v>
      </c>
      <c r="X20" s="145">
        <v>4032</v>
      </c>
      <c r="Y20" s="145">
        <v>5</v>
      </c>
      <c r="Z20" s="145">
        <v>231</v>
      </c>
      <c r="AA20" s="147">
        <v>0.35</v>
      </c>
      <c r="AB20" s="145">
        <v>3500</v>
      </c>
      <c r="AC20" s="145">
        <v>3263</v>
      </c>
      <c r="AD20" s="145">
        <v>6</v>
      </c>
      <c r="AE20" s="145">
        <v>238</v>
      </c>
      <c r="AF20" s="147">
        <v>0.36</v>
      </c>
      <c r="AG20" s="145">
        <v>3500</v>
      </c>
      <c r="AH20" s="132">
        <v>40870</v>
      </c>
      <c r="AI20" s="100">
        <v>3500</v>
      </c>
      <c r="AJ20" s="132"/>
      <c r="AK20" s="133"/>
      <c r="AL20" s="132">
        <v>40765</v>
      </c>
      <c r="AM20" s="100">
        <v>1915</v>
      </c>
      <c r="AN20" s="98">
        <v>0.30099999999999999</v>
      </c>
      <c r="AO20" s="99">
        <v>10058</v>
      </c>
      <c r="AP20" s="100">
        <v>2850</v>
      </c>
      <c r="AQ20" s="100">
        <v>635</v>
      </c>
      <c r="AR20" s="100">
        <v>197</v>
      </c>
      <c r="AS20" s="98">
        <f>AN20</f>
        <v>0.30099999999999999</v>
      </c>
      <c r="AT20" s="132">
        <v>40736</v>
      </c>
      <c r="AU20" s="100">
        <v>1915</v>
      </c>
      <c r="AV20" s="98">
        <v>0.35399999999999998</v>
      </c>
      <c r="AW20" s="99">
        <v>10956</v>
      </c>
      <c r="AX20" s="100">
        <v>4032</v>
      </c>
      <c r="AY20" s="100">
        <v>669</v>
      </c>
      <c r="AZ20" s="100">
        <v>231</v>
      </c>
      <c r="BA20" s="98">
        <f>AV20</f>
        <v>0.35399999999999998</v>
      </c>
      <c r="BB20" s="132">
        <v>40861</v>
      </c>
      <c r="BC20" s="100">
        <v>1915</v>
      </c>
      <c r="BD20" s="100" t="s">
        <v>1387</v>
      </c>
      <c r="BE20" s="98">
        <v>5.0999999999999997E-2</v>
      </c>
      <c r="BF20" s="100" t="s">
        <v>1395</v>
      </c>
      <c r="BG20" s="98">
        <v>0.01</v>
      </c>
      <c r="BH20" s="100" t="s">
        <v>1386</v>
      </c>
      <c r="BI20" s="98">
        <v>0.115</v>
      </c>
      <c r="BJ20" s="100" t="s">
        <v>1389</v>
      </c>
      <c r="BK20" s="98">
        <v>3.9E-2</v>
      </c>
      <c r="BL20" s="100" t="s">
        <v>1393</v>
      </c>
      <c r="BM20" s="98">
        <v>5.3999999999999999E-2</v>
      </c>
      <c r="BN20" s="149" t="s">
        <v>1394</v>
      </c>
      <c r="BO20" s="98">
        <v>4.2000000000000003E-2</v>
      </c>
      <c r="BP20" s="149" t="s">
        <v>1397</v>
      </c>
      <c r="BQ20" s="98">
        <v>4.3999999999999997E-2</v>
      </c>
      <c r="BR20" s="98"/>
      <c r="BS20" s="98"/>
      <c r="BT20" s="98"/>
      <c r="BU20" s="98"/>
      <c r="BV20" s="98"/>
      <c r="BW20" s="98"/>
      <c r="BX20" s="98">
        <v>0.35499999999999998</v>
      </c>
      <c r="BY20" s="99">
        <v>10270</v>
      </c>
      <c r="BZ20" s="100">
        <v>3263</v>
      </c>
      <c r="CA20" s="134">
        <v>635</v>
      </c>
      <c r="CB20" s="134">
        <v>238</v>
      </c>
      <c r="CC20" s="98">
        <f>BX20</f>
        <v>0.35499999999999998</v>
      </c>
      <c r="CD20" s="132">
        <v>40731</v>
      </c>
      <c r="CE20" s="100" t="b">
        <v>1</v>
      </c>
      <c r="CF20" s="100" t="b">
        <v>1</v>
      </c>
      <c r="CG20" s="100" t="s">
        <v>1422</v>
      </c>
      <c r="CH20" s="100">
        <v>8045</v>
      </c>
      <c r="CI20" s="133">
        <v>0.21</v>
      </c>
      <c r="CJ20" s="133"/>
      <c r="CK20" s="100">
        <v>1915</v>
      </c>
      <c r="CL20" s="100">
        <v>8109</v>
      </c>
      <c r="CM20" s="100">
        <v>476</v>
      </c>
      <c r="CN20" s="100">
        <v>9939</v>
      </c>
      <c r="CO20" s="100">
        <v>7188</v>
      </c>
      <c r="CP20" s="100">
        <f>CN20-CO20</f>
        <v>2751</v>
      </c>
      <c r="CQ20" s="100">
        <v>632</v>
      </c>
      <c r="CR20" s="100">
        <v>434</v>
      </c>
      <c r="CS20" s="100">
        <f>CQ20-CR20</f>
        <v>198</v>
      </c>
      <c r="CT20" s="133">
        <v>0.3</v>
      </c>
      <c r="CU20" s="132">
        <v>40802</v>
      </c>
      <c r="CV20" s="100">
        <v>4036</v>
      </c>
      <c r="CW20" s="133">
        <v>0.06</v>
      </c>
      <c r="CX20" s="133"/>
      <c r="CY20" s="99">
        <v>10137</v>
      </c>
      <c r="CZ20" s="99">
        <v>7053</v>
      </c>
      <c r="DA20" s="99">
        <f>CY20-CZ20</f>
        <v>3084</v>
      </c>
      <c r="DB20" s="99">
        <v>638</v>
      </c>
      <c r="DC20" s="99">
        <v>410</v>
      </c>
      <c r="DD20" s="99">
        <f>DB20-DC20</f>
        <v>228</v>
      </c>
      <c r="DE20" s="133">
        <v>0.34</v>
      </c>
      <c r="DF20" s="133"/>
      <c r="DG20" s="100">
        <v>2850</v>
      </c>
      <c r="DH20" s="100">
        <v>197</v>
      </c>
      <c r="DI20" s="133">
        <v>0.3</v>
      </c>
      <c r="DJ20" s="100" t="b">
        <v>0</v>
      </c>
      <c r="DK20" s="100" t="b">
        <v>0</v>
      </c>
      <c r="DL20" s="100">
        <v>0</v>
      </c>
      <c r="DM20" s="100">
        <v>0</v>
      </c>
      <c r="DN20" s="100"/>
      <c r="DO20" s="100"/>
      <c r="DP20" s="100">
        <v>8</v>
      </c>
      <c r="DQ20" s="100">
        <v>2850</v>
      </c>
      <c r="DR20" s="100">
        <v>7681</v>
      </c>
      <c r="DS20" s="133">
        <v>0.24</v>
      </c>
      <c r="DT20" s="100">
        <v>197</v>
      </c>
      <c r="DU20" s="98">
        <v>0.3</v>
      </c>
      <c r="DV20" s="100">
        <v>3263</v>
      </c>
      <c r="DW20" s="100">
        <v>238</v>
      </c>
      <c r="DX20" s="133">
        <v>0.36</v>
      </c>
      <c r="DY20" s="133" t="b">
        <v>1</v>
      </c>
      <c r="DZ20" s="133" t="b">
        <v>0</v>
      </c>
      <c r="EA20" s="100">
        <v>1</v>
      </c>
      <c r="EB20" s="100">
        <v>0</v>
      </c>
      <c r="EC20" s="100" t="s">
        <v>1680</v>
      </c>
      <c r="ED20" s="100"/>
      <c r="EE20" s="100">
        <v>3</v>
      </c>
      <c r="EF20" s="100">
        <v>3263</v>
      </c>
      <c r="EG20" s="100">
        <v>238</v>
      </c>
      <c r="EH20" s="133">
        <v>0.36</v>
      </c>
      <c r="EI20" s="100">
        <v>3948</v>
      </c>
      <c r="EJ20" s="133">
        <v>0.06</v>
      </c>
      <c r="EK20" s="99">
        <v>78000</v>
      </c>
      <c r="EL20" s="99">
        <v>71000</v>
      </c>
      <c r="EM20" s="99">
        <v>5</v>
      </c>
      <c r="EN20" s="99">
        <v>1.9</v>
      </c>
      <c r="EO20" s="236">
        <v>15320</v>
      </c>
      <c r="EP20">
        <v>24.5</v>
      </c>
      <c r="EQ20">
        <f t="shared" si="0"/>
        <v>1.2278467522779346</v>
      </c>
      <c r="ER20">
        <f t="shared" si="1"/>
        <v>0.63110779559865715</v>
      </c>
    </row>
    <row r="21" spans="1:148" ht="15.95" customHeight="1" x14ac:dyDescent="0.25">
      <c r="A21" s="109" t="s">
        <v>59</v>
      </c>
      <c r="B21" s="136">
        <v>0.36224764585494995</v>
      </c>
      <c r="C21" s="109" t="s">
        <v>1681</v>
      </c>
      <c r="D21" s="109" t="s">
        <v>1681</v>
      </c>
      <c r="E21" s="109" t="s">
        <v>110</v>
      </c>
      <c r="F21" s="136" t="b">
        <v>0</v>
      </c>
      <c r="G21" s="109"/>
      <c r="H21" s="109"/>
      <c r="I21" s="109" t="s">
        <v>1682</v>
      </c>
      <c r="J21" s="109" t="s">
        <v>1683</v>
      </c>
      <c r="K21" s="109" t="s">
        <v>69</v>
      </c>
      <c r="L21" s="109"/>
      <c r="M21" s="109"/>
      <c r="N21" s="109" t="s">
        <v>1621</v>
      </c>
      <c r="O21" s="109" t="s">
        <v>1491</v>
      </c>
      <c r="P21" s="137">
        <v>40725</v>
      </c>
      <c r="Q21" s="137">
        <v>40736</v>
      </c>
      <c r="R21" s="137">
        <v>40760</v>
      </c>
      <c r="S21" s="137">
        <v>40770</v>
      </c>
      <c r="T21" s="137">
        <v>40800</v>
      </c>
      <c r="U21" s="138"/>
      <c r="V21" s="136">
        <v>1468</v>
      </c>
      <c r="W21" s="109" t="s">
        <v>68</v>
      </c>
      <c r="X21" s="136">
        <v>248</v>
      </c>
      <c r="Y21" s="136">
        <v>1</v>
      </c>
      <c r="Z21" s="136">
        <v>49</v>
      </c>
      <c r="AA21" s="140">
        <v>0.1</v>
      </c>
      <c r="AB21" s="136">
        <v>1000</v>
      </c>
      <c r="AC21" s="136">
        <v>248</v>
      </c>
      <c r="AD21" s="136">
        <v>1</v>
      </c>
      <c r="AE21" s="136">
        <v>49</v>
      </c>
      <c r="AF21" s="140">
        <v>0.1</v>
      </c>
      <c r="AG21" s="136">
        <v>1000</v>
      </c>
      <c r="AH21" s="141">
        <v>40799</v>
      </c>
      <c r="AI21" s="103">
        <v>1000</v>
      </c>
      <c r="AJ21" s="141"/>
      <c r="AK21" s="142"/>
      <c r="AL21" s="141"/>
      <c r="AM21" s="103"/>
      <c r="AN21" s="143"/>
      <c r="AO21" s="144"/>
      <c r="AP21" s="103"/>
      <c r="AQ21" s="103"/>
      <c r="AR21" s="103"/>
      <c r="AS21" s="143"/>
      <c r="AT21" s="141"/>
      <c r="AU21" s="103"/>
      <c r="AV21" s="143"/>
      <c r="AW21" s="144"/>
      <c r="AX21" s="103"/>
      <c r="AY21" s="103"/>
      <c r="AZ21" s="103"/>
      <c r="BA21" s="143"/>
      <c r="BB21" s="141"/>
      <c r="BC21" s="103"/>
      <c r="BD21" s="103"/>
      <c r="BE21" s="143"/>
      <c r="BF21" s="103"/>
      <c r="BG21" s="143"/>
      <c r="BH21" s="103"/>
      <c r="BI21" s="143"/>
      <c r="BJ21" s="103"/>
      <c r="BK21" s="143"/>
      <c r="BL21" s="103"/>
      <c r="BM21" s="143"/>
      <c r="BN21" s="143"/>
      <c r="BO21" s="143"/>
      <c r="BP21" s="143"/>
      <c r="BQ21" s="143"/>
      <c r="BR21" s="143"/>
      <c r="BS21" s="143"/>
      <c r="BT21" s="143"/>
      <c r="BU21" s="143"/>
      <c r="BV21" s="143"/>
      <c r="BW21" s="143"/>
      <c r="BX21" s="143"/>
      <c r="BY21" s="144"/>
      <c r="BZ21" s="103"/>
      <c r="CA21" s="144"/>
      <c r="CB21" s="144"/>
      <c r="CC21" s="143"/>
      <c r="CD21" s="141">
        <v>40725</v>
      </c>
      <c r="CE21" s="103" t="b">
        <v>1</v>
      </c>
      <c r="CF21" s="103" t="b">
        <v>1</v>
      </c>
      <c r="CG21" s="103" t="s">
        <v>1491</v>
      </c>
      <c r="CH21" s="103">
        <v>2025</v>
      </c>
      <c r="CI21" s="142">
        <v>0.2</v>
      </c>
      <c r="CJ21" s="142"/>
      <c r="CK21" s="103">
        <v>1468</v>
      </c>
      <c r="CL21" s="103"/>
      <c r="CM21" s="103"/>
      <c r="CN21" s="103"/>
      <c r="CO21" s="103"/>
      <c r="CP21" s="103"/>
      <c r="CQ21" s="103"/>
      <c r="CR21" s="103"/>
      <c r="CS21" s="103"/>
      <c r="CT21" s="142"/>
      <c r="CU21" s="141">
        <v>40764</v>
      </c>
      <c r="CV21" s="103">
        <v>1345</v>
      </c>
      <c r="CW21" s="142">
        <v>7.0000000000000007E-2</v>
      </c>
      <c r="CX21" s="142"/>
      <c r="CY21" s="144"/>
      <c r="CZ21" s="144"/>
      <c r="DA21" s="144"/>
      <c r="DB21" s="144"/>
      <c r="DC21" s="144"/>
      <c r="DD21" s="144"/>
      <c r="DE21" s="142"/>
      <c r="DF21" s="142"/>
      <c r="DG21" s="103"/>
      <c r="DH21" s="103"/>
      <c r="DI21" s="103"/>
      <c r="DJ21" s="103"/>
      <c r="DK21" s="103"/>
      <c r="DL21" s="103">
        <v>0</v>
      </c>
      <c r="DM21" s="103">
        <v>0</v>
      </c>
      <c r="DN21" s="103"/>
      <c r="DO21" s="103"/>
      <c r="DP21" s="103" t="s">
        <v>1874</v>
      </c>
      <c r="DQ21" s="103"/>
      <c r="DR21" s="103"/>
      <c r="DS21" s="133"/>
      <c r="DT21" s="103"/>
      <c r="DU21" s="143"/>
      <c r="DV21" s="103"/>
      <c r="DW21" s="103"/>
      <c r="DX21" s="142"/>
      <c r="DY21" s="142" t="b">
        <v>1</v>
      </c>
      <c r="DZ21" s="142" t="b">
        <v>1</v>
      </c>
      <c r="EA21" s="103">
        <v>2</v>
      </c>
      <c r="EB21" s="103"/>
      <c r="EC21" s="103" t="s">
        <v>1684</v>
      </c>
      <c r="ED21" s="103" t="s">
        <v>1685</v>
      </c>
      <c r="EE21" s="103">
        <v>1</v>
      </c>
      <c r="EF21" s="103"/>
      <c r="EG21" s="103"/>
      <c r="EH21" s="103"/>
      <c r="EI21" s="103">
        <v>1320</v>
      </c>
      <c r="EJ21" s="142">
        <v>7.0000000000000007E-2</v>
      </c>
      <c r="EK21" s="134"/>
      <c r="EL21" s="134"/>
      <c r="EM21" s="134"/>
      <c r="EN21" s="134"/>
      <c r="EO21">
        <v>11744</v>
      </c>
      <c r="EP21">
        <v>24.5</v>
      </c>
      <c r="ER21">
        <f t="shared" si="1"/>
        <v>0.27525996774731692</v>
      </c>
    </row>
    <row r="22" spans="1:148" ht="15.95" customHeight="1" x14ac:dyDescent="0.25">
      <c r="A22" s="110" t="s">
        <v>59</v>
      </c>
      <c r="B22" s="145">
        <v>0.40057909488677979</v>
      </c>
      <c r="C22" s="110" t="s">
        <v>1432</v>
      </c>
      <c r="D22" s="110" t="s">
        <v>1432</v>
      </c>
      <c r="E22" s="110" t="s">
        <v>110</v>
      </c>
      <c r="F22" s="145" t="b">
        <v>0</v>
      </c>
      <c r="G22" s="110"/>
      <c r="H22" s="110"/>
      <c r="I22" s="110" t="s">
        <v>1686</v>
      </c>
      <c r="J22" s="110" t="s">
        <v>1687</v>
      </c>
      <c r="K22" s="110" t="s">
        <v>69</v>
      </c>
      <c r="L22" s="110"/>
      <c r="M22" s="110"/>
      <c r="N22" s="110" t="s">
        <v>1688</v>
      </c>
      <c r="O22" s="110" t="s">
        <v>1422</v>
      </c>
      <c r="P22" s="146">
        <v>40718</v>
      </c>
      <c r="Q22" s="146">
        <v>40738</v>
      </c>
      <c r="R22" s="146">
        <v>40749</v>
      </c>
      <c r="S22" s="146">
        <v>40814</v>
      </c>
      <c r="T22" s="146">
        <v>40886</v>
      </c>
      <c r="U22" s="91"/>
      <c r="V22" s="145">
        <v>2248</v>
      </c>
      <c r="W22" s="110" t="s">
        <v>68</v>
      </c>
      <c r="X22" s="145">
        <v>13</v>
      </c>
      <c r="Y22" s="145">
        <v>0</v>
      </c>
      <c r="Z22" s="145">
        <v>87</v>
      </c>
      <c r="AA22" s="147">
        <v>0.12</v>
      </c>
      <c r="AB22" s="145">
        <v>1250</v>
      </c>
      <c r="AC22" s="145">
        <v>17</v>
      </c>
      <c r="AD22" s="145">
        <v>0</v>
      </c>
      <c r="AE22" s="145">
        <v>84</v>
      </c>
      <c r="AF22" s="147">
        <v>0.14000000000000001</v>
      </c>
      <c r="AG22" s="145">
        <v>1250</v>
      </c>
      <c r="AH22" s="132">
        <v>40886</v>
      </c>
      <c r="AI22" s="100">
        <v>1250</v>
      </c>
      <c r="AJ22" s="132"/>
      <c r="AK22" s="133"/>
      <c r="AL22" s="132">
        <v>40764</v>
      </c>
      <c r="AM22" s="100">
        <v>1785</v>
      </c>
      <c r="AN22" s="98">
        <v>0.111</v>
      </c>
      <c r="AO22" s="99">
        <v>5371</v>
      </c>
      <c r="AP22" s="100">
        <v>9</v>
      </c>
      <c r="AQ22" s="100">
        <v>426</v>
      </c>
      <c r="AR22" s="100">
        <v>67</v>
      </c>
      <c r="AS22" s="98">
        <f t="shared" ref="AS22:AS40" si="2">AN22</f>
        <v>0.111</v>
      </c>
      <c r="AT22" s="132">
        <v>40735</v>
      </c>
      <c r="AU22" s="100">
        <v>2248</v>
      </c>
      <c r="AV22" s="98">
        <v>0.125</v>
      </c>
      <c r="AW22" s="99">
        <v>6278</v>
      </c>
      <c r="AX22" s="100">
        <v>13</v>
      </c>
      <c r="AY22" s="100">
        <v>487</v>
      </c>
      <c r="AZ22" s="100">
        <v>87</v>
      </c>
      <c r="BA22" s="98">
        <f>AV22</f>
        <v>0.125</v>
      </c>
      <c r="BB22" s="132">
        <v>40808</v>
      </c>
      <c r="BC22" s="100">
        <v>1693</v>
      </c>
      <c r="BD22" s="100" t="s">
        <v>1388</v>
      </c>
      <c r="BE22" s="98">
        <v>0.188</v>
      </c>
      <c r="BF22" s="100" t="s">
        <v>1395</v>
      </c>
      <c r="BG22" s="98">
        <v>4.3999999999999997E-2</v>
      </c>
      <c r="BH22" s="100"/>
      <c r="BI22" s="98"/>
      <c r="BJ22" s="100"/>
      <c r="BK22" s="98"/>
      <c r="BL22" s="100"/>
      <c r="BM22" s="98"/>
      <c r="BN22" s="98"/>
      <c r="BO22" s="98"/>
      <c r="BP22" s="98"/>
      <c r="BQ22" s="98"/>
      <c r="BR22" s="98"/>
      <c r="BS22" s="98"/>
      <c r="BT22" s="98"/>
      <c r="BU22" s="98"/>
      <c r="BV22" s="98"/>
      <c r="BW22" s="98"/>
      <c r="BX22" s="98">
        <v>0.23200000000000001</v>
      </c>
      <c r="BY22" s="99">
        <v>5523</v>
      </c>
      <c r="BZ22" s="100">
        <v>20</v>
      </c>
      <c r="CA22" s="134">
        <v>564</v>
      </c>
      <c r="CB22" s="134">
        <v>174</v>
      </c>
      <c r="CC22" s="98">
        <f t="shared" ref="CC22:CC75" si="3">BX22</f>
        <v>0.23200000000000001</v>
      </c>
      <c r="CD22" s="132">
        <v>40712</v>
      </c>
      <c r="CE22" s="100" t="b">
        <v>1</v>
      </c>
      <c r="CF22" s="100" t="b">
        <v>1</v>
      </c>
      <c r="CG22" s="100" t="s">
        <v>1422</v>
      </c>
      <c r="CH22" s="100">
        <v>2871</v>
      </c>
      <c r="CI22" s="133"/>
      <c r="CJ22" s="133"/>
      <c r="CK22" s="100">
        <v>1693</v>
      </c>
      <c r="CL22" s="100">
        <v>4186</v>
      </c>
      <c r="CM22" s="100">
        <v>606</v>
      </c>
      <c r="CN22" s="100">
        <v>5523</v>
      </c>
      <c r="CO22" s="100">
        <v>5565</v>
      </c>
      <c r="CP22" s="100">
        <f>CN22-CO22</f>
        <v>-42</v>
      </c>
      <c r="CQ22" s="100">
        <v>564</v>
      </c>
      <c r="CR22" s="100">
        <v>442</v>
      </c>
      <c r="CS22" s="100">
        <f>CQ22-CR22</f>
        <v>122</v>
      </c>
      <c r="CT22" s="133">
        <v>0.16</v>
      </c>
      <c r="CU22" s="132">
        <v>40794</v>
      </c>
      <c r="CV22" s="100">
        <v>1565</v>
      </c>
      <c r="CW22" s="133"/>
      <c r="CX22" s="133"/>
      <c r="CY22" s="99">
        <v>5523</v>
      </c>
      <c r="CZ22" s="99">
        <v>5504</v>
      </c>
      <c r="DA22" s="99">
        <f>CY22-CZ22</f>
        <v>19</v>
      </c>
      <c r="DB22" s="99">
        <v>564</v>
      </c>
      <c r="DC22" s="99">
        <v>390</v>
      </c>
      <c r="DD22" s="99">
        <f>DB22-DC22</f>
        <v>174</v>
      </c>
      <c r="DE22" s="133">
        <v>0.23</v>
      </c>
      <c r="DF22" s="133"/>
      <c r="DG22" s="100">
        <v>9</v>
      </c>
      <c r="DH22" s="100">
        <v>67</v>
      </c>
      <c r="DI22" s="133">
        <v>0.11</v>
      </c>
      <c r="DJ22" s="100" t="b">
        <v>0</v>
      </c>
      <c r="DK22" s="100" t="b">
        <v>0</v>
      </c>
      <c r="DL22" s="100">
        <v>0</v>
      </c>
      <c r="DM22" s="100">
        <v>0</v>
      </c>
      <c r="DN22" s="100"/>
      <c r="DO22" s="100"/>
      <c r="DP22" s="100">
        <v>19</v>
      </c>
      <c r="DQ22" s="100">
        <v>9</v>
      </c>
      <c r="DR22" s="100">
        <v>1602</v>
      </c>
      <c r="DS22" s="133"/>
      <c r="DT22" s="100">
        <v>67</v>
      </c>
      <c r="DU22" s="98">
        <v>0.11</v>
      </c>
      <c r="DV22" s="100">
        <v>17</v>
      </c>
      <c r="DW22" s="100">
        <v>84</v>
      </c>
      <c r="DX22" s="133">
        <v>0.14000000000000001</v>
      </c>
      <c r="DY22" s="133" t="b">
        <v>0</v>
      </c>
      <c r="DZ22" s="133" t="b">
        <v>0</v>
      </c>
      <c r="EA22" s="100">
        <v>0</v>
      </c>
      <c r="EB22" s="100">
        <v>0</v>
      </c>
      <c r="EC22" s="100"/>
      <c r="ED22" s="100"/>
      <c r="EE22" s="100">
        <v>2</v>
      </c>
      <c r="EF22" s="100">
        <v>17</v>
      </c>
      <c r="EG22" s="100">
        <v>84</v>
      </c>
      <c r="EH22" s="133">
        <v>0.14000000000000001</v>
      </c>
      <c r="EI22" s="100">
        <v>1619</v>
      </c>
      <c r="EJ22" s="100"/>
      <c r="EK22" s="99"/>
      <c r="EL22" s="99"/>
      <c r="EM22" s="99"/>
      <c r="EN22" s="99"/>
      <c r="EO22">
        <v>14280</v>
      </c>
      <c r="EP22">
        <v>24.5</v>
      </c>
      <c r="EQ22">
        <f>DR22/EP22*60/EO22</f>
        <v>0.27473846681529751</v>
      </c>
      <c r="ER22">
        <f>EI22/EP22*60/EO22</f>
        <v>0.27765391871034129</v>
      </c>
    </row>
    <row r="23" spans="1:148" ht="15.95" customHeight="1" x14ac:dyDescent="0.25">
      <c r="A23" s="110" t="s">
        <v>59</v>
      </c>
      <c r="B23" s="145">
        <v>0.77352660894393921</v>
      </c>
      <c r="C23" s="110" t="s">
        <v>1433</v>
      </c>
      <c r="D23" s="110" t="s">
        <v>1433</v>
      </c>
      <c r="E23" s="110" t="s">
        <v>110</v>
      </c>
      <c r="F23" s="145" t="b">
        <v>0</v>
      </c>
      <c r="G23" s="110"/>
      <c r="H23" s="110"/>
      <c r="I23" s="110" t="s">
        <v>1689</v>
      </c>
      <c r="J23" s="110" t="s">
        <v>1690</v>
      </c>
      <c r="K23" s="110" t="s">
        <v>69</v>
      </c>
      <c r="L23" s="110"/>
      <c r="M23" s="110"/>
      <c r="N23" s="110" t="s">
        <v>1691</v>
      </c>
      <c r="O23" s="110" t="s">
        <v>1422</v>
      </c>
      <c r="P23" s="146">
        <v>40630</v>
      </c>
      <c r="Q23" s="146">
        <v>40736</v>
      </c>
      <c r="R23" s="146">
        <v>40765</v>
      </c>
      <c r="S23" s="146">
        <v>40834</v>
      </c>
      <c r="T23" s="146">
        <v>40889</v>
      </c>
      <c r="U23" s="91"/>
      <c r="V23" s="145">
        <v>2904</v>
      </c>
      <c r="W23" s="110" t="s">
        <v>68</v>
      </c>
      <c r="X23" s="145">
        <v>5890</v>
      </c>
      <c r="Y23" s="145">
        <v>4</v>
      </c>
      <c r="Z23" s="145">
        <v>174</v>
      </c>
      <c r="AA23" s="147">
        <v>0.28000000000000003</v>
      </c>
      <c r="AB23" s="145">
        <v>2500</v>
      </c>
      <c r="AC23" s="145">
        <v>3249</v>
      </c>
      <c r="AD23" s="145">
        <v>5</v>
      </c>
      <c r="AE23" s="145">
        <v>125</v>
      </c>
      <c r="AF23" s="147">
        <v>0.2</v>
      </c>
      <c r="AG23" s="145">
        <v>2000</v>
      </c>
      <c r="AH23" s="132">
        <v>40889</v>
      </c>
      <c r="AI23" s="100">
        <v>2000</v>
      </c>
      <c r="AJ23" s="132"/>
      <c r="AK23" s="133"/>
      <c r="AL23" s="132">
        <v>40753</v>
      </c>
      <c r="AM23" s="100">
        <v>2880</v>
      </c>
      <c r="AN23" s="98">
        <v>0.23699999999999999</v>
      </c>
      <c r="AO23" s="99">
        <v>18915</v>
      </c>
      <c r="AP23" s="100">
        <v>4237</v>
      </c>
      <c r="AQ23" s="100">
        <v>588</v>
      </c>
      <c r="AR23" s="100">
        <v>148</v>
      </c>
      <c r="AS23" s="98">
        <f t="shared" si="2"/>
        <v>0.23699999999999999</v>
      </c>
      <c r="AT23" s="132">
        <v>40735</v>
      </c>
      <c r="AU23" s="100">
        <v>2941</v>
      </c>
      <c r="AV23" s="98">
        <v>0.28299999999999997</v>
      </c>
      <c r="AW23" s="99">
        <v>21905</v>
      </c>
      <c r="AX23" s="100">
        <v>5890</v>
      </c>
      <c r="AY23" s="100">
        <v>579</v>
      </c>
      <c r="AZ23" s="100">
        <v>174</v>
      </c>
      <c r="BA23" s="98">
        <f>AV23</f>
        <v>0.28299999999999997</v>
      </c>
      <c r="BB23" s="132">
        <v>40887</v>
      </c>
      <c r="BC23" s="100">
        <v>2880</v>
      </c>
      <c r="BD23" s="100" t="s">
        <v>1387</v>
      </c>
      <c r="BE23" s="98">
        <v>4.2000000000000003E-2</v>
      </c>
      <c r="BF23" s="100" t="s">
        <v>1395</v>
      </c>
      <c r="BG23" s="98">
        <v>4.3999999999999997E-2</v>
      </c>
      <c r="BH23" s="100" t="s">
        <v>1386</v>
      </c>
      <c r="BI23" s="98">
        <v>1.7999999999999999E-2</v>
      </c>
      <c r="BJ23" s="100" t="s">
        <v>1389</v>
      </c>
      <c r="BK23" s="98">
        <v>2.4E-2</v>
      </c>
      <c r="BL23" s="100" t="s">
        <v>1393</v>
      </c>
      <c r="BM23" s="98">
        <v>0</v>
      </c>
      <c r="BN23" s="98" t="s">
        <v>1268</v>
      </c>
      <c r="BO23" s="98">
        <v>0.01</v>
      </c>
      <c r="BP23" s="98" t="s">
        <v>1394</v>
      </c>
      <c r="BQ23" s="98">
        <v>0.06</v>
      </c>
      <c r="BR23" s="98"/>
      <c r="BS23" s="98"/>
      <c r="BT23" s="98"/>
      <c r="BU23" s="98"/>
      <c r="BV23" s="98"/>
      <c r="BW23" s="98"/>
      <c r="BX23" s="98">
        <v>0.19800000000000001</v>
      </c>
      <c r="BY23" s="99">
        <v>15158</v>
      </c>
      <c r="BZ23" s="100">
        <v>3249</v>
      </c>
      <c r="CA23" s="134">
        <v>676</v>
      </c>
      <c r="CB23" s="134">
        <v>125</v>
      </c>
      <c r="CC23" s="98">
        <f t="shared" si="3"/>
        <v>0.19800000000000001</v>
      </c>
      <c r="CD23" s="132">
        <v>40630</v>
      </c>
      <c r="CE23" s="100" t="b">
        <v>1</v>
      </c>
      <c r="CF23" s="100" t="b">
        <v>1</v>
      </c>
      <c r="CG23" s="100" t="s">
        <v>1422</v>
      </c>
      <c r="CH23" s="100">
        <v>4700</v>
      </c>
      <c r="CI23" s="133">
        <v>0.28999999999999998</v>
      </c>
      <c r="CJ23" s="133"/>
      <c r="CK23" s="100">
        <v>2941</v>
      </c>
      <c r="CL23" s="100">
        <v>7548</v>
      </c>
      <c r="CM23" s="100">
        <v>255</v>
      </c>
      <c r="CN23" s="100">
        <v>21842</v>
      </c>
      <c r="CO23" s="100">
        <v>12254</v>
      </c>
      <c r="CP23" s="100">
        <f>CN23-CO23</f>
        <v>9588</v>
      </c>
      <c r="CQ23" s="100">
        <v>657</v>
      </c>
      <c r="CR23" s="100">
        <v>414</v>
      </c>
      <c r="CS23" s="100">
        <f>CQ23-CR23</f>
        <v>243</v>
      </c>
      <c r="CT23" s="133">
        <v>0.41</v>
      </c>
      <c r="CU23" s="132">
        <v>40788</v>
      </c>
      <c r="CV23" s="100">
        <v>3230</v>
      </c>
      <c r="CW23" s="133">
        <v>0.14000000000000001</v>
      </c>
      <c r="CX23" s="133"/>
      <c r="CY23" s="99">
        <v>22102</v>
      </c>
      <c r="CZ23" s="99">
        <v>17518</v>
      </c>
      <c r="DA23" s="99">
        <f>CY23-CZ23</f>
        <v>4584</v>
      </c>
      <c r="DB23" s="99">
        <v>697</v>
      </c>
      <c r="DC23" s="99">
        <v>524</v>
      </c>
      <c r="DD23" s="99">
        <f>DB23-DC23</f>
        <v>173</v>
      </c>
      <c r="DE23" s="133">
        <v>0.23</v>
      </c>
      <c r="DF23" s="133"/>
      <c r="DG23" s="100">
        <v>4237</v>
      </c>
      <c r="DH23" s="100">
        <v>148</v>
      </c>
      <c r="DI23" s="133">
        <v>0.24</v>
      </c>
      <c r="DJ23" s="100" t="b">
        <v>1</v>
      </c>
      <c r="DK23" s="100" t="b">
        <v>0</v>
      </c>
      <c r="DL23" s="100">
        <v>2</v>
      </c>
      <c r="DM23" s="100">
        <v>2</v>
      </c>
      <c r="DN23" s="100" t="s">
        <v>1692</v>
      </c>
      <c r="DO23" s="100" t="s">
        <v>1693</v>
      </c>
      <c r="DP23" s="100">
        <v>20</v>
      </c>
      <c r="DQ23" s="100">
        <v>4634</v>
      </c>
      <c r="DR23" s="100">
        <v>4446</v>
      </c>
      <c r="DS23" s="133">
        <v>0.24</v>
      </c>
      <c r="DT23" s="100">
        <v>143</v>
      </c>
      <c r="DU23" s="98">
        <v>0.24</v>
      </c>
      <c r="DV23" s="100">
        <v>3249</v>
      </c>
      <c r="DW23" s="100">
        <v>125</v>
      </c>
      <c r="DX23" s="133">
        <v>0.2</v>
      </c>
      <c r="DY23" s="133" t="b">
        <v>1</v>
      </c>
      <c r="DZ23" s="133" t="b">
        <v>0</v>
      </c>
      <c r="EA23" s="100">
        <v>1</v>
      </c>
      <c r="EB23" s="100">
        <v>0</v>
      </c>
      <c r="EC23" s="100" t="s">
        <v>1664</v>
      </c>
      <c r="ED23" s="100"/>
      <c r="EE23" s="100">
        <v>2</v>
      </c>
      <c r="EF23" s="100">
        <v>3249</v>
      </c>
      <c r="EG23" s="100">
        <v>125</v>
      </c>
      <c r="EH23" s="133">
        <v>0.2</v>
      </c>
      <c r="EI23" s="100">
        <v>3250</v>
      </c>
      <c r="EJ23" s="133">
        <v>0.15</v>
      </c>
      <c r="EK23" s="99"/>
      <c r="EL23" s="99"/>
      <c r="EM23" s="99"/>
      <c r="EN23" s="99"/>
      <c r="EO23">
        <v>23040</v>
      </c>
      <c r="EP23">
        <v>24.5</v>
      </c>
      <c r="EQ23">
        <f>DR23/EP23*60/EO23</f>
        <v>0.47257653061224492</v>
      </c>
      <c r="ER23">
        <f>EI23/EP23*60/EO23</f>
        <v>0.34545068027210879</v>
      </c>
    </row>
    <row r="24" spans="1:148" ht="15.95" customHeight="1" x14ac:dyDescent="0.25">
      <c r="A24" s="105" t="s">
        <v>58</v>
      </c>
      <c r="B24" s="150">
        <v>0.99888604879379272</v>
      </c>
      <c r="C24" s="105" t="s">
        <v>1450</v>
      </c>
      <c r="D24" s="105" t="s">
        <v>1450</v>
      </c>
      <c r="E24" s="105" t="s">
        <v>114</v>
      </c>
      <c r="F24" s="150" t="b">
        <v>0</v>
      </c>
      <c r="G24" s="151"/>
      <c r="H24" s="105"/>
      <c r="I24" s="105" t="s">
        <v>83</v>
      </c>
      <c r="J24" s="105" t="s">
        <v>76</v>
      </c>
      <c r="K24" s="105" t="s">
        <v>124</v>
      </c>
      <c r="L24" s="105"/>
      <c r="M24" s="105"/>
      <c r="N24" s="151" t="s">
        <v>122</v>
      </c>
      <c r="O24" s="105" t="s">
        <v>1422</v>
      </c>
      <c r="P24" s="152">
        <v>39243</v>
      </c>
      <c r="Q24" s="152">
        <v>40849.594895833332</v>
      </c>
      <c r="R24" s="152">
        <v>40855.434849537036</v>
      </c>
      <c r="S24" s="152">
        <v>40858.652638888889</v>
      </c>
      <c r="T24" s="152">
        <v>40863.510520833333</v>
      </c>
      <c r="U24" s="152">
        <v>40927</v>
      </c>
      <c r="V24" s="150">
        <v>1000</v>
      </c>
      <c r="W24" s="105" t="s">
        <v>68</v>
      </c>
      <c r="X24" s="150">
        <v>2109</v>
      </c>
      <c r="Y24" s="153"/>
      <c r="Z24" s="150">
        <v>19857</v>
      </c>
      <c r="AA24" s="150">
        <v>0</v>
      </c>
      <c r="AB24" s="153"/>
      <c r="AC24" s="150">
        <v>2109</v>
      </c>
      <c r="AD24" s="153"/>
      <c r="AE24" s="150">
        <v>19857</v>
      </c>
      <c r="AF24" s="150">
        <v>2109</v>
      </c>
      <c r="AG24" s="150">
        <v>2000</v>
      </c>
      <c r="AH24" s="100"/>
      <c r="AI24" s="100"/>
      <c r="AJ24" s="132"/>
      <c r="AK24" s="133"/>
      <c r="AL24" s="132">
        <v>40836</v>
      </c>
      <c r="AM24" s="100">
        <v>1000</v>
      </c>
      <c r="AN24" s="98">
        <v>0.22700000000000001</v>
      </c>
      <c r="AO24" s="99">
        <v>6073</v>
      </c>
      <c r="AP24" s="100">
        <v>619</v>
      </c>
      <c r="AQ24" s="100">
        <v>760</v>
      </c>
      <c r="AR24" s="100">
        <v>199</v>
      </c>
      <c r="AS24" s="98">
        <f t="shared" si="2"/>
        <v>0.22700000000000001</v>
      </c>
      <c r="AT24" s="132"/>
      <c r="AU24" s="100"/>
      <c r="AV24" s="98"/>
      <c r="AW24" s="99"/>
      <c r="AX24" s="100"/>
      <c r="AY24" s="100"/>
      <c r="AZ24" s="100"/>
      <c r="BA24" s="98"/>
      <c r="BB24" s="132">
        <v>40836</v>
      </c>
      <c r="BC24" s="100">
        <v>1000</v>
      </c>
      <c r="BD24" s="100" t="s">
        <v>1387</v>
      </c>
      <c r="BE24" s="98">
        <v>0.04</v>
      </c>
      <c r="BF24" s="100" t="s">
        <v>1395</v>
      </c>
      <c r="BG24" s="154">
        <f>11.7%-4%</f>
        <v>7.6999999999999985E-2</v>
      </c>
      <c r="BH24" s="100" t="s">
        <v>1386</v>
      </c>
      <c r="BI24" s="154">
        <f>17.3%-11.7%</f>
        <v>5.6000000000000022E-2</v>
      </c>
      <c r="BJ24" s="100" t="s">
        <v>1389</v>
      </c>
      <c r="BK24" s="98">
        <f>22.7%-17.3%</f>
        <v>5.3999999999999965E-2</v>
      </c>
      <c r="BL24" s="100"/>
      <c r="BM24" s="98"/>
      <c r="BN24" s="98"/>
      <c r="BO24" s="98"/>
      <c r="BP24" s="98"/>
      <c r="BQ24" s="98"/>
      <c r="BR24" s="98"/>
      <c r="BS24" s="98"/>
      <c r="BT24" s="98"/>
      <c r="BU24" s="98"/>
      <c r="BV24" s="98"/>
      <c r="BW24" s="98"/>
      <c r="BX24" s="98">
        <v>0.22700000000000001</v>
      </c>
      <c r="BY24" s="99">
        <v>6073</v>
      </c>
      <c r="BZ24" s="100">
        <v>619</v>
      </c>
      <c r="CA24" s="99">
        <v>760</v>
      </c>
      <c r="CB24" s="99">
        <v>199</v>
      </c>
      <c r="CC24" s="98">
        <f t="shared" si="3"/>
        <v>0.22700000000000001</v>
      </c>
      <c r="CD24" s="132">
        <v>40705</v>
      </c>
      <c r="CE24" s="100" t="b">
        <v>1</v>
      </c>
      <c r="CF24" s="100" t="b">
        <v>0</v>
      </c>
      <c r="CG24" s="100" t="s">
        <v>1422</v>
      </c>
      <c r="CH24" s="100">
        <v>2235</v>
      </c>
      <c r="CI24" s="100"/>
      <c r="CJ24" s="100"/>
      <c r="CK24" s="100">
        <v>1000</v>
      </c>
      <c r="CL24" s="100">
        <v>2735</v>
      </c>
      <c r="CM24" s="100">
        <v>633</v>
      </c>
      <c r="CN24" s="100"/>
      <c r="CO24" s="100"/>
      <c r="CP24" s="100"/>
      <c r="CQ24" s="100"/>
      <c r="CR24" s="100"/>
      <c r="CS24" s="100"/>
      <c r="CT24" s="133"/>
      <c r="CU24" s="132">
        <v>40830</v>
      </c>
      <c r="CV24" s="100">
        <v>1135</v>
      </c>
      <c r="CW24" s="133"/>
      <c r="CX24" s="133"/>
      <c r="CY24" s="99"/>
      <c r="CZ24" s="99"/>
      <c r="DA24" s="99"/>
      <c r="DB24" s="99"/>
      <c r="DC24" s="99"/>
      <c r="DD24" s="99"/>
      <c r="DE24" s="133"/>
      <c r="DF24" s="155">
        <v>5500</v>
      </c>
      <c r="DG24" s="100">
        <v>618</v>
      </c>
      <c r="DH24" s="100">
        <v>199</v>
      </c>
      <c r="DI24" s="100"/>
      <c r="DJ24" s="100" t="b">
        <v>0</v>
      </c>
      <c r="DK24" s="100" t="b">
        <v>0</v>
      </c>
      <c r="DL24" s="100">
        <v>6</v>
      </c>
      <c r="DM24" s="100"/>
      <c r="DN24" s="100" t="s">
        <v>1695</v>
      </c>
      <c r="DO24" s="100" t="s">
        <v>1696</v>
      </c>
      <c r="DP24" s="100"/>
      <c r="DQ24" s="100"/>
      <c r="DR24" s="100"/>
      <c r="DS24" s="100"/>
      <c r="DT24" s="100"/>
      <c r="DU24" s="100"/>
      <c r="DV24" s="100">
        <v>618</v>
      </c>
      <c r="DW24" s="100">
        <v>199</v>
      </c>
      <c r="DX24" s="133"/>
      <c r="DY24" s="133"/>
      <c r="DZ24" s="133"/>
      <c r="EA24" s="100">
        <v>0</v>
      </c>
      <c r="EB24" s="100"/>
      <c r="EC24" s="100"/>
      <c r="ED24" s="100"/>
      <c r="EM24" t="s">
        <v>1919</v>
      </c>
      <c r="EO24" s="193" t="s">
        <v>1694</v>
      </c>
      <c r="EP24" s="193">
        <v>22.7</v>
      </c>
      <c r="EQ24" t="b">
        <f>EO24=G24</f>
        <v>0</v>
      </c>
    </row>
    <row r="25" spans="1:148" ht="15.95" customHeight="1" x14ac:dyDescent="0.25">
      <c r="A25" s="102" t="s">
        <v>58</v>
      </c>
      <c r="B25" s="156">
        <v>7.0524156093597412E-2</v>
      </c>
      <c r="C25" s="102" t="s">
        <v>1482</v>
      </c>
      <c r="D25" s="102" t="s">
        <v>1482</v>
      </c>
      <c r="E25" s="102" t="s">
        <v>114</v>
      </c>
      <c r="F25" s="156" t="b">
        <v>0</v>
      </c>
      <c r="G25" s="157"/>
      <c r="H25" s="102"/>
      <c r="I25" s="102" t="s">
        <v>129</v>
      </c>
      <c r="J25" s="102" t="s">
        <v>1698</v>
      </c>
      <c r="K25" s="102" t="s">
        <v>1699</v>
      </c>
      <c r="L25" s="102"/>
      <c r="M25" s="102"/>
      <c r="N25" s="157" t="s">
        <v>120</v>
      </c>
      <c r="O25" s="102" t="s">
        <v>1422</v>
      </c>
      <c r="P25" s="158">
        <v>40805</v>
      </c>
      <c r="Q25" s="158">
        <v>40841.577928240738</v>
      </c>
      <c r="R25" s="158">
        <v>40843.387650462966</v>
      </c>
      <c r="S25" s="158">
        <v>40882.468252314815</v>
      </c>
      <c r="T25" s="158">
        <v>40899.502245370371</v>
      </c>
      <c r="U25" s="158">
        <v>40933</v>
      </c>
      <c r="V25" s="156">
        <v>1520</v>
      </c>
      <c r="W25" s="102" t="s">
        <v>68</v>
      </c>
      <c r="X25" s="156">
        <v>4060</v>
      </c>
      <c r="Y25" s="159"/>
      <c r="Z25" s="156">
        <v>280</v>
      </c>
      <c r="AA25" s="156">
        <v>0</v>
      </c>
      <c r="AB25" s="159"/>
      <c r="AC25" s="156">
        <v>4215</v>
      </c>
      <c r="AD25" s="159"/>
      <c r="AE25" s="156">
        <v>288</v>
      </c>
      <c r="AF25" s="156">
        <v>14387</v>
      </c>
      <c r="AG25" s="156">
        <v>2500</v>
      </c>
      <c r="AH25" s="132"/>
      <c r="AI25" s="131"/>
      <c r="AJ25" s="131"/>
      <c r="AK25" s="100"/>
      <c r="AL25" s="132">
        <v>40841</v>
      </c>
      <c r="AM25" s="100">
        <v>1520</v>
      </c>
      <c r="AN25" s="133">
        <v>0.27</v>
      </c>
      <c r="AO25" s="100">
        <v>16796</v>
      </c>
      <c r="AP25" s="100">
        <v>4064</v>
      </c>
      <c r="AQ25" s="100">
        <v>977</v>
      </c>
      <c r="AR25" s="100">
        <v>280</v>
      </c>
      <c r="AS25" s="133">
        <f t="shared" si="2"/>
        <v>0.27</v>
      </c>
      <c r="AT25" s="132"/>
      <c r="AU25" s="100"/>
      <c r="AV25" s="98"/>
      <c r="AW25" s="100"/>
      <c r="AX25" s="100"/>
      <c r="AY25" s="100"/>
      <c r="AZ25" s="100"/>
      <c r="BA25" s="98"/>
      <c r="BB25" s="132">
        <v>40878</v>
      </c>
      <c r="BC25" s="100">
        <v>1520</v>
      </c>
      <c r="BD25" s="100" t="s">
        <v>1386</v>
      </c>
      <c r="BE25" s="98">
        <v>8.0000000000000002E-3</v>
      </c>
      <c r="BF25" s="100" t="s">
        <v>1389</v>
      </c>
      <c r="BG25" s="154">
        <f>10.3%-0.8%</f>
        <v>9.5000000000000001E-2</v>
      </c>
      <c r="BH25" s="100" t="s">
        <v>1393</v>
      </c>
      <c r="BI25" s="154">
        <f>27.9%-BG25</f>
        <v>0.18399999999999997</v>
      </c>
      <c r="BJ25" s="100"/>
      <c r="BK25" s="98"/>
      <c r="BL25" s="100"/>
      <c r="BM25" s="98"/>
      <c r="BN25" s="98"/>
      <c r="BO25" s="98"/>
      <c r="BP25" s="98"/>
      <c r="BQ25" s="98"/>
      <c r="BR25" s="98"/>
      <c r="BS25" s="98"/>
      <c r="BT25" s="98"/>
      <c r="BU25" s="98"/>
      <c r="BV25" s="98"/>
      <c r="BW25" s="98"/>
      <c r="BX25" s="98">
        <f>BI25</f>
        <v>0.18399999999999997</v>
      </c>
      <c r="BY25" s="99">
        <v>16796</v>
      </c>
      <c r="BZ25" s="99">
        <v>4219</v>
      </c>
      <c r="CA25" s="99">
        <v>977</v>
      </c>
      <c r="CB25" s="99">
        <v>288</v>
      </c>
      <c r="CC25" s="98">
        <f t="shared" si="3"/>
        <v>0.18399999999999997</v>
      </c>
      <c r="CD25" s="160">
        <v>40805</v>
      </c>
      <c r="CE25" s="100" t="b">
        <v>1</v>
      </c>
      <c r="CF25" s="100" t="b">
        <v>1</v>
      </c>
      <c r="CG25" s="100" t="s">
        <v>1422</v>
      </c>
      <c r="CH25" s="100">
        <v>1285</v>
      </c>
      <c r="CI25" s="100">
        <v>333</v>
      </c>
      <c r="CJ25" s="100"/>
      <c r="CK25" s="100">
        <v>1520</v>
      </c>
      <c r="CL25" s="100"/>
      <c r="CM25" s="100"/>
      <c r="CN25" s="100"/>
      <c r="CO25" s="99"/>
      <c r="CP25" s="100"/>
      <c r="CQ25" s="100"/>
      <c r="CR25" s="100"/>
      <c r="CS25" s="100"/>
      <c r="CT25" s="133"/>
      <c r="CU25" s="132">
        <v>40851</v>
      </c>
      <c r="CV25" s="100">
        <v>875</v>
      </c>
      <c r="CW25" s="100">
        <v>49</v>
      </c>
      <c r="CX25" s="100"/>
      <c r="CY25" s="100"/>
      <c r="CZ25" s="100"/>
      <c r="DA25" s="100"/>
      <c r="DB25" s="100"/>
      <c r="DC25" s="100"/>
      <c r="DD25" s="100"/>
      <c r="DE25" s="133"/>
      <c r="DF25" s="155">
        <v>4055</v>
      </c>
      <c r="DG25" s="100">
        <v>4060</v>
      </c>
      <c r="DH25" s="100">
        <v>280</v>
      </c>
      <c r="DI25" s="133"/>
      <c r="DJ25" s="133" t="b">
        <v>0</v>
      </c>
      <c r="DK25" s="133" t="b">
        <v>0</v>
      </c>
      <c r="DL25" s="100">
        <v>0</v>
      </c>
      <c r="DM25" s="100"/>
      <c r="DN25" s="100"/>
      <c r="DO25" s="100"/>
      <c r="DP25" s="100"/>
      <c r="DQ25" s="100"/>
      <c r="DR25" s="100"/>
      <c r="DS25" s="100"/>
      <c r="DT25" s="100"/>
      <c r="DU25" s="133"/>
      <c r="DV25" s="100">
        <v>4220</v>
      </c>
      <c r="DW25" s="100">
        <v>288</v>
      </c>
      <c r="DX25" s="133"/>
      <c r="DY25" s="133" t="b">
        <v>0</v>
      </c>
      <c r="DZ25" s="133" t="b">
        <v>1</v>
      </c>
      <c r="EA25" s="100">
        <v>0</v>
      </c>
      <c r="EB25" s="100"/>
      <c r="EC25" s="100"/>
      <c r="ED25" s="100"/>
      <c r="EF25" s="94"/>
      <c r="EH25" s="161"/>
      <c r="EJ25" s="161"/>
      <c r="EM25" s="192" t="s">
        <v>1497</v>
      </c>
      <c r="EN25" s="192" t="s">
        <v>1918</v>
      </c>
      <c r="EO25" s="193" t="s">
        <v>1697</v>
      </c>
      <c r="EP25" s="193">
        <v>27.88</v>
      </c>
      <c r="EQ25" t="b">
        <f t="shared" ref="EQ25:EQ75" si="4">EO25=G25</f>
        <v>0</v>
      </c>
    </row>
    <row r="26" spans="1:148" ht="15.95" customHeight="1" x14ac:dyDescent="0.25">
      <c r="A26" s="102" t="s">
        <v>58</v>
      </c>
      <c r="B26" s="156">
        <v>0.97962749004364014</v>
      </c>
      <c r="C26" s="102" t="s">
        <v>1480</v>
      </c>
      <c r="D26" s="102" t="s">
        <v>1480</v>
      </c>
      <c r="E26" s="102" t="s">
        <v>114</v>
      </c>
      <c r="F26" s="156" t="b">
        <v>0</v>
      </c>
      <c r="G26" s="157"/>
      <c r="H26" s="102"/>
      <c r="I26" s="102" t="s">
        <v>97</v>
      </c>
      <c r="J26" s="102" t="s">
        <v>1701</v>
      </c>
      <c r="K26" s="102" t="s">
        <v>70</v>
      </c>
      <c r="L26" s="102"/>
      <c r="M26" s="102"/>
      <c r="N26" s="157" t="s">
        <v>120</v>
      </c>
      <c r="O26" s="102" t="s">
        <v>1422</v>
      </c>
      <c r="P26" s="158">
        <v>40753</v>
      </c>
      <c r="Q26" s="158">
        <v>40779.420092592591</v>
      </c>
      <c r="R26" s="158">
        <v>40787.577719907407</v>
      </c>
      <c r="S26" s="158">
        <v>40869.649363425924</v>
      </c>
      <c r="T26" s="158">
        <v>40883.483472222222</v>
      </c>
      <c r="U26" s="158">
        <v>40907</v>
      </c>
      <c r="V26" s="156">
        <v>1500</v>
      </c>
      <c r="W26" s="102" t="s">
        <v>68</v>
      </c>
      <c r="X26" s="156">
        <v>7570</v>
      </c>
      <c r="Y26" s="159"/>
      <c r="Z26" s="156">
        <v>164</v>
      </c>
      <c r="AA26" s="156">
        <v>0</v>
      </c>
      <c r="AB26" s="159"/>
      <c r="AC26" s="156">
        <v>7764</v>
      </c>
      <c r="AD26" s="159"/>
      <c r="AE26" s="156">
        <v>165</v>
      </c>
      <c r="AF26" s="156">
        <v>26499</v>
      </c>
      <c r="AG26" s="156">
        <v>3500</v>
      </c>
      <c r="AH26" s="100"/>
      <c r="AI26" s="100"/>
      <c r="AJ26" s="100"/>
      <c r="AK26" s="100"/>
      <c r="AL26" s="132">
        <v>40774</v>
      </c>
      <c r="AM26" s="99">
        <v>1500</v>
      </c>
      <c r="AN26" s="98">
        <v>0.35899999999999999</v>
      </c>
      <c r="AO26" s="99">
        <v>16284</v>
      </c>
      <c r="AP26" s="99">
        <v>7576</v>
      </c>
      <c r="AQ26" s="100">
        <v>620</v>
      </c>
      <c r="AR26" s="100">
        <v>164</v>
      </c>
      <c r="AS26" s="133">
        <f t="shared" si="2"/>
        <v>0.35899999999999999</v>
      </c>
      <c r="AT26" s="100"/>
      <c r="AU26" s="100"/>
      <c r="AV26" s="100"/>
      <c r="AW26" s="100"/>
      <c r="AX26" s="100"/>
      <c r="AY26" s="100"/>
      <c r="AZ26" s="100"/>
      <c r="BA26" s="100"/>
      <c r="BB26" s="132">
        <v>40865</v>
      </c>
      <c r="BC26" s="100">
        <v>1500</v>
      </c>
      <c r="BD26" s="100" t="s">
        <v>1387</v>
      </c>
      <c r="BE26" s="98">
        <v>3.5999999999999997E-2</v>
      </c>
      <c r="BF26" s="100" t="s">
        <v>1396</v>
      </c>
      <c r="BG26" s="154">
        <f>15.3%-3.6%</f>
        <v>0.11699999999999999</v>
      </c>
      <c r="BH26" s="100" t="s">
        <v>1386</v>
      </c>
      <c r="BI26" s="154">
        <f>16.6%-15.3%</f>
        <v>1.3000000000000012E-2</v>
      </c>
      <c r="BJ26" s="100" t="s">
        <v>1389</v>
      </c>
      <c r="BK26" s="98">
        <f>20.9 %-16.6%</f>
        <v>4.2999999999999983E-2</v>
      </c>
      <c r="BL26" s="100" t="s">
        <v>1393</v>
      </c>
      <c r="BM26" s="154">
        <f>24.3 %-20.9%</f>
        <v>3.4000000000000002E-2</v>
      </c>
      <c r="BN26" s="98" t="s">
        <v>1394</v>
      </c>
      <c r="BO26" s="98">
        <f>37.2 %-24.3%</f>
        <v>0.12900000000000006</v>
      </c>
      <c r="BP26" s="98" t="s">
        <v>1397</v>
      </c>
      <c r="BQ26" s="98">
        <f>37.2%-37.2%</f>
        <v>0</v>
      </c>
      <c r="BR26" s="98"/>
      <c r="BS26" s="98"/>
      <c r="BT26" s="98"/>
      <c r="BU26" s="98"/>
      <c r="BV26" s="98"/>
      <c r="BW26" s="98"/>
      <c r="BX26" s="98">
        <v>0.372</v>
      </c>
      <c r="BY26" s="99">
        <v>16284</v>
      </c>
      <c r="BZ26" s="99">
        <v>7838</v>
      </c>
      <c r="CA26" s="99">
        <v>620</v>
      </c>
      <c r="CB26" s="99">
        <v>170</v>
      </c>
      <c r="CC26" s="98">
        <f t="shared" si="3"/>
        <v>0.372</v>
      </c>
      <c r="CD26" s="162">
        <v>40753</v>
      </c>
      <c r="CE26" s="100" t="b">
        <v>1</v>
      </c>
      <c r="CF26" s="100" t="b">
        <v>1</v>
      </c>
      <c r="CG26" s="100" t="s">
        <v>1422</v>
      </c>
      <c r="CH26" s="163">
        <v>1200</v>
      </c>
      <c r="CI26" s="100">
        <v>177</v>
      </c>
      <c r="CJ26" s="100"/>
      <c r="CK26" s="163">
        <v>1500</v>
      </c>
      <c r="CL26" s="100">
        <v>15186</v>
      </c>
      <c r="CM26" s="106">
        <v>369</v>
      </c>
      <c r="CN26" s="100"/>
      <c r="CO26" s="100"/>
      <c r="CP26" s="100"/>
      <c r="CQ26" s="100"/>
      <c r="CR26" s="100"/>
      <c r="CS26" s="100"/>
      <c r="CT26" s="100"/>
      <c r="CU26" s="132">
        <v>40794</v>
      </c>
      <c r="CV26" s="100">
        <v>1260</v>
      </c>
      <c r="CW26" s="100">
        <v>48</v>
      </c>
      <c r="CX26" s="100"/>
      <c r="CY26" s="100"/>
      <c r="CZ26" s="100"/>
      <c r="DA26" s="100"/>
      <c r="DB26" s="100"/>
      <c r="DC26" s="100"/>
      <c r="DD26" s="100"/>
      <c r="DE26" s="100"/>
      <c r="DF26" s="155">
        <v>23353</v>
      </c>
      <c r="DG26" s="100">
        <v>7570</v>
      </c>
      <c r="DH26" s="100">
        <v>164</v>
      </c>
      <c r="DI26" s="100"/>
      <c r="DJ26" s="100" t="b">
        <v>0</v>
      </c>
      <c r="DK26" s="100" t="b">
        <v>1</v>
      </c>
      <c r="DL26" s="100">
        <v>0</v>
      </c>
      <c r="DM26" s="100"/>
      <c r="DN26" s="103"/>
      <c r="DO26" s="103"/>
      <c r="DP26" s="100"/>
      <c r="DQ26" s="100"/>
      <c r="DR26" s="100"/>
      <c r="DS26" s="100"/>
      <c r="DT26" s="100"/>
      <c r="DU26" s="100"/>
      <c r="DV26" s="100">
        <v>7770</v>
      </c>
      <c r="DW26" s="100">
        <v>165</v>
      </c>
      <c r="DX26" s="100"/>
      <c r="DY26" s="100" t="b">
        <v>0</v>
      </c>
      <c r="DZ26" s="100" t="b">
        <v>1</v>
      </c>
      <c r="EA26" s="100">
        <v>1</v>
      </c>
      <c r="EB26" s="100"/>
      <c r="EC26" s="100" t="s">
        <v>1702</v>
      </c>
      <c r="ED26" s="103"/>
      <c r="EM26" s="112"/>
      <c r="EN26" s="112"/>
      <c r="EO26" s="193" t="s">
        <v>1700</v>
      </c>
      <c r="EP26" s="193">
        <v>36.590000000000003</v>
      </c>
      <c r="EQ26" t="b">
        <f t="shared" si="4"/>
        <v>0</v>
      </c>
    </row>
    <row r="27" spans="1:148" ht="15.95" customHeight="1" x14ac:dyDescent="0.25">
      <c r="A27" s="102" t="s">
        <v>58</v>
      </c>
      <c r="B27" s="156">
        <v>0.74199122190475464</v>
      </c>
      <c r="C27" s="102" t="s">
        <v>1443</v>
      </c>
      <c r="D27" s="102" t="s">
        <v>1443</v>
      </c>
      <c r="E27" s="102" t="s">
        <v>114</v>
      </c>
      <c r="F27" s="156" t="b">
        <v>0</v>
      </c>
      <c r="G27" s="157"/>
      <c r="H27" s="102"/>
      <c r="I27" s="102" t="s">
        <v>80</v>
      </c>
      <c r="J27" s="102" t="s">
        <v>1704</v>
      </c>
      <c r="K27" s="102" t="s">
        <v>1705</v>
      </c>
      <c r="L27" s="102"/>
      <c r="M27" s="102"/>
      <c r="N27" s="157" t="s">
        <v>77</v>
      </c>
      <c r="O27" s="102" t="s">
        <v>1422</v>
      </c>
      <c r="P27" s="158">
        <v>40759</v>
      </c>
      <c r="Q27" s="158">
        <v>40835.600081018521</v>
      </c>
      <c r="R27" s="158">
        <v>40835.654606481483</v>
      </c>
      <c r="S27" s="158">
        <v>40870.511076388888</v>
      </c>
      <c r="T27" s="158">
        <v>40898.542662037034</v>
      </c>
      <c r="U27" s="158">
        <v>40933</v>
      </c>
      <c r="V27" s="156">
        <v>1233</v>
      </c>
      <c r="W27" s="102" t="s">
        <v>68</v>
      </c>
      <c r="X27" s="156">
        <v>353</v>
      </c>
      <c r="Y27" s="159"/>
      <c r="Z27" s="156">
        <v>324</v>
      </c>
      <c r="AA27" s="156">
        <v>0</v>
      </c>
      <c r="AB27" s="159"/>
      <c r="AC27" s="156">
        <v>364</v>
      </c>
      <c r="AD27" s="159"/>
      <c r="AE27" s="156">
        <v>334</v>
      </c>
      <c r="AF27" s="156">
        <v>1242</v>
      </c>
      <c r="AG27" s="156">
        <v>4000</v>
      </c>
      <c r="AH27" s="100"/>
      <c r="AI27" s="100"/>
      <c r="AJ27" s="100"/>
      <c r="AK27" s="100"/>
      <c r="AL27" s="132">
        <v>40814</v>
      </c>
      <c r="AM27" s="99">
        <v>1233</v>
      </c>
      <c r="AN27" s="98">
        <v>0.40699999999999997</v>
      </c>
      <c r="AO27" s="99">
        <v>4385</v>
      </c>
      <c r="AP27" s="100">
        <v>354</v>
      </c>
      <c r="AQ27" s="100">
        <v>676</v>
      </c>
      <c r="AR27" s="100">
        <v>324</v>
      </c>
      <c r="AS27" s="133">
        <f t="shared" si="2"/>
        <v>0.40699999999999997</v>
      </c>
      <c r="AT27" s="100"/>
      <c r="AU27" s="100"/>
      <c r="AV27" s="100"/>
      <c r="AW27" s="100"/>
      <c r="AX27" s="100"/>
      <c r="AY27" s="100"/>
      <c r="AZ27" s="100"/>
      <c r="BA27" s="100"/>
      <c r="BB27" s="132">
        <v>40870</v>
      </c>
      <c r="BC27" s="100">
        <v>1233</v>
      </c>
      <c r="BD27" s="100" t="s">
        <v>1388</v>
      </c>
      <c r="BE27" s="98">
        <v>0.23599999999999999</v>
      </c>
      <c r="BF27" s="100" t="s">
        <v>1396</v>
      </c>
      <c r="BG27" s="154">
        <f>23.4%-23.6%</f>
        <v>-2.0000000000000295E-3</v>
      </c>
      <c r="BH27" s="100" t="s">
        <v>1386</v>
      </c>
      <c r="BI27" s="154">
        <f>23.9%-23.4%</f>
        <v>5.0000000000000044E-3</v>
      </c>
      <c r="BJ27" s="100" t="s">
        <v>1389</v>
      </c>
      <c r="BK27" s="98">
        <f>27.8%-23.9%</f>
        <v>3.9000000000000035E-2</v>
      </c>
      <c r="BL27" s="100" t="s">
        <v>1393</v>
      </c>
      <c r="BM27" s="98">
        <f>28.6%-27.8%</f>
        <v>8.0000000000000071E-3</v>
      </c>
      <c r="BN27" s="98" t="s">
        <v>1397</v>
      </c>
      <c r="BO27" s="98">
        <f>41.8%-28.6%</f>
        <v>0.13199999999999995</v>
      </c>
      <c r="BP27" s="143"/>
      <c r="BQ27" s="143"/>
      <c r="BR27" s="143"/>
      <c r="BS27" s="143"/>
      <c r="BT27" s="143"/>
      <c r="BU27" s="143"/>
      <c r="BV27" s="143"/>
      <c r="BW27" s="143"/>
      <c r="BX27" s="98">
        <v>0.41799999999999998</v>
      </c>
      <c r="BY27" s="99">
        <v>4902</v>
      </c>
      <c r="BZ27" s="99">
        <v>364</v>
      </c>
      <c r="CA27" s="99">
        <v>660</v>
      </c>
      <c r="CB27" s="99">
        <v>334</v>
      </c>
      <c r="CC27" s="98">
        <f t="shared" si="3"/>
        <v>0.41799999999999998</v>
      </c>
      <c r="CD27" s="132">
        <v>40759</v>
      </c>
      <c r="CE27" s="100" t="b">
        <v>1</v>
      </c>
      <c r="CF27" s="100" t="b">
        <v>1</v>
      </c>
      <c r="CG27" s="100" t="s">
        <v>1422</v>
      </c>
      <c r="CH27" s="100">
        <v>1710</v>
      </c>
      <c r="CI27" s="100">
        <v>480</v>
      </c>
      <c r="CJ27" s="100"/>
      <c r="CK27" s="100">
        <v>1233</v>
      </c>
      <c r="CL27" s="103"/>
      <c r="CM27" s="103"/>
      <c r="CN27" s="100"/>
      <c r="CO27" s="100"/>
      <c r="CP27" s="100"/>
      <c r="CQ27" s="100"/>
      <c r="CR27" s="100"/>
      <c r="CS27" s="100"/>
      <c r="CT27" s="100"/>
      <c r="CU27" s="132">
        <v>40863</v>
      </c>
      <c r="CV27" s="100">
        <v>1599</v>
      </c>
      <c r="CW27" s="100">
        <v>257</v>
      </c>
      <c r="CX27" s="100"/>
      <c r="CY27" s="100"/>
      <c r="CZ27" s="100"/>
      <c r="DA27" s="100"/>
      <c r="DB27" s="100"/>
      <c r="DC27" s="100"/>
      <c r="DD27" s="100"/>
      <c r="DE27" s="100"/>
      <c r="DF27" s="155">
        <v>24940</v>
      </c>
      <c r="DG27" s="100">
        <v>353</v>
      </c>
      <c r="DH27" s="100">
        <v>324</v>
      </c>
      <c r="DI27" s="100"/>
      <c r="DJ27" s="100" t="b">
        <v>0</v>
      </c>
      <c r="DK27" s="100" t="b">
        <v>0</v>
      </c>
      <c r="DL27" s="100">
        <v>0</v>
      </c>
      <c r="DM27" s="100"/>
      <c r="DN27" s="103"/>
      <c r="DO27" s="103"/>
      <c r="DP27" s="100"/>
      <c r="DQ27" s="100"/>
      <c r="DR27" s="100"/>
      <c r="DS27" s="100"/>
      <c r="DT27" s="100"/>
      <c r="DU27" s="100"/>
      <c r="DV27" s="100">
        <v>364</v>
      </c>
      <c r="DW27" s="100">
        <v>334</v>
      </c>
      <c r="DX27" s="100"/>
      <c r="DY27" s="100" t="b">
        <v>0</v>
      </c>
      <c r="DZ27" s="100" t="b">
        <v>0</v>
      </c>
      <c r="EA27" s="100">
        <v>0</v>
      </c>
      <c r="EB27" s="100"/>
      <c r="EC27" s="103"/>
      <c r="ED27" s="103"/>
      <c r="EM27" s="112"/>
      <c r="EN27" s="112"/>
      <c r="EO27" s="193" t="s">
        <v>1703</v>
      </c>
      <c r="EP27" s="193">
        <v>41.82</v>
      </c>
      <c r="EQ27" t="b">
        <f t="shared" si="4"/>
        <v>0</v>
      </c>
    </row>
    <row r="28" spans="1:148" ht="15.95" customHeight="1" x14ac:dyDescent="0.25">
      <c r="A28" s="102" t="s">
        <v>58</v>
      </c>
      <c r="B28" s="156">
        <v>0.63795769214630127</v>
      </c>
      <c r="C28" s="102" t="s">
        <v>1486</v>
      </c>
      <c r="D28" s="102" t="s">
        <v>1486</v>
      </c>
      <c r="E28" s="102" t="s">
        <v>114</v>
      </c>
      <c r="F28" s="156" t="b">
        <v>0</v>
      </c>
      <c r="G28" s="157"/>
      <c r="H28" s="102"/>
      <c r="I28" s="102" t="s">
        <v>74</v>
      </c>
      <c r="J28" s="102" t="s">
        <v>1707</v>
      </c>
      <c r="K28" s="102" t="s">
        <v>70</v>
      </c>
      <c r="L28" s="102"/>
      <c r="M28" s="102"/>
      <c r="N28" s="157" t="s">
        <v>120</v>
      </c>
      <c r="O28" s="102" t="s">
        <v>1422</v>
      </c>
      <c r="P28" s="158">
        <v>40777</v>
      </c>
      <c r="Q28" s="158">
        <v>40795.4609837963</v>
      </c>
      <c r="R28" s="158">
        <v>40865.581064814818</v>
      </c>
      <c r="S28" s="158">
        <v>40875.438217592593</v>
      </c>
      <c r="T28" s="158">
        <v>40940.513136574074</v>
      </c>
      <c r="U28" s="158">
        <v>40907</v>
      </c>
      <c r="V28" s="156">
        <v>1980</v>
      </c>
      <c r="W28" s="102" t="s">
        <v>68</v>
      </c>
      <c r="X28" s="156">
        <v>13968</v>
      </c>
      <c r="Y28" s="159"/>
      <c r="Z28" s="156">
        <v>426</v>
      </c>
      <c r="AA28" s="156">
        <v>0</v>
      </c>
      <c r="AB28" s="159"/>
      <c r="AC28" s="156">
        <v>14684</v>
      </c>
      <c r="AD28" s="159"/>
      <c r="AE28" s="156">
        <v>468</v>
      </c>
      <c r="AF28" s="156">
        <v>50116</v>
      </c>
      <c r="AG28" s="156">
        <v>4000</v>
      </c>
      <c r="AH28" s="100"/>
      <c r="AI28" s="100"/>
      <c r="AJ28" s="100"/>
      <c r="AK28" s="100"/>
      <c r="AL28" s="132">
        <v>40788</v>
      </c>
      <c r="AM28" s="100">
        <v>1980</v>
      </c>
      <c r="AN28" s="98">
        <v>0.499</v>
      </c>
      <c r="AO28" s="99">
        <v>24325</v>
      </c>
      <c r="AP28" s="99">
        <v>13980</v>
      </c>
      <c r="AQ28" s="100">
        <v>980</v>
      </c>
      <c r="AR28" s="100">
        <v>426</v>
      </c>
      <c r="AS28" s="133">
        <f t="shared" si="2"/>
        <v>0.499</v>
      </c>
      <c r="AT28" s="100"/>
      <c r="AU28" s="100"/>
      <c r="AV28" s="100"/>
      <c r="AW28" s="100"/>
      <c r="AX28" s="100"/>
      <c r="AY28" s="100"/>
      <c r="AZ28" s="100"/>
      <c r="BA28" s="100"/>
      <c r="BB28" s="132">
        <v>40850</v>
      </c>
      <c r="BC28" s="100">
        <v>1980</v>
      </c>
      <c r="BD28" s="100" t="s">
        <v>1387</v>
      </c>
      <c r="BE28" s="98">
        <v>0.06</v>
      </c>
      <c r="BF28" s="100" t="s">
        <v>1396</v>
      </c>
      <c r="BG28" s="154">
        <f>14.7%-6%</f>
        <v>8.6999999999999994E-2</v>
      </c>
      <c r="BH28" s="100" t="s">
        <v>1386</v>
      </c>
      <c r="BI28" s="154">
        <f>21.8%-14.7%</f>
        <v>7.1000000000000008E-2</v>
      </c>
      <c r="BJ28" s="100" t="s">
        <v>1389</v>
      </c>
      <c r="BK28" s="98">
        <f>30.3%-21.8%</f>
        <v>8.4999999999999992E-2</v>
      </c>
      <c r="BL28" s="100" t="s">
        <v>1393</v>
      </c>
      <c r="BM28" s="98">
        <f>41%-30.3%</f>
        <v>0.10699999999999998</v>
      </c>
      <c r="BN28" s="98" t="s">
        <v>1394</v>
      </c>
      <c r="BO28" s="98">
        <f>53.6%-41%</f>
        <v>0.12600000000000006</v>
      </c>
      <c r="BP28" s="143"/>
      <c r="BQ28" s="143"/>
      <c r="BR28" s="143"/>
      <c r="BS28" s="143"/>
      <c r="BT28" s="143"/>
      <c r="BU28" s="143"/>
      <c r="BV28" s="143"/>
      <c r="BW28" s="143"/>
      <c r="BX28" s="98">
        <v>0.53600000000000003</v>
      </c>
      <c r="BY28" s="99">
        <v>24325</v>
      </c>
      <c r="BZ28" s="99">
        <v>14697</v>
      </c>
      <c r="CA28" s="99">
        <v>980</v>
      </c>
      <c r="CB28" s="99">
        <v>468</v>
      </c>
      <c r="CC28" s="98">
        <f t="shared" si="3"/>
        <v>0.53600000000000003</v>
      </c>
      <c r="CD28" s="132">
        <v>40777</v>
      </c>
      <c r="CE28" s="100" t="b">
        <v>1</v>
      </c>
      <c r="CF28" s="100" t="b">
        <v>1</v>
      </c>
      <c r="CG28" s="100" t="s">
        <v>1422</v>
      </c>
      <c r="CH28" s="100">
        <v>4300</v>
      </c>
      <c r="CI28" s="100">
        <v>420</v>
      </c>
      <c r="CJ28" s="100" t="b">
        <v>1</v>
      </c>
      <c r="CK28" s="100">
        <v>1980</v>
      </c>
      <c r="CL28" s="103"/>
      <c r="CM28" s="103"/>
      <c r="CN28" s="100"/>
      <c r="CO28" s="100"/>
      <c r="CP28" s="100"/>
      <c r="CQ28" s="100"/>
      <c r="CR28" s="100"/>
      <c r="CS28" s="100"/>
      <c r="CT28" s="100"/>
      <c r="CU28" s="132">
        <v>40834</v>
      </c>
      <c r="CV28" s="100">
        <v>1795</v>
      </c>
      <c r="CW28" s="100">
        <v>92</v>
      </c>
      <c r="CX28" s="100" t="b">
        <v>1</v>
      </c>
      <c r="CY28" s="100"/>
      <c r="CZ28" s="100"/>
      <c r="DA28" s="100"/>
      <c r="DB28" s="100"/>
      <c r="DC28" s="100"/>
      <c r="DD28" s="100"/>
      <c r="DE28" s="100"/>
      <c r="DF28" s="155">
        <v>27921</v>
      </c>
      <c r="DG28" s="100">
        <v>14000</v>
      </c>
      <c r="DH28" s="100">
        <v>426</v>
      </c>
      <c r="DI28" s="100"/>
      <c r="DJ28" s="100" t="b">
        <v>1</v>
      </c>
      <c r="DK28" s="100" t="b">
        <v>0</v>
      </c>
      <c r="DL28" s="100">
        <v>0</v>
      </c>
      <c r="DM28" s="100"/>
      <c r="DN28" s="103"/>
      <c r="DO28" s="103"/>
      <c r="DP28" s="100"/>
      <c r="DQ28" s="100"/>
      <c r="DR28" s="100"/>
      <c r="DS28" s="100"/>
      <c r="DT28" s="100"/>
      <c r="DU28" s="100"/>
      <c r="DV28" s="100">
        <v>147000</v>
      </c>
      <c r="DW28" s="100">
        <v>468</v>
      </c>
      <c r="DX28" s="100"/>
      <c r="DY28" s="100" t="b">
        <v>0</v>
      </c>
      <c r="DZ28" s="100" t="b">
        <v>1</v>
      </c>
      <c r="EA28" s="100">
        <v>1</v>
      </c>
      <c r="EB28" s="100"/>
      <c r="EC28" s="100" t="s">
        <v>1708</v>
      </c>
      <c r="ED28" s="103"/>
      <c r="EM28" s="112"/>
      <c r="EN28" s="112"/>
      <c r="EO28" s="193" t="s">
        <v>1706</v>
      </c>
      <c r="EP28" s="193">
        <v>53.59</v>
      </c>
      <c r="EQ28" t="b">
        <f t="shared" si="4"/>
        <v>0</v>
      </c>
    </row>
    <row r="29" spans="1:148" ht="15.95" customHeight="1" x14ac:dyDescent="0.25">
      <c r="A29" s="102" t="s">
        <v>58</v>
      </c>
      <c r="B29" s="156">
        <v>0.28315854072570801</v>
      </c>
      <c r="C29" s="102" t="s">
        <v>1462</v>
      </c>
      <c r="D29" s="102" t="s">
        <v>1462</v>
      </c>
      <c r="E29" s="102" t="s">
        <v>114</v>
      </c>
      <c r="F29" s="156" t="b">
        <v>0</v>
      </c>
      <c r="G29" s="157"/>
      <c r="H29" s="102"/>
      <c r="I29" s="102" t="s">
        <v>1710</v>
      </c>
      <c r="J29" s="102" t="s">
        <v>1711</v>
      </c>
      <c r="K29" s="102" t="s">
        <v>1712</v>
      </c>
      <c r="L29" s="102"/>
      <c r="M29" s="102"/>
      <c r="N29" s="157" t="s">
        <v>1713</v>
      </c>
      <c r="O29" s="102" t="s">
        <v>1422</v>
      </c>
      <c r="P29" s="158">
        <v>40780</v>
      </c>
      <c r="Q29" s="158">
        <v>40801.714699074073</v>
      </c>
      <c r="R29" s="158">
        <v>40809.552256944444</v>
      </c>
      <c r="S29" s="158">
        <v>40891.376944444448</v>
      </c>
      <c r="T29" s="158">
        <v>40899.579328703701</v>
      </c>
      <c r="U29" s="158">
        <v>40933</v>
      </c>
      <c r="V29" s="156">
        <v>1091</v>
      </c>
      <c r="W29" s="102" t="s">
        <v>68</v>
      </c>
      <c r="X29" s="156">
        <v>1798</v>
      </c>
      <c r="Y29" s="159"/>
      <c r="Z29" s="156">
        <v>185</v>
      </c>
      <c r="AA29" s="156">
        <v>0</v>
      </c>
      <c r="AB29" s="159"/>
      <c r="AC29" s="156">
        <v>1754</v>
      </c>
      <c r="AD29" s="159"/>
      <c r="AE29" s="156">
        <v>174</v>
      </c>
      <c r="AF29" s="156">
        <v>5985</v>
      </c>
      <c r="AG29" s="156">
        <v>2500</v>
      </c>
      <c r="AH29" s="100"/>
      <c r="AI29" s="100"/>
      <c r="AJ29" s="100"/>
      <c r="AK29" s="100"/>
      <c r="AL29" s="132">
        <v>40801</v>
      </c>
      <c r="AM29" s="99">
        <v>1091</v>
      </c>
      <c r="AN29" s="98">
        <v>0.27100000000000002</v>
      </c>
      <c r="AO29" s="99">
        <v>8373</v>
      </c>
      <c r="AP29" s="99">
        <v>1800</v>
      </c>
      <c r="AQ29" s="100">
        <v>624</v>
      </c>
      <c r="AR29" s="100">
        <v>185</v>
      </c>
      <c r="AS29" s="133">
        <f t="shared" si="2"/>
        <v>0.27100000000000002</v>
      </c>
      <c r="AT29" s="100"/>
      <c r="AU29" s="100"/>
      <c r="AV29" s="100"/>
      <c r="AW29" s="100"/>
      <c r="AX29" s="100"/>
      <c r="AY29" s="100"/>
      <c r="AZ29" s="100"/>
      <c r="BA29" s="100"/>
      <c r="BB29" s="132">
        <v>40884</v>
      </c>
      <c r="BC29" s="100">
        <v>1091</v>
      </c>
      <c r="BD29" s="100" t="s">
        <v>1387</v>
      </c>
      <c r="BE29" s="98">
        <v>4.1000000000000002E-2</v>
      </c>
      <c r="BF29" s="100" t="s">
        <v>1386</v>
      </c>
      <c r="BG29" s="154">
        <f>4.3%-4.1%</f>
        <v>2.0000000000000018E-3</v>
      </c>
      <c r="BH29" s="100" t="s">
        <v>1389</v>
      </c>
      <c r="BI29" s="154">
        <f>21%-4.3%</f>
        <v>0.16699999999999998</v>
      </c>
      <c r="BJ29" s="100" t="s">
        <v>1397</v>
      </c>
      <c r="BK29" s="98">
        <f>25.7%-21%</f>
        <v>4.7000000000000014E-2</v>
      </c>
      <c r="BL29" s="103"/>
      <c r="BM29" s="143"/>
      <c r="BN29" s="143"/>
      <c r="BO29" s="143"/>
      <c r="BP29" s="143"/>
      <c r="BQ29" s="143"/>
      <c r="BR29" s="143"/>
      <c r="BS29" s="143"/>
      <c r="BT29" s="143"/>
      <c r="BU29" s="143"/>
      <c r="BV29" s="143"/>
      <c r="BW29" s="143"/>
      <c r="BX29" s="98">
        <v>0.25700000000000001</v>
      </c>
      <c r="BY29" s="99">
        <v>8373</v>
      </c>
      <c r="BZ29" s="99">
        <v>1755</v>
      </c>
      <c r="CA29" s="99">
        <v>624</v>
      </c>
      <c r="CB29" s="99">
        <v>174</v>
      </c>
      <c r="CC29" s="98">
        <f t="shared" si="3"/>
        <v>0.25700000000000001</v>
      </c>
      <c r="CD29" s="132">
        <v>40780</v>
      </c>
      <c r="CE29" s="100" t="b">
        <v>1</v>
      </c>
      <c r="CF29" s="100" t="b">
        <v>1</v>
      </c>
      <c r="CG29" s="100" t="s">
        <v>1422</v>
      </c>
      <c r="CH29" s="100">
        <v>1565</v>
      </c>
      <c r="CI29" s="100">
        <v>730</v>
      </c>
      <c r="CJ29" s="100" t="b">
        <v>1</v>
      </c>
      <c r="CK29" s="100">
        <v>1091</v>
      </c>
      <c r="CL29" s="103"/>
      <c r="CM29" s="103"/>
      <c r="CN29" s="100"/>
      <c r="CO29" s="100"/>
      <c r="CP29" s="100"/>
      <c r="CQ29" s="100"/>
      <c r="CR29" s="100"/>
      <c r="CS29" s="100"/>
      <c r="CT29" s="100"/>
      <c r="CU29" s="132">
        <v>40869</v>
      </c>
      <c r="CV29" s="100">
        <v>1535</v>
      </c>
      <c r="CW29" s="100">
        <v>124</v>
      </c>
      <c r="CX29" s="100" t="b">
        <v>1</v>
      </c>
      <c r="CY29" s="100"/>
      <c r="CZ29" s="100"/>
      <c r="DA29" s="100"/>
      <c r="DB29" s="100"/>
      <c r="DC29" s="100"/>
      <c r="DD29" s="100"/>
      <c r="DE29" s="100"/>
      <c r="DF29" s="155">
        <v>6395</v>
      </c>
      <c r="DG29" s="100">
        <v>1800</v>
      </c>
      <c r="DH29" s="100">
        <v>185</v>
      </c>
      <c r="DI29" s="100"/>
      <c r="DJ29" s="100" t="b">
        <v>0</v>
      </c>
      <c r="DK29" s="100" t="b">
        <v>0</v>
      </c>
      <c r="DL29" s="100">
        <v>0</v>
      </c>
      <c r="DM29" s="100"/>
      <c r="DN29" s="103"/>
      <c r="DO29" s="103"/>
      <c r="DP29" s="100"/>
      <c r="DQ29" s="100"/>
      <c r="DR29" s="100"/>
      <c r="DS29" s="100"/>
      <c r="DT29" s="100"/>
      <c r="DU29" s="100"/>
      <c r="DV29" s="100">
        <v>1750</v>
      </c>
      <c r="DW29" s="100">
        <v>174</v>
      </c>
      <c r="DX29" s="100"/>
      <c r="DY29" s="100" t="b">
        <v>0</v>
      </c>
      <c r="DZ29" s="100" t="b">
        <v>1</v>
      </c>
      <c r="EA29" s="100">
        <v>0</v>
      </c>
      <c r="EB29" s="100"/>
      <c r="EC29" s="103"/>
      <c r="ED29" s="103"/>
      <c r="EM29" s="112"/>
      <c r="EN29" s="112"/>
      <c r="EO29" s="193" t="s">
        <v>1709</v>
      </c>
      <c r="EP29" s="193">
        <v>25.69</v>
      </c>
      <c r="EQ29" t="b">
        <f t="shared" si="4"/>
        <v>0</v>
      </c>
    </row>
    <row r="30" spans="1:148" ht="15.95" customHeight="1" x14ac:dyDescent="0.25">
      <c r="A30" s="102" t="s">
        <v>58</v>
      </c>
      <c r="B30" s="156">
        <v>0.25827628374099731</v>
      </c>
      <c r="C30" s="102" t="s">
        <v>1455</v>
      </c>
      <c r="D30" s="102" t="s">
        <v>1455</v>
      </c>
      <c r="E30" s="102" t="s">
        <v>114</v>
      </c>
      <c r="F30" s="156" t="b">
        <v>0</v>
      </c>
      <c r="G30" s="157"/>
      <c r="H30" s="102"/>
      <c r="I30" s="102" t="s">
        <v>80</v>
      </c>
      <c r="J30" s="102" t="s">
        <v>1715</v>
      </c>
      <c r="K30" s="102" t="s">
        <v>1705</v>
      </c>
      <c r="L30" s="102"/>
      <c r="M30" s="102"/>
      <c r="N30" s="157" t="s">
        <v>120</v>
      </c>
      <c r="O30" s="102" t="s">
        <v>1422</v>
      </c>
      <c r="P30" s="158">
        <v>40792</v>
      </c>
      <c r="Q30" s="158">
        <v>40802.706770833334</v>
      </c>
      <c r="R30" s="158">
        <v>40809.556388888886</v>
      </c>
      <c r="S30" s="158">
        <v>40856.327546296299</v>
      </c>
      <c r="T30" s="158">
        <v>40941.612430555557</v>
      </c>
      <c r="U30" s="158">
        <v>40933</v>
      </c>
      <c r="V30" s="156">
        <v>1866</v>
      </c>
      <c r="W30" s="102" t="s">
        <v>68</v>
      </c>
      <c r="X30" s="156">
        <v>241</v>
      </c>
      <c r="Y30" s="159"/>
      <c r="Z30" s="156">
        <v>286</v>
      </c>
      <c r="AA30" s="156">
        <v>0</v>
      </c>
      <c r="AB30" s="159"/>
      <c r="AC30" s="156">
        <v>260</v>
      </c>
      <c r="AD30" s="159"/>
      <c r="AE30" s="156">
        <v>297</v>
      </c>
      <c r="AF30" s="156">
        <v>886</v>
      </c>
      <c r="AG30" s="156">
        <v>2500</v>
      </c>
      <c r="AH30" s="100"/>
      <c r="AI30" s="100"/>
      <c r="AJ30" s="100"/>
      <c r="AK30" s="100"/>
      <c r="AL30" s="132">
        <v>40801</v>
      </c>
      <c r="AM30" s="100">
        <v>1866</v>
      </c>
      <c r="AN30" s="98">
        <v>0.25600000000000001</v>
      </c>
      <c r="AO30" s="99">
        <v>6833</v>
      </c>
      <c r="AP30" s="100">
        <v>241</v>
      </c>
      <c r="AQ30" s="100">
        <v>915</v>
      </c>
      <c r="AR30" s="100">
        <v>286</v>
      </c>
      <c r="AS30" s="133">
        <f t="shared" si="2"/>
        <v>0.25600000000000001</v>
      </c>
      <c r="AT30" s="100"/>
      <c r="AU30" s="100"/>
      <c r="AV30" s="100"/>
      <c r="AW30" s="100"/>
      <c r="AX30" s="100"/>
      <c r="AY30" s="100"/>
      <c r="AZ30" s="100"/>
      <c r="BA30" s="100"/>
      <c r="BB30" s="132">
        <v>40851</v>
      </c>
      <c r="BC30" s="99">
        <v>1866</v>
      </c>
      <c r="BD30" s="100" t="s">
        <v>1386</v>
      </c>
      <c r="BE30" s="98">
        <v>1.4E-2</v>
      </c>
      <c r="BF30" s="100" t="s">
        <v>1389</v>
      </c>
      <c r="BG30" s="154">
        <f>8%-1.4%</f>
        <v>6.6000000000000003E-2</v>
      </c>
      <c r="BH30" s="100" t="s">
        <v>1393</v>
      </c>
      <c r="BI30" s="154">
        <f>15.8%-8%</f>
        <v>7.8E-2</v>
      </c>
      <c r="BJ30" s="100" t="s">
        <v>1394</v>
      </c>
      <c r="BK30" s="98">
        <f>26.7%-15.8%</f>
        <v>0.10900000000000001</v>
      </c>
      <c r="BL30" s="103"/>
      <c r="BM30" s="143"/>
      <c r="BN30" s="143"/>
      <c r="BO30" s="143"/>
      <c r="BP30" s="143"/>
      <c r="BQ30" s="143"/>
      <c r="BR30" s="143"/>
      <c r="BS30" s="143"/>
      <c r="BT30" s="143"/>
      <c r="BU30" s="143"/>
      <c r="BV30" s="143"/>
      <c r="BW30" s="143"/>
      <c r="BX30" s="98">
        <v>0.26700000000000002</v>
      </c>
      <c r="BY30" s="99">
        <v>6833</v>
      </c>
      <c r="BZ30" s="99">
        <v>260</v>
      </c>
      <c r="CA30" s="99">
        <v>915</v>
      </c>
      <c r="CB30" s="99">
        <v>297</v>
      </c>
      <c r="CC30" s="98">
        <f t="shared" si="3"/>
        <v>0.26700000000000002</v>
      </c>
      <c r="CD30" s="132">
        <v>40792</v>
      </c>
      <c r="CE30" s="100" t="b">
        <v>1</v>
      </c>
      <c r="CF30" s="100" t="b">
        <v>1</v>
      </c>
      <c r="CG30" s="100" t="s">
        <v>1422</v>
      </c>
      <c r="CH30" s="100">
        <v>2985</v>
      </c>
      <c r="CI30" s="100">
        <v>367</v>
      </c>
      <c r="CJ30" s="103"/>
      <c r="CK30" s="100">
        <v>1866</v>
      </c>
      <c r="CL30" s="103"/>
      <c r="CM30" s="103"/>
      <c r="CN30" s="100"/>
      <c r="CO30" s="100"/>
      <c r="CP30" s="100"/>
      <c r="CQ30" s="100"/>
      <c r="CR30" s="100"/>
      <c r="CS30" s="100"/>
      <c r="CT30" s="100"/>
      <c r="CU30" s="132">
        <v>40821</v>
      </c>
      <c r="CV30" s="100">
        <v>2550</v>
      </c>
      <c r="CW30" s="100">
        <v>148</v>
      </c>
      <c r="CX30" s="100" t="b">
        <v>1</v>
      </c>
      <c r="CY30" s="100"/>
      <c r="CZ30" s="100"/>
      <c r="DA30" s="100"/>
      <c r="DB30" s="100"/>
      <c r="DC30" s="100"/>
      <c r="DD30" s="100"/>
      <c r="DE30" s="100"/>
      <c r="DF30" s="155">
        <v>6647</v>
      </c>
      <c r="DG30" s="100">
        <v>241</v>
      </c>
      <c r="DH30" s="100">
        <v>286</v>
      </c>
      <c r="DI30" s="100"/>
      <c r="DJ30" s="100" t="b">
        <v>0</v>
      </c>
      <c r="DK30" s="100" t="b">
        <v>0</v>
      </c>
      <c r="DL30" s="100">
        <v>0</v>
      </c>
      <c r="DM30" s="100"/>
      <c r="DN30" s="100" t="s">
        <v>1716</v>
      </c>
      <c r="DO30" s="100" t="s">
        <v>1717</v>
      </c>
      <c r="DP30" s="100"/>
      <c r="DQ30" s="100"/>
      <c r="DR30" s="100"/>
      <c r="DS30" s="100"/>
      <c r="DT30" s="100"/>
      <c r="DU30" s="100"/>
      <c r="DV30" s="100">
        <v>260</v>
      </c>
      <c r="DW30" s="100">
        <v>297</v>
      </c>
      <c r="DX30" s="100"/>
      <c r="DY30" s="100" t="b">
        <v>0</v>
      </c>
      <c r="DZ30" s="100" t="b">
        <v>1</v>
      </c>
      <c r="EA30" s="100">
        <v>1</v>
      </c>
      <c r="EB30" s="100"/>
      <c r="EC30" s="100" t="s">
        <v>1718</v>
      </c>
      <c r="ED30" s="103"/>
      <c r="EM30" s="112"/>
      <c r="EN30" s="112"/>
      <c r="EO30" s="193" t="s">
        <v>1714</v>
      </c>
      <c r="EP30" s="193">
        <v>26.67</v>
      </c>
      <c r="EQ30" t="b">
        <f t="shared" si="4"/>
        <v>0</v>
      </c>
    </row>
    <row r="31" spans="1:148" ht="15.95" customHeight="1" x14ac:dyDescent="0.25">
      <c r="A31" s="102" t="s">
        <v>58</v>
      </c>
      <c r="B31" s="156">
        <v>0.66551780700683594</v>
      </c>
      <c r="C31" s="102" t="s">
        <v>1483</v>
      </c>
      <c r="D31" s="102" t="s">
        <v>1483</v>
      </c>
      <c r="E31" s="102" t="s">
        <v>114</v>
      </c>
      <c r="F31" s="156" t="b">
        <v>0</v>
      </c>
      <c r="G31" s="157"/>
      <c r="H31" s="102"/>
      <c r="I31" s="102" t="s">
        <v>94</v>
      </c>
      <c r="J31" s="102" t="s">
        <v>1720</v>
      </c>
      <c r="K31" s="102" t="s">
        <v>146</v>
      </c>
      <c r="L31" s="102"/>
      <c r="M31" s="102"/>
      <c r="N31" s="157" t="s">
        <v>128</v>
      </c>
      <c r="O31" s="102" t="s">
        <v>1422</v>
      </c>
      <c r="P31" s="158">
        <v>40743</v>
      </c>
      <c r="Q31" s="158">
        <v>40778.608182870368</v>
      </c>
      <c r="R31" s="158">
        <v>40780.670706018522</v>
      </c>
      <c r="S31" s="158">
        <v>40882.546087962961</v>
      </c>
      <c r="T31" s="158">
        <v>40884.549490740741</v>
      </c>
      <c r="U31" s="158">
        <v>40907</v>
      </c>
      <c r="V31" s="156">
        <v>2700</v>
      </c>
      <c r="W31" s="102" t="s">
        <v>68</v>
      </c>
      <c r="X31" s="156">
        <v>4547</v>
      </c>
      <c r="Y31" s="159"/>
      <c r="Z31" s="156">
        <v>170</v>
      </c>
      <c r="AA31" s="156">
        <v>0</v>
      </c>
      <c r="AB31" s="159"/>
      <c r="AC31" s="156">
        <v>4547</v>
      </c>
      <c r="AD31" s="159"/>
      <c r="AE31" s="156">
        <v>170</v>
      </c>
      <c r="AF31" s="156">
        <v>15518</v>
      </c>
      <c r="AG31" s="156">
        <v>2000</v>
      </c>
      <c r="AH31" s="100"/>
      <c r="AI31" s="100"/>
      <c r="AJ31" s="100"/>
      <c r="AK31" s="100"/>
      <c r="AL31" s="132">
        <v>40752</v>
      </c>
      <c r="AM31" s="100">
        <v>2700</v>
      </c>
      <c r="AN31" s="103"/>
      <c r="AO31" s="99">
        <v>19143</v>
      </c>
      <c r="AP31" s="99">
        <v>4551</v>
      </c>
      <c r="AQ31" s="100">
        <v>945</v>
      </c>
      <c r="AR31" s="100">
        <v>170</v>
      </c>
      <c r="AS31" s="133">
        <f t="shared" si="2"/>
        <v>0</v>
      </c>
      <c r="AT31" s="100"/>
      <c r="AU31" s="100"/>
      <c r="AV31" s="100"/>
      <c r="AW31" s="100"/>
      <c r="AX31" s="100"/>
      <c r="AY31" s="100"/>
      <c r="AZ31" s="100"/>
      <c r="BA31" s="100"/>
      <c r="BB31" s="132">
        <v>40752</v>
      </c>
      <c r="BC31" s="100">
        <v>2700</v>
      </c>
      <c r="BD31" s="164" t="s">
        <v>1389</v>
      </c>
      <c r="BE31" s="165">
        <v>0</v>
      </c>
      <c r="BF31" s="164" t="s">
        <v>1393</v>
      </c>
      <c r="BG31" s="166">
        <f>0%-0%</f>
        <v>0</v>
      </c>
      <c r="BH31" s="164" t="s">
        <v>1394</v>
      </c>
      <c r="BI31" s="166">
        <f>0%-0%</f>
        <v>0</v>
      </c>
      <c r="BJ31" s="103"/>
      <c r="BK31" s="143"/>
      <c r="BL31" s="103"/>
      <c r="BM31" s="143"/>
      <c r="BN31" s="143"/>
      <c r="BO31" s="143"/>
      <c r="BP31" s="143"/>
      <c r="BQ31" s="143"/>
      <c r="BR31" s="143"/>
      <c r="BS31" s="143"/>
      <c r="BT31" s="143"/>
      <c r="BU31" s="143"/>
      <c r="BV31" s="143"/>
      <c r="BW31" s="143"/>
      <c r="BX31" s="165">
        <v>0</v>
      </c>
      <c r="BY31" s="99">
        <v>19143</v>
      </c>
      <c r="BZ31" s="99">
        <v>4551</v>
      </c>
      <c r="CA31" s="99">
        <v>945</v>
      </c>
      <c r="CB31" s="99">
        <v>170</v>
      </c>
      <c r="CC31" s="98">
        <f t="shared" si="3"/>
        <v>0</v>
      </c>
      <c r="CD31" s="132">
        <v>40743</v>
      </c>
      <c r="CE31" s="100" t="b">
        <v>1</v>
      </c>
      <c r="CF31" s="100" t="b">
        <v>1</v>
      </c>
      <c r="CG31" s="100" t="s">
        <v>1422</v>
      </c>
      <c r="CH31" s="100">
        <v>2866</v>
      </c>
      <c r="CI31" s="100">
        <v>323</v>
      </c>
      <c r="CJ31" s="100" t="b">
        <v>1</v>
      </c>
      <c r="CK31" s="100">
        <v>2700</v>
      </c>
      <c r="CL31" s="103"/>
      <c r="CM31" s="103"/>
      <c r="CN31" s="100"/>
      <c r="CO31" s="100"/>
      <c r="CP31" s="100"/>
      <c r="CQ31" s="100"/>
      <c r="CR31" s="100"/>
      <c r="CS31" s="100"/>
      <c r="CT31" s="100"/>
      <c r="CU31" s="132">
        <v>40812</v>
      </c>
      <c r="CV31" s="100">
        <v>2000</v>
      </c>
      <c r="CW31" s="100">
        <v>163</v>
      </c>
      <c r="CX31" s="100" t="b">
        <v>1</v>
      </c>
      <c r="CY31" s="100"/>
      <c r="CZ31" s="100"/>
      <c r="DA31" s="100"/>
      <c r="DB31" s="100"/>
      <c r="DC31" s="100"/>
      <c r="DD31" s="100"/>
      <c r="DE31" s="100"/>
      <c r="DF31" s="155">
        <v>33284</v>
      </c>
      <c r="DG31" s="100">
        <v>4550</v>
      </c>
      <c r="DH31" s="100">
        <v>170</v>
      </c>
      <c r="DI31" s="100"/>
      <c r="DJ31" s="100" t="b">
        <v>0</v>
      </c>
      <c r="DK31" s="100" t="b">
        <v>0</v>
      </c>
      <c r="DL31" s="100">
        <v>2</v>
      </c>
      <c r="DM31" s="100"/>
      <c r="DN31" s="100" t="s">
        <v>1721</v>
      </c>
      <c r="DO31" s="100" t="s">
        <v>1722</v>
      </c>
      <c r="DP31" s="100"/>
      <c r="DQ31" s="100"/>
      <c r="DR31" s="100"/>
      <c r="DS31" s="100"/>
      <c r="DT31" s="100"/>
      <c r="DU31" s="100"/>
      <c r="DV31" s="100">
        <v>4550</v>
      </c>
      <c r="DW31" s="100">
        <v>170</v>
      </c>
      <c r="DX31" s="100"/>
      <c r="DY31" s="100" t="b">
        <v>1</v>
      </c>
      <c r="DZ31" s="100" t="b">
        <v>0</v>
      </c>
      <c r="EA31" s="100">
        <v>2</v>
      </c>
      <c r="EB31" s="100"/>
      <c r="EC31" s="100" t="s">
        <v>1723</v>
      </c>
      <c r="ED31" s="100" t="s">
        <v>1724</v>
      </c>
      <c r="EM31" s="112"/>
      <c r="EN31" s="112"/>
      <c r="EO31" s="193" t="s">
        <v>1719</v>
      </c>
      <c r="EP31" s="193">
        <v>20.36</v>
      </c>
      <c r="EQ31" t="b">
        <f t="shared" si="4"/>
        <v>0</v>
      </c>
    </row>
    <row r="32" spans="1:148" ht="15.95" customHeight="1" x14ac:dyDescent="0.25">
      <c r="A32" s="102" t="s">
        <v>58</v>
      </c>
      <c r="B32" s="156">
        <v>0.39893227815628052</v>
      </c>
      <c r="C32" s="102" t="s">
        <v>1456</v>
      </c>
      <c r="D32" s="102" t="s">
        <v>1456</v>
      </c>
      <c r="E32" s="102" t="s">
        <v>114</v>
      </c>
      <c r="F32" s="156" t="b">
        <v>0</v>
      </c>
      <c r="G32" s="157"/>
      <c r="H32" s="102"/>
      <c r="I32" s="102" t="s">
        <v>98</v>
      </c>
      <c r="J32" s="102" t="s">
        <v>99</v>
      </c>
      <c r="K32" s="102" t="s">
        <v>124</v>
      </c>
      <c r="L32" s="102"/>
      <c r="M32" s="102"/>
      <c r="N32" s="157" t="s">
        <v>77</v>
      </c>
      <c r="O32" s="102" t="s">
        <v>1422</v>
      </c>
      <c r="P32" s="158">
        <v>40716</v>
      </c>
      <c r="Q32" s="158">
        <v>40841.511365740742</v>
      </c>
      <c r="R32" s="158">
        <v>40849.462453703702</v>
      </c>
      <c r="S32" s="158">
        <v>40856.476412037038</v>
      </c>
      <c r="T32" s="158">
        <v>40865.340775462966</v>
      </c>
      <c r="U32" s="158">
        <v>40933</v>
      </c>
      <c r="V32" s="156">
        <v>1943</v>
      </c>
      <c r="W32" s="102" t="s">
        <v>68</v>
      </c>
      <c r="X32" s="156">
        <v>867</v>
      </c>
      <c r="Y32" s="159"/>
      <c r="Z32" s="156">
        <v>591</v>
      </c>
      <c r="AA32" s="156">
        <v>0</v>
      </c>
      <c r="AB32" s="159"/>
      <c r="AC32" s="156">
        <v>1050</v>
      </c>
      <c r="AD32" s="159"/>
      <c r="AE32" s="156">
        <v>723</v>
      </c>
      <c r="AF32" s="156">
        <v>3585</v>
      </c>
      <c r="AG32" s="156">
        <v>4000</v>
      </c>
      <c r="AH32" s="100"/>
      <c r="AI32" s="100"/>
      <c r="AJ32" s="100"/>
      <c r="AK32" s="100"/>
      <c r="AL32" s="132">
        <v>40841</v>
      </c>
      <c r="AM32" s="100">
        <v>1943</v>
      </c>
      <c r="AN32" s="98">
        <v>0.36499999999999999</v>
      </c>
      <c r="AO32" s="99">
        <v>7232</v>
      </c>
      <c r="AP32" s="100">
        <v>868</v>
      </c>
      <c r="AQ32" s="100">
        <v>1454</v>
      </c>
      <c r="AR32" s="100">
        <v>591</v>
      </c>
      <c r="AS32" s="133">
        <f t="shared" si="2"/>
        <v>0.36499999999999999</v>
      </c>
      <c r="AT32" s="100"/>
      <c r="AU32" s="100"/>
      <c r="AV32" s="100"/>
      <c r="AW32" s="100"/>
      <c r="AX32" s="100"/>
      <c r="AY32" s="100"/>
      <c r="AZ32" s="100"/>
      <c r="BA32" s="100"/>
      <c r="BB32" s="132">
        <v>40787</v>
      </c>
      <c r="BC32" s="100">
        <v>1943</v>
      </c>
      <c r="BD32" s="100" t="s">
        <v>1387</v>
      </c>
      <c r="BE32" s="98">
        <v>1.6E-2</v>
      </c>
      <c r="BF32" s="100" t="s">
        <v>1388</v>
      </c>
      <c r="BG32" s="154">
        <f>26%-1.6%</f>
        <v>0.24399999999999999</v>
      </c>
      <c r="BH32" s="100" t="s">
        <v>1395</v>
      </c>
      <c r="BI32" s="154">
        <f>30.9%-26%</f>
        <v>4.8999999999999988E-2</v>
      </c>
      <c r="BJ32" s="100" t="s">
        <v>1386</v>
      </c>
      <c r="BK32" s="98">
        <f>37.4%-30.9%</f>
        <v>6.5000000000000002E-2</v>
      </c>
      <c r="BL32" s="100" t="s">
        <v>1389</v>
      </c>
      <c r="BM32" s="98">
        <f>43.1%-37.4%</f>
        <v>5.6999999999999995E-2</v>
      </c>
      <c r="BN32" s="98" t="s">
        <v>1393</v>
      </c>
      <c r="BO32" s="98">
        <f>44.6%-43.1%</f>
        <v>1.5000000000000013E-2</v>
      </c>
      <c r="BP32" s="143"/>
      <c r="BQ32" s="143"/>
      <c r="BR32" s="143"/>
      <c r="BS32" s="143"/>
      <c r="BT32" s="143"/>
      <c r="BU32" s="143"/>
      <c r="BV32" s="143"/>
      <c r="BW32" s="143"/>
      <c r="BX32" s="98">
        <v>0.44600000000000001</v>
      </c>
      <c r="BY32" s="99">
        <v>7232</v>
      </c>
      <c r="BZ32" s="99">
        <v>1052</v>
      </c>
      <c r="CA32" s="99">
        <v>1454</v>
      </c>
      <c r="CB32" s="99">
        <v>723</v>
      </c>
      <c r="CC32" s="98">
        <f t="shared" si="3"/>
        <v>0.44600000000000001</v>
      </c>
      <c r="CD32" s="132">
        <v>40716</v>
      </c>
      <c r="CE32" s="100" t="b">
        <v>1</v>
      </c>
      <c r="CF32" s="100" t="b">
        <v>1</v>
      </c>
      <c r="CG32" s="100" t="s">
        <v>1422</v>
      </c>
      <c r="CH32" s="100">
        <v>3901</v>
      </c>
      <c r="CI32" s="100">
        <v>420</v>
      </c>
      <c r="CJ32" s="103"/>
      <c r="CK32" s="100">
        <v>1943</v>
      </c>
      <c r="CL32" s="103"/>
      <c r="CM32" s="103"/>
      <c r="CN32" s="100"/>
      <c r="CO32" s="100"/>
      <c r="CP32" s="100"/>
      <c r="CQ32" s="100"/>
      <c r="CR32" s="100"/>
      <c r="CS32" s="100"/>
      <c r="CT32" s="100"/>
      <c r="CU32" s="132">
        <v>40771</v>
      </c>
      <c r="CV32" s="100">
        <v>2086</v>
      </c>
      <c r="CW32" s="100">
        <v>68</v>
      </c>
      <c r="CX32" s="100" t="b">
        <v>1</v>
      </c>
      <c r="CY32" s="100"/>
      <c r="CZ32" s="100"/>
      <c r="DA32" s="100"/>
      <c r="DB32" s="100"/>
      <c r="DC32" s="100"/>
      <c r="DD32" s="100"/>
      <c r="DE32" s="100"/>
      <c r="DF32" s="155">
        <v>13446</v>
      </c>
      <c r="DG32" s="100">
        <v>867</v>
      </c>
      <c r="DH32" s="100">
        <v>591</v>
      </c>
      <c r="DI32" s="100"/>
      <c r="DJ32" s="100" t="b">
        <v>0</v>
      </c>
      <c r="DK32" s="100" t="b">
        <v>0</v>
      </c>
      <c r="DL32" s="100">
        <v>2</v>
      </c>
      <c r="DM32" s="100"/>
      <c r="DN32" s="100" t="s">
        <v>1726</v>
      </c>
      <c r="DO32" s="100" t="s">
        <v>1727</v>
      </c>
      <c r="DP32" s="100"/>
      <c r="DQ32" s="100"/>
      <c r="DR32" s="100"/>
      <c r="DS32" s="100"/>
      <c r="DT32" s="100"/>
      <c r="DU32" s="100"/>
      <c r="DV32" s="100">
        <v>1050</v>
      </c>
      <c r="DW32" s="100">
        <v>723</v>
      </c>
      <c r="DX32" s="100"/>
      <c r="DY32" s="100" t="b">
        <v>0</v>
      </c>
      <c r="DZ32" s="100" t="b">
        <v>0</v>
      </c>
      <c r="EA32" s="100">
        <v>0</v>
      </c>
      <c r="EB32" s="100"/>
      <c r="EC32" s="103"/>
      <c r="ED32" s="103"/>
      <c r="EM32" s="112"/>
      <c r="EN32" s="112"/>
      <c r="EO32" s="193" t="s">
        <v>1725</v>
      </c>
      <c r="EP32" s="193">
        <v>44.63</v>
      </c>
      <c r="EQ32" t="b">
        <f t="shared" si="4"/>
        <v>0</v>
      </c>
    </row>
    <row r="33" spans="1:147" ht="15.95" customHeight="1" x14ac:dyDescent="0.25">
      <c r="A33" s="102" t="s">
        <v>58</v>
      </c>
      <c r="B33" s="156">
        <v>6.2979221343994141E-2</v>
      </c>
      <c r="C33" s="102" t="s">
        <v>1481</v>
      </c>
      <c r="D33" s="102" t="s">
        <v>1481</v>
      </c>
      <c r="E33" s="102" t="s">
        <v>114</v>
      </c>
      <c r="F33" s="156" t="b">
        <v>0</v>
      </c>
      <c r="G33" s="157"/>
      <c r="H33" s="102"/>
      <c r="I33" s="102" t="s">
        <v>1729</v>
      </c>
      <c r="J33" s="102" t="s">
        <v>1730</v>
      </c>
      <c r="K33" s="102" t="s">
        <v>1712</v>
      </c>
      <c r="L33" s="102"/>
      <c r="M33" s="102"/>
      <c r="N33" s="157" t="s">
        <v>1713</v>
      </c>
      <c r="O33" s="102" t="s">
        <v>1422</v>
      </c>
      <c r="P33" s="158">
        <v>40682</v>
      </c>
      <c r="Q33" s="158">
        <v>40772.566238425927</v>
      </c>
      <c r="R33" s="158">
        <v>40787.577766203707</v>
      </c>
      <c r="S33" s="158">
        <v>40808.718171296299</v>
      </c>
      <c r="T33" s="158">
        <v>40812.497974537036</v>
      </c>
      <c r="U33" s="158">
        <v>40855</v>
      </c>
      <c r="V33" s="156">
        <v>1872</v>
      </c>
      <c r="W33" s="102" t="s">
        <v>68</v>
      </c>
      <c r="X33" s="156">
        <v>6479</v>
      </c>
      <c r="Y33" s="159"/>
      <c r="Z33" s="156">
        <v>321</v>
      </c>
      <c r="AA33" s="156">
        <v>0</v>
      </c>
      <c r="AB33" s="159"/>
      <c r="AC33" s="156">
        <v>6202</v>
      </c>
      <c r="AD33" s="159"/>
      <c r="AE33" s="156">
        <v>266</v>
      </c>
      <c r="AF33" s="156">
        <v>21166</v>
      </c>
      <c r="AG33" s="156">
        <v>2500</v>
      </c>
      <c r="AH33" s="100"/>
      <c r="AI33" s="100"/>
      <c r="AJ33" s="100"/>
      <c r="AK33" s="100"/>
      <c r="AL33" s="132">
        <v>40707</v>
      </c>
      <c r="AM33" s="100">
        <v>1872</v>
      </c>
      <c r="AN33" s="98">
        <v>0.32600000000000001</v>
      </c>
      <c r="AO33" s="99">
        <v>16231</v>
      </c>
      <c r="AP33" s="99">
        <v>6484</v>
      </c>
      <c r="AQ33" s="99">
        <v>1108</v>
      </c>
      <c r="AR33" s="100">
        <v>321</v>
      </c>
      <c r="AS33" s="133">
        <f t="shared" si="2"/>
        <v>0.32600000000000001</v>
      </c>
      <c r="AT33" s="100"/>
      <c r="AU33" s="100"/>
      <c r="AV33" s="100"/>
      <c r="AW33" s="100"/>
      <c r="AX33" s="100"/>
      <c r="AY33" s="100"/>
      <c r="AZ33" s="100"/>
      <c r="BA33" s="100"/>
      <c r="BB33" s="132">
        <v>40805</v>
      </c>
      <c r="BC33" s="100">
        <v>1872</v>
      </c>
      <c r="BD33" s="100" t="s">
        <v>1387</v>
      </c>
      <c r="BE33" s="98">
        <v>3.3000000000000002E-2</v>
      </c>
      <c r="BF33" s="100" t="s">
        <v>1389</v>
      </c>
      <c r="BG33" s="154">
        <f>22.8%-3.3%</f>
        <v>0.19500000000000001</v>
      </c>
      <c r="BH33" s="100" t="s">
        <v>1394</v>
      </c>
      <c r="BI33" s="154">
        <f>27.3%-22.8%</f>
        <v>4.5000000000000012E-2</v>
      </c>
      <c r="BJ33" s="100" t="s">
        <v>1397</v>
      </c>
      <c r="BK33" s="98">
        <f>28.4%-27.3%</f>
        <v>1.0999999999999954E-2</v>
      </c>
      <c r="BL33" s="103"/>
      <c r="BM33" s="143"/>
      <c r="BN33" s="143"/>
      <c r="BO33" s="143"/>
      <c r="BP33" s="143"/>
      <c r="BQ33" s="143"/>
      <c r="BR33" s="143"/>
      <c r="BS33" s="143"/>
      <c r="BT33" s="143"/>
      <c r="BU33" s="143"/>
      <c r="BV33" s="143"/>
      <c r="BW33" s="143"/>
      <c r="BX33" s="98">
        <v>0.28399999999999997</v>
      </c>
      <c r="BY33" s="99">
        <v>16443</v>
      </c>
      <c r="BZ33" s="99">
        <v>6207</v>
      </c>
      <c r="CA33" s="99">
        <v>1119</v>
      </c>
      <c r="CB33" s="99">
        <v>266</v>
      </c>
      <c r="CC33" s="98">
        <f t="shared" si="3"/>
        <v>0.28399999999999997</v>
      </c>
      <c r="CD33" s="132">
        <v>40682</v>
      </c>
      <c r="CE33" s="100" t="b">
        <v>1</v>
      </c>
      <c r="CF33" s="100" t="b">
        <v>1</v>
      </c>
      <c r="CG33" s="100" t="s">
        <v>1422</v>
      </c>
      <c r="CH33" s="100">
        <v>2395</v>
      </c>
      <c r="CI33" s="100">
        <v>875</v>
      </c>
      <c r="CJ33" s="100" t="b">
        <v>1</v>
      </c>
      <c r="CK33" s="100">
        <v>1872</v>
      </c>
      <c r="CL33" s="100">
        <v>5667</v>
      </c>
      <c r="CM33" s="100">
        <v>429</v>
      </c>
      <c r="CN33" s="100"/>
      <c r="CO33" s="100"/>
      <c r="CP33" s="100"/>
      <c r="CQ33" s="100"/>
      <c r="CR33" s="100"/>
      <c r="CS33" s="100"/>
      <c r="CT33" s="100"/>
      <c r="CU33" s="132">
        <v>40801</v>
      </c>
      <c r="CV33" s="100">
        <v>1692</v>
      </c>
      <c r="CW33" s="100">
        <v>318</v>
      </c>
      <c r="CX33" s="100" t="b">
        <v>1</v>
      </c>
      <c r="CY33" s="100"/>
      <c r="CZ33" s="100"/>
      <c r="DA33" s="100"/>
      <c r="DB33" s="100"/>
      <c r="DC33" s="100"/>
      <c r="DD33" s="100"/>
      <c r="DE33" s="100"/>
      <c r="DF33" s="155">
        <v>13260</v>
      </c>
      <c r="DG33" s="100">
        <v>6480</v>
      </c>
      <c r="DH33" s="100">
        <v>321</v>
      </c>
      <c r="DI33" s="100"/>
      <c r="DJ33" s="100" t="b">
        <v>1</v>
      </c>
      <c r="DK33" s="100" t="b">
        <v>0</v>
      </c>
      <c r="DL33" s="100">
        <v>1</v>
      </c>
      <c r="DM33" s="100"/>
      <c r="DN33" s="100" t="s">
        <v>1731</v>
      </c>
      <c r="DO33" s="103"/>
      <c r="DP33" s="100"/>
      <c r="DQ33" s="100"/>
      <c r="DR33" s="100"/>
      <c r="DS33" s="100"/>
      <c r="DT33" s="100"/>
      <c r="DU33" s="100"/>
      <c r="DV33" s="100">
        <v>6200</v>
      </c>
      <c r="DW33" s="100">
        <v>266</v>
      </c>
      <c r="DX33" s="100"/>
      <c r="DY33" s="100" t="b">
        <v>0</v>
      </c>
      <c r="DZ33" s="100" t="b">
        <v>0</v>
      </c>
      <c r="EA33" s="100">
        <v>1</v>
      </c>
      <c r="EB33" s="100"/>
      <c r="EC33" s="100" t="s">
        <v>1732</v>
      </c>
      <c r="ED33" s="103"/>
      <c r="EM33" s="112"/>
      <c r="EN33" s="112"/>
      <c r="EO33" s="193" t="s">
        <v>1728</v>
      </c>
      <c r="EP33" s="193">
        <v>28.43</v>
      </c>
      <c r="EQ33" t="b">
        <f t="shared" si="4"/>
        <v>0</v>
      </c>
    </row>
    <row r="34" spans="1:147" ht="15.95" customHeight="1" x14ac:dyDescent="0.25">
      <c r="A34" s="102" t="s">
        <v>58</v>
      </c>
      <c r="B34" s="156">
        <v>0.65395247936248779</v>
      </c>
      <c r="C34" s="102" t="s">
        <v>1459</v>
      </c>
      <c r="D34" s="102" t="s">
        <v>1459</v>
      </c>
      <c r="E34" s="102" t="s">
        <v>114</v>
      </c>
      <c r="F34" s="156" t="b">
        <v>0</v>
      </c>
      <c r="G34" s="157"/>
      <c r="H34" s="102"/>
      <c r="I34" s="102" t="s">
        <v>162</v>
      </c>
      <c r="J34" s="102" t="s">
        <v>161</v>
      </c>
      <c r="K34" s="102" t="s">
        <v>124</v>
      </c>
      <c r="L34" s="102"/>
      <c r="M34" s="102"/>
      <c r="N34" s="157" t="s">
        <v>1734</v>
      </c>
      <c r="O34" s="102" t="s">
        <v>1422</v>
      </c>
      <c r="P34" s="158">
        <v>40512</v>
      </c>
      <c r="Q34" s="158">
        <v>40764.516261574077</v>
      </c>
      <c r="R34" s="158">
        <v>40764.516284722224</v>
      </c>
      <c r="S34" s="158">
        <v>40812.717650462961</v>
      </c>
      <c r="T34" s="158">
        <v>40876.57340277778</v>
      </c>
      <c r="U34" s="158">
        <v>40829</v>
      </c>
      <c r="V34" s="156">
        <v>1350</v>
      </c>
      <c r="W34" s="102" t="s">
        <v>68</v>
      </c>
      <c r="X34" s="156">
        <v>0</v>
      </c>
      <c r="Y34" s="159"/>
      <c r="Z34" s="156">
        <v>0</v>
      </c>
      <c r="AA34" s="156">
        <v>0</v>
      </c>
      <c r="AB34" s="159"/>
      <c r="AC34" s="156">
        <v>2716</v>
      </c>
      <c r="AD34" s="159"/>
      <c r="AE34" s="156">
        <v>685</v>
      </c>
      <c r="AF34" s="156">
        <v>9268</v>
      </c>
      <c r="AG34" s="156">
        <v>4000</v>
      </c>
      <c r="AH34" s="100"/>
      <c r="AI34" s="100"/>
      <c r="AJ34" s="100"/>
      <c r="AK34" s="100"/>
      <c r="AL34" s="103"/>
      <c r="AM34" s="103"/>
      <c r="AN34" s="103"/>
      <c r="AO34" s="103"/>
      <c r="AP34" s="103"/>
      <c r="AQ34" s="103"/>
      <c r="AR34" s="103"/>
      <c r="AS34" s="142">
        <f t="shared" si="2"/>
        <v>0</v>
      </c>
      <c r="AT34" s="100"/>
      <c r="AU34" s="100"/>
      <c r="AV34" s="100"/>
      <c r="AW34" s="100"/>
      <c r="AX34" s="100"/>
      <c r="AY34" s="100"/>
      <c r="AZ34" s="100"/>
      <c r="BA34" s="100"/>
      <c r="BB34" s="132">
        <v>40756</v>
      </c>
      <c r="BC34" s="100">
        <v>1350</v>
      </c>
      <c r="BD34" s="100" t="s">
        <v>1386</v>
      </c>
      <c r="BE34" s="98">
        <v>5.5E-2</v>
      </c>
      <c r="BF34" s="100" t="s">
        <v>1387</v>
      </c>
      <c r="BG34" s="154">
        <f>(-0.8%)-5.5%</f>
        <v>-6.3E-2</v>
      </c>
      <c r="BH34" s="100" t="s">
        <v>1389</v>
      </c>
      <c r="BI34" s="154">
        <f>9.3%-(-0.8%)</f>
        <v>0.10100000000000001</v>
      </c>
      <c r="BJ34" s="100" t="s">
        <v>1393</v>
      </c>
      <c r="BK34" s="98">
        <f>46.8%-9.3%</f>
        <v>0.37499999999999994</v>
      </c>
      <c r="BL34" s="100" t="s">
        <v>1394</v>
      </c>
      <c r="BM34" s="98">
        <f>46.8%-46.8%</f>
        <v>0</v>
      </c>
      <c r="BN34" s="143"/>
      <c r="BO34" s="143"/>
      <c r="BP34" s="143"/>
      <c r="BQ34" s="143"/>
      <c r="BR34" s="143"/>
      <c r="BS34" s="143"/>
      <c r="BT34" s="143"/>
      <c r="BU34" s="143"/>
      <c r="BV34" s="143"/>
      <c r="BW34" s="143"/>
      <c r="BX34" s="98">
        <v>0.46800000000000003</v>
      </c>
      <c r="BY34" s="99">
        <v>8052</v>
      </c>
      <c r="BZ34" s="99">
        <v>2718</v>
      </c>
      <c r="CA34" s="99">
        <v>1387</v>
      </c>
      <c r="CB34" s="99">
        <v>685</v>
      </c>
      <c r="CC34" s="98">
        <f t="shared" si="3"/>
        <v>0.46800000000000003</v>
      </c>
      <c r="CD34" s="167">
        <v>40512</v>
      </c>
      <c r="CE34" s="164" t="b">
        <v>1</v>
      </c>
      <c r="CF34" s="164" t="b">
        <v>1</v>
      </c>
      <c r="CG34" s="164" t="s">
        <v>1422</v>
      </c>
      <c r="CH34" s="164">
        <v>2942</v>
      </c>
      <c r="CI34" s="103"/>
      <c r="CJ34" s="103"/>
      <c r="CK34" s="164">
        <v>1350</v>
      </c>
      <c r="CL34" s="103"/>
      <c r="CM34" s="103"/>
      <c r="CN34" s="100"/>
      <c r="CO34" s="100"/>
      <c r="CP34" s="100"/>
      <c r="CQ34" s="100"/>
      <c r="CR34" s="100"/>
      <c r="CS34" s="100"/>
      <c r="CT34" s="100"/>
      <c r="CU34" s="103"/>
      <c r="CV34" s="103"/>
      <c r="CW34" s="100">
        <v>12</v>
      </c>
      <c r="CX34" s="100" t="b">
        <v>1</v>
      </c>
      <c r="CY34" s="100"/>
      <c r="CZ34" s="100"/>
      <c r="DA34" s="100"/>
      <c r="DB34" s="100"/>
      <c r="DC34" s="100"/>
      <c r="DD34" s="100"/>
      <c r="DE34" s="100"/>
      <c r="DF34" s="155">
        <v>12000</v>
      </c>
      <c r="DG34" s="103"/>
      <c r="DH34" s="103"/>
      <c r="DI34" s="103"/>
      <c r="DJ34" s="103"/>
      <c r="DK34" s="103"/>
      <c r="DL34" s="103"/>
      <c r="DM34" s="103"/>
      <c r="DN34" s="103"/>
      <c r="DO34" s="103"/>
      <c r="DP34" s="103"/>
      <c r="DQ34" s="103"/>
      <c r="DR34" s="103"/>
      <c r="DS34" s="103"/>
      <c r="DT34" s="103"/>
      <c r="DU34" s="103"/>
      <c r="DV34" s="164">
        <v>2720</v>
      </c>
      <c r="DW34" s="100">
        <v>685</v>
      </c>
      <c r="DX34" s="100"/>
      <c r="DY34" s="100" t="b">
        <v>0</v>
      </c>
      <c r="DZ34" s="100" t="b">
        <v>0</v>
      </c>
      <c r="EA34" s="100">
        <v>0</v>
      </c>
      <c r="EB34" s="100"/>
      <c r="EC34" s="103"/>
      <c r="ED34" s="103"/>
      <c r="EM34" s="112"/>
      <c r="EN34" s="112"/>
      <c r="EO34" s="193" t="s">
        <v>1733</v>
      </c>
      <c r="EP34" s="193">
        <v>46.77</v>
      </c>
      <c r="EQ34" t="b">
        <f t="shared" si="4"/>
        <v>0</v>
      </c>
    </row>
    <row r="35" spans="1:147" ht="15.95" customHeight="1" x14ac:dyDescent="0.25">
      <c r="A35" s="102" t="s">
        <v>58</v>
      </c>
      <c r="B35" s="156">
        <v>0.98419106006622314</v>
      </c>
      <c r="C35" s="102" t="s">
        <v>1452</v>
      </c>
      <c r="D35" s="102" t="s">
        <v>1452</v>
      </c>
      <c r="E35" s="102" t="s">
        <v>114</v>
      </c>
      <c r="F35" s="156" t="b">
        <v>0</v>
      </c>
      <c r="G35" s="157"/>
      <c r="H35" s="102"/>
      <c r="I35" s="102" t="s">
        <v>80</v>
      </c>
      <c r="J35" s="102" t="s">
        <v>1736</v>
      </c>
      <c r="K35" s="102" t="s">
        <v>1705</v>
      </c>
      <c r="L35" s="102"/>
      <c r="M35" s="102"/>
      <c r="N35" s="157" t="s">
        <v>1737</v>
      </c>
      <c r="O35" s="102" t="s">
        <v>1422</v>
      </c>
      <c r="P35" s="158">
        <v>40738</v>
      </c>
      <c r="Q35" s="158">
        <v>40828.72216435185</v>
      </c>
      <c r="R35" s="158">
        <v>40829.404120370367</v>
      </c>
      <c r="S35" s="158">
        <v>40892.467453703706</v>
      </c>
      <c r="T35" s="158">
        <v>40899.447083333333</v>
      </c>
      <c r="U35" s="158">
        <v>40933</v>
      </c>
      <c r="V35" s="156">
        <v>1668</v>
      </c>
      <c r="W35" s="102" t="s">
        <v>68</v>
      </c>
      <c r="X35" s="156">
        <v>362</v>
      </c>
      <c r="Y35" s="159"/>
      <c r="Z35" s="156">
        <v>378</v>
      </c>
      <c r="AA35" s="156">
        <v>0</v>
      </c>
      <c r="AB35" s="159"/>
      <c r="AC35" s="156">
        <v>333</v>
      </c>
      <c r="AD35" s="159"/>
      <c r="AE35" s="156">
        <v>400</v>
      </c>
      <c r="AF35" s="156">
        <v>1135</v>
      </c>
      <c r="AG35" s="156">
        <v>3500</v>
      </c>
      <c r="AH35" s="100"/>
      <c r="AI35" s="100"/>
      <c r="AJ35" s="100"/>
      <c r="AK35" s="100"/>
      <c r="AL35" s="132">
        <v>40819</v>
      </c>
      <c r="AM35" s="100">
        <v>1668</v>
      </c>
      <c r="AN35" s="133">
        <v>0</v>
      </c>
      <c r="AO35" s="99">
        <v>6247</v>
      </c>
      <c r="AP35" s="100">
        <v>362</v>
      </c>
      <c r="AQ35" s="100">
        <v>885</v>
      </c>
      <c r="AR35" s="100">
        <v>378</v>
      </c>
      <c r="AS35" s="133">
        <f t="shared" si="2"/>
        <v>0</v>
      </c>
      <c r="AT35" s="100"/>
      <c r="AU35" s="100"/>
      <c r="AV35" s="100"/>
      <c r="AW35" s="100"/>
      <c r="AX35" s="100"/>
      <c r="AY35" s="100"/>
      <c r="AZ35" s="100"/>
      <c r="BA35" s="100"/>
      <c r="BB35" s="132">
        <v>40878</v>
      </c>
      <c r="BC35" s="100">
        <v>1668</v>
      </c>
      <c r="BD35" s="100" t="s">
        <v>1387</v>
      </c>
      <c r="BE35" s="98">
        <v>1.7000000000000001E-2</v>
      </c>
      <c r="BF35" s="100" t="s">
        <v>1388</v>
      </c>
      <c r="BG35" s="154">
        <f>20.3%-1.7%</f>
        <v>0.186</v>
      </c>
      <c r="BH35" s="100" t="s">
        <v>1386</v>
      </c>
      <c r="BI35" s="154">
        <f>22.9%-20.3%</f>
        <v>2.5999999999999968E-2</v>
      </c>
      <c r="BJ35" s="100" t="s">
        <v>1394</v>
      </c>
      <c r="BK35" s="98">
        <f>32.4%-22.9%</f>
        <v>9.5000000000000029E-2</v>
      </c>
      <c r="BL35" s="100" t="s">
        <v>1397</v>
      </c>
      <c r="BM35" s="98">
        <f>36.2%-32.4%</f>
        <v>3.8000000000000034E-2</v>
      </c>
      <c r="BN35" s="143"/>
      <c r="BO35" s="143"/>
      <c r="BP35" s="143"/>
      <c r="BQ35" s="143"/>
      <c r="BR35" s="143"/>
      <c r="BS35" s="143"/>
      <c r="BT35" s="143"/>
      <c r="BU35" s="143"/>
      <c r="BV35" s="143"/>
      <c r="BW35" s="143"/>
      <c r="BX35" s="98">
        <v>0.36199999999999999</v>
      </c>
      <c r="BY35" s="99">
        <v>6254</v>
      </c>
      <c r="BZ35" s="99">
        <v>333</v>
      </c>
      <c r="CA35" s="99">
        <v>922</v>
      </c>
      <c r="CB35" s="99">
        <v>400</v>
      </c>
      <c r="CC35" s="98">
        <f t="shared" si="3"/>
        <v>0.36199999999999999</v>
      </c>
      <c r="CD35" s="132">
        <v>40738</v>
      </c>
      <c r="CE35" s="100" t="b">
        <v>1</v>
      </c>
      <c r="CF35" s="100" t="b">
        <v>1</v>
      </c>
      <c r="CG35" s="100" t="s">
        <v>1422</v>
      </c>
      <c r="CH35" s="100">
        <v>4256</v>
      </c>
      <c r="CI35" s="103"/>
      <c r="CJ35" s="100" t="b">
        <v>1</v>
      </c>
      <c r="CK35" s="100">
        <v>1668</v>
      </c>
      <c r="CL35" s="103"/>
      <c r="CM35" s="103"/>
      <c r="CN35" s="100"/>
      <c r="CO35" s="100"/>
      <c r="CP35" s="100"/>
      <c r="CQ35" s="100"/>
      <c r="CR35" s="100"/>
      <c r="CS35" s="100"/>
      <c r="CT35" s="100"/>
      <c r="CU35" s="132">
        <v>40844</v>
      </c>
      <c r="CV35" s="100">
        <v>3656</v>
      </c>
      <c r="CW35" s="103"/>
      <c r="CX35" s="103"/>
      <c r="CY35" s="100"/>
      <c r="CZ35" s="100"/>
      <c r="DA35" s="100"/>
      <c r="DB35" s="100"/>
      <c r="DC35" s="100"/>
      <c r="DD35" s="100"/>
      <c r="DE35" s="100"/>
      <c r="DF35" s="155">
        <v>11561</v>
      </c>
      <c r="DG35" s="100">
        <v>362</v>
      </c>
      <c r="DH35" s="100">
        <v>378</v>
      </c>
      <c r="DI35" s="100"/>
      <c r="DJ35" s="100" t="b">
        <v>1</v>
      </c>
      <c r="DK35" s="100" t="b">
        <v>1</v>
      </c>
      <c r="DL35" s="100">
        <v>2</v>
      </c>
      <c r="DM35" s="100"/>
      <c r="DN35" s="100" t="s">
        <v>1738</v>
      </c>
      <c r="DO35" s="100" t="s">
        <v>1739</v>
      </c>
      <c r="DP35" s="100"/>
      <c r="DQ35" s="100"/>
      <c r="DR35" s="100"/>
      <c r="DS35" s="100"/>
      <c r="DT35" s="100"/>
      <c r="DU35" s="100"/>
      <c r="DV35" s="100">
        <v>333</v>
      </c>
      <c r="DW35" s="100">
        <v>400</v>
      </c>
      <c r="DX35" s="100"/>
      <c r="DY35" s="100" t="b">
        <v>0</v>
      </c>
      <c r="DZ35" s="100" t="b">
        <v>0</v>
      </c>
      <c r="EA35" s="100">
        <v>1</v>
      </c>
      <c r="EB35" s="100"/>
      <c r="EC35" s="100" t="s">
        <v>1740</v>
      </c>
      <c r="ED35" s="100"/>
      <c r="EM35" s="112"/>
      <c r="EN35" s="112"/>
      <c r="EO35" s="193" t="s">
        <v>1735</v>
      </c>
      <c r="EP35" s="193">
        <v>36.19</v>
      </c>
      <c r="EQ35" t="b">
        <f t="shared" si="4"/>
        <v>0</v>
      </c>
    </row>
    <row r="36" spans="1:147" ht="15.95" customHeight="1" x14ac:dyDescent="0.25">
      <c r="A36" s="102" t="s">
        <v>58</v>
      </c>
      <c r="B36" s="156">
        <v>0.37873208522796631</v>
      </c>
      <c r="C36" s="102" t="s">
        <v>1485</v>
      </c>
      <c r="D36" s="102" t="s">
        <v>1485</v>
      </c>
      <c r="E36" s="102" t="s">
        <v>114</v>
      </c>
      <c r="F36" s="156" t="b">
        <v>0</v>
      </c>
      <c r="G36" s="157"/>
      <c r="H36" s="102"/>
      <c r="I36" s="102" t="s">
        <v>107</v>
      </c>
      <c r="J36" s="102" t="s">
        <v>1742</v>
      </c>
      <c r="K36" s="102" t="s">
        <v>146</v>
      </c>
      <c r="L36" s="102"/>
      <c r="M36" s="102"/>
      <c r="N36" s="157" t="s">
        <v>128</v>
      </c>
      <c r="O36" s="102" t="s">
        <v>1422</v>
      </c>
      <c r="P36" s="158">
        <v>40613</v>
      </c>
      <c r="Q36" s="158">
        <v>40841.375254629631</v>
      </c>
      <c r="R36" s="158">
        <v>40844.393854166665</v>
      </c>
      <c r="S36" s="158">
        <v>40911.609699074077</v>
      </c>
      <c r="T36" s="158">
        <v>40919.663969907408</v>
      </c>
      <c r="U36" s="158">
        <v>40948</v>
      </c>
      <c r="V36" s="156">
        <v>2520</v>
      </c>
      <c r="W36" s="102" t="s">
        <v>68</v>
      </c>
      <c r="X36" s="156">
        <v>3402</v>
      </c>
      <c r="Y36" s="159"/>
      <c r="Z36" s="156">
        <v>149</v>
      </c>
      <c r="AA36" s="156">
        <v>0</v>
      </c>
      <c r="AB36" s="159"/>
      <c r="AC36" s="156">
        <v>3801</v>
      </c>
      <c r="AD36" s="159"/>
      <c r="AE36" s="156">
        <v>172</v>
      </c>
      <c r="AF36" s="156">
        <v>12971</v>
      </c>
      <c r="AG36" s="156">
        <v>1500</v>
      </c>
      <c r="AH36" s="100"/>
      <c r="AI36" s="100"/>
      <c r="AJ36" s="100"/>
      <c r="AK36" s="100"/>
      <c r="AL36" s="132">
        <v>40841</v>
      </c>
      <c r="AM36" s="100">
        <v>2520</v>
      </c>
      <c r="AN36" s="98">
        <v>0.151</v>
      </c>
      <c r="AO36" s="99">
        <v>19333</v>
      </c>
      <c r="AP36" s="99">
        <v>3405</v>
      </c>
      <c r="AQ36" s="99">
        <v>1092</v>
      </c>
      <c r="AR36" s="100">
        <v>149</v>
      </c>
      <c r="AS36" s="133">
        <f t="shared" si="2"/>
        <v>0.151</v>
      </c>
      <c r="AT36" s="100"/>
      <c r="AU36" s="100"/>
      <c r="AV36" s="100"/>
      <c r="AW36" s="100"/>
      <c r="AX36" s="100"/>
      <c r="AY36" s="100"/>
      <c r="AZ36" s="100"/>
      <c r="BA36" s="100"/>
      <c r="BB36" s="132">
        <v>40864</v>
      </c>
      <c r="BC36" s="100">
        <v>2520</v>
      </c>
      <c r="BD36" s="100" t="s">
        <v>1387</v>
      </c>
      <c r="BE36" s="98">
        <v>8.5000000000000006E-2</v>
      </c>
      <c r="BF36" s="100" t="s">
        <v>1395</v>
      </c>
      <c r="BG36" s="154">
        <f>8.9%-8.5%</f>
        <v>4.0000000000000036E-3</v>
      </c>
      <c r="BH36" s="100" t="s">
        <v>1389</v>
      </c>
      <c r="BI36" s="154">
        <f>17%-8.9%</f>
        <v>8.1000000000000003E-2</v>
      </c>
      <c r="BJ36" s="103"/>
      <c r="BK36" s="143"/>
      <c r="BL36" s="103"/>
      <c r="BM36" s="143"/>
      <c r="BN36" s="143"/>
      <c r="BO36" s="143"/>
      <c r="BP36" s="143"/>
      <c r="BQ36" s="143"/>
      <c r="BR36" s="143"/>
      <c r="BS36" s="143"/>
      <c r="BT36" s="143"/>
      <c r="BU36" s="143"/>
      <c r="BV36" s="143"/>
      <c r="BW36" s="143"/>
      <c r="BX36" s="98">
        <v>0.17</v>
      </c>
      <c r="BY36" s="99">
        <v>20058</v>
      </c>
      <c r="BZ36" s="99">
        <v>3804</v>
      </c>
      <c r="CA36" s="99">
        <v>1092</v>
      </c>
      <c r="CB36" s="99">
        <v>172</v>
      </c>
      <c r="CC36" s="98">
        <f t="shared" si="3"/>
        <v>0.17</v>
      </c>
      <c r="CD36" s="132">
        <v>42075</v>
      </c>
      <c r="CE36" s="100" t="b">
        <v>1</v>
      </c>
      <c r="CF36" s="100" t="b">
        <v>1</v>
      </c>
      <c r="CG36" s="100" t="s">
        <v>1422</v>
      </c>
      <c r="CH36" s="100">
        <v>2876</v>
      </c>
      <c r="CI36" s="100">
        <v>445</v>
      </c>
      <c r="CJ36" s="103"/>
      <c r="CK36" s="100">
        <v>2520</v>
      </c>
      <c r="CL36" s="103"/>
      <c r="CM36" s="103"/>
      <c r="CN36" s="100"/>
      <c r="CO36" s="100"/>
      <c r="CP36" s="100"/>
      <c r="CQ36" s="100"/>
      <c r="CR36" s="100"/>
      <c r="CS36" s="100"/>
      <c r="CT36" s="100"/>
      <c r="CU36" s="132">
        <v>40760</v>
      </c>
      <c r="CV36" s="100">
        <v>2876</v>
      </c>
      <c r="CW36" s="100">
        <v>138</v>
      </c>
      <c r="CX36" s="103"/>
      <c r="CY36" s="100"/>
      <c r="CZ36" s="100"/>
      <c r="DA36" s="100"/>
      <c r="DB36" s="100"/>
      <c r="DC36" s="100"/>
      <c r="DD36" s="100"/>
      <c r="DE36" s="100"/>
      <c r="DF36" s="155">
        <v>47246</v>
      </c>
      <c r="DG36" s="100">
        <v>3400</v>
      </c>
      <c r="DH36" s="100">
        <v>149</v>
      </c>
      <c r="DI36" s="100"/>
      <c r="DJ36" s="100" t="b">
        <v>0</v>
      </c>
      <c r="DK36" s="100" t="b">
        <v>0</v>
      </c>
      <c r="DL36" s="100">
        <v>2</v>
      </c>
      <c r="DM36" s="100"/>
      <c r="DN36" s="100" t="s">
        <v>1743</v>
      </c>
      <c r="DO36" s="100" t="s">
        <v>1744</v>
      </c>
      <c r="DP36" s="100"/>
      <c r="DQ36" s="100"/>
      <c r="DR36" s="100"/>
      <c r="DS36" s="100"/>
      <c r="DT36" s="100"/>
      <c r="DU36" s="100"/>
      <c r="DV36" s="100">
        <v>3800</v>
      </c>
      <c r="DW36" s="100">
        <v>172</v>
      </c>
      <c r="DX36" s="100"/>
      <c r="DY36" s="100" t="b">
        <v>1</v>
      </c>
      <c r="DZ36" s="100" t="b">
        <v>1</v>
      </c>
      <c r="EA36" s="100">
        <v>3</v>
      </c>
      <c r="EB36" s="100"/>
      <c r="EC36" s="100" t="s">
        <v>1745</v>
      </c>
      <c r="ED36" s="100" t="s">
        <v>1746</v>
      </c>
      <c r="EM36" s="112"/>
      <c r="EN36" s="112"/>
      <c r="EO36" s="193" t="s">
        <v>1741</v>
      </c>
      <c r="EP36" s="193">
        <v>16.97</v>
      </c>
      <c r="EQ36" t="b">
        <f t="shared" si="4"/>
        <v>0</v>
      </c>
    </row>
    <row r="37" spans="1:147" ht="15.95" customHeight="1" x14ac:dyDescent="0.25">
      <c r="A37" s="102" t="s">
        <v>58</v>
      </c>
      <c r="B37" s="156">
        <v>0.26555895805358887</v>
      </c>
      <c r="C37" s="102" t="s">
        <v>149</v>
      </c>
      <c r="D37" s="102" t="s">
        <v>149</v>
      </c>
      <c r="E37" s="102" t="s">
        <v>114</v>
      </c>
      <c r="F37" s="156" t="b">
        <v>0</v>
      </c>
      <c r="G37" s="157"/>
      <c r="H37" s="102"/>
      <c r="I37" s="102" t="s">
        <v>148</v>
      </c>
      <c r="J37" s="102" t="s">
        <v>147</v>
      </c>
      <c r="K37" s="102" t="s">
        <v>104</v>
      </c>
      <c r="L37" s="102"/>
      <c r="M37" s="102"/>
      <c r="N37" s="157" t="s">
        <v>119</v>
      </c>
      <c r="O37" s="102" t="s">
        <v>1422</v>
      </c>
      <c r="P37" s="158">
        <v>40857.541666666664</v>
      </c>
      <c r="Q37" s="158">
        <v>40869.83803240741</v>
      </c>
      <c r="R37" s="158">
        <v>40875.469976851855</v>
      </c>
      <c r="S37" s="158">
        <v>40917.46607638889</v>
      </c>
      <c r="T37" s="158">
        <v>40917.559803240743</v>
      </c>
      <c r="U37" s="158">
        <v>40948</v>
      </c>
      <c r="V37" s="156">
        <v>1680</v>
      </c>
      <c r="W37" s="102" t="s">
        <v>68</v>
      </c>
      <c r="X37" s="156">
        <v>270</v>
      </c>
      <c r="Y37" s="159"/>
      <c r="Z37" s="156">
        <v>586</v>
      </c>
      <c r="AA37" s="156">
        <v>0</v>
      </c>
      <c r="AB37" s="159"/>
      <c r="AC37" s="156">
        <v>250</v>
      </c>
      <c r="AD37" s="159"/>
      <c r="AE37" s="156">
        <v>539</v>
      </c>
      <c r="AF37" s="156">
        <v>853</v>
      </c>
      <c r="AG37" s="156">
        <v>4000</v>
      </c>
      <c r="AH37" s="100"/>
      <c r="AI37" s="100"/>
      <c r="AJ37" s="100"/>
      <c r="AK37" s="100"/>
      <c r="AL37" s="132">
        <v>40869</v>
      </c>
      <c r="AM37" s="100">
        <v>1680</v>
      </c>
      <c r="AN37" s="98">
        <v>0.40400000000000003</v>
      </c>
      <c r="AO37" s="99">
        <v>6029</v>
      </c>
      <c r="AP37" s="100">
        <v>271</v>
      </c>
      <c r="AQ37" s="99">
        <v>1269</v>
      </c>
      <c r="AR37" s="100">
        <v>586</v>
      </c>
      <c r="AS37" s="133">
        <f t="shared" si="2"/>
        <v>0.40400000000000003</v>
      </c>
      <c r="AT37" s="100"/>
      <c r="AU37" s="100"/>
      <c r="AV37" s="100"/>
      <c r="AW37" s="100"/>
      <c r="AX37" s="100"/>
      <c r="AY37" s="100"/>
      <c r="AZ37" s="100"/>
      <c r="BA37" s="100"/>
      <c r="BB37" s="168">
        <v>40904</v>
      </c>
      <c r="BC37" s="169">
        <v>1680</v>
      </c>
      <c r="BD37" s="100" t="s">
        <v>1386</v>
      </c>
      <c r="BE37" s="98">
        <v>7.3999999999999996E-2</v>
      </c>
      <c r="BF37" s="100" t="s">
        <v>1389</v>
      </c>
      <c r="BG37" s="154">
        <f>10.9%-7.4%</f>
        <v>3.4999999999999989E-2</v>
      </c>
      <c r="BH37" s="100" t="s">
        <v>1393</v>
      </c>
      <c r="BI37" s="154">
        <f>17.4%-10.9%</f>
        <v>6.4999999999999988E-2</v>
      </c>
      <c r="BJ37" s="100" t="s">
        <v>1394</v>
      </c>
      <c r="BK37" s="98">
        <f>27.3%-17.4%</f>
        <v>9.9000000000000032E-2</v>
      </c>
      <c r="BL37" s="100" t="s">
        <v>1397</v>
      </c>
      <c r="BM37" s="98">
        <f>36.6%-27.3%</f>
        <v>9.2999999999999972E-2</v>
      </c>
      <c r="BN37" s="143"/>
      <c r="BO37" s="143"/>
      <c r="BP37" s="143"/>
      <c r="BQ37" s="143"/>
      <c r="BR37" s="143"/>
      <c r="BS37" s="143"/>
      <c r="BT37" s="143"/>
      <c r="BU37" s="143"/>
      <c r="BV37" s="143"/>
      <c r="BW37" s="143"/>
      <c r="BX37" s="98">
        <v>0.36599999999999999</v>
      </c>
      <c r="BY37" s="99">
        <v>5542</v>
      </c>
      <c r="BZ37" s="99">
        <v>286</v>
      </c>
      <c r="CA37" s="99">
        <v>1078</v>
      </c>
      <c r="CB37" s="99">
        <v>454</v>
      </c>
      <c r="CC37" s="98">
        <f t="shared" si="3"/>
        <v>0.36599999999999999</v>
      </c>
      <c r="CD37" s="132">
        <v>40857</v>
      </c>
      <c r="CE37" s="100" t="b">
        <v>1</v>
      </c>
      <c r="CF37" s="100" t="b">
        <v>1</v>
      </c>
      <c r="CG37" s="100" t="s">
        <v>1422</v>
      </c>
      <c r="CH37" s="100">
        <v>5221</v>
      </c>
      <c r="CI37" s="100">
        <v>329</v>
      </c>
      <c r="CJ37" s="103"/>
      <c r="CK37" s="100">
        <v>1680</v>
      </c>
      <c r="CL37" s="103"/>
      <c r="CM37" s="103"/>
      <c r="CN37" s="100"/>
      <c r="CO37" s="100"/>
      <c r="CP37" s="100"/>
      <c r="CQ37" s="100"/>
      <c r="CR37" s="100"/>
      <c r="CS37" s="100"/>
      <c r="CT37" s="100"/>
      <c r="CU37" s="132">
        <v>40888</v>
      </c>
      <c r="CV37" s="169">
        <v>2734</v>
      </c>
      <c r="CW37" s="100">
        <v>118</v>
      </c>
      <c r="CX37" s="103"/>
      <c r="CY37" s="100"/>
      <c r="CZ37" s="100"/>
      <c r="DA37" s="100"/>
      <c r="DB37" s="100"/>
      <c r="DC37" s="100"/>
      <c r="DD37" s="100"/>
      <c r="DE37" s="100"/>
      <c r="DF37" s="155">
        <v>17558</v>
      </c>
      <c r="DG37" s="100">
        <v>271</v>
      </c>
      <c r="DH37" s="100">
        <v>586</v>
      </c>
      <c r="DI37" s="100"/>
      <c r="DJ37" s="100" t="b">
        <v>0</v>
      </c>
      <c r="DK37" s="100" t="b">
        <v>0</v>
      </c>
      <c r="DL37" s="100">
        <v>0</v>
      </c>
      <c r="DM37" s="100"/>
      <c r="DN37" s="103"/>
      <c r="DO37" s="103"/>
      <c r="DP37" s="100"/>
      <c r="DQ37" s="100"/>
      <c r="DR37" s="100"/>
      <c r="DS37" s="100"/>
      <c r="DT37" s="100"/>
      <c r="DU37" s="100"/>
      <c r="DV37" s="100">
        <v>250</v>
      </c>
      <c r="DW37" s="100">
        <v>539</v>
      </c>
      <c r="DX37" s="100"/>
      <c r="DY37" s="100" t="b">
        <v>0</v>
      </c>
      <c r="DZ37" s="100" t="b">
        <v>0</v>
      </c>
      <c r="EA37" s="100">
        <v>1</v>
      </c>
      <c r="EB37" s="100"/>
      <c r="EC37" s="100" t="s">
        <v>1748</v>
      </c>
      <c r="ED37" s="103"/>
      <c r="EM37" s="112"/>
      <c r="EN37" s="112"/>
      <c r="EO37" s="193" t="s">
        <v>1747</v>
      </c>
      <c r="EP37" s="193">
        <v>40.75</v>
      </c>
      <c r="EQ37" t="b">
        <f t="shared" si="4"/>
        <v>0</v>
      </c>
    </row>
    <row r="38" spans="1:147" ht="15.95" customHeight="1" x14ac:dyDescent="0.25">
      <c r="A38" s="102" t="s">
        <v>58</v>
      </c>
      <c r="B38" s="156">
        <v>0.9539940357208252</v>
      </c>
      <c r="C38" s="102" t="s">
        <v>1451</v>
      </c>
      <c r="D38" s="102" t="s">
        <v>1451</v>
      </c>
      <c r="E38" s="102" t="s">
        <v>114</v>
      </c>
      <c r="F38" s="156" t="b">
        <v>0</v>
      </c>
      <c r="G38" s="157"/>
      <c r="H38" s="102"/>
      <c r="I38" s="102" t="s">
        <v>159</v>
      </c>
      <c r="J38" s="102" t="s">
        <v>158</v>
      </c>
      <c r="K38" s="102" t="s">
        <v>1705</v>
      </c>
      <c r="L38" s="102"/>
      <c r="M38" s="102"/>
      <c r="N38" s="157" t="s">
        <v>174</v>
      </c>
      <c r="O38" s="102" t="s">
        <v>1422</v>
      </c>
      <c r="P38" s="158">
        <v>40575</v>
      </c>
      <c r="Q38" s="158">
        <v>40764.518206018518</v>
      </c>
      <c r="R38" s="158">
        <v>40764.518217592595</v>
      </c>
      <c r="S38" s="158">
        <v>40842.662118055552</v>
      </c>
      <c r="T38" s="158">
        <v>40855.369849537034</v>
      </c>
      <c r="U38" s="158">
        <v>40876</v>
      </c>
      <c r="V38" s="156">
        <v>1741</v>
      </c>
      <c r="W38" s="102" t="s">
        <v>68</v>
      </c>
      <c r="X38" s="156">
        <v>0</v>
      </c>
      <c r="Y38" s="159"/>
      <c r="Z38" s="156">
        <v>0</v>
      </c>
      <c r="AA38" s="156">
        <v>0</v>
      </c>
      <c r="AB38" s="159"/>
      <c r="AC38" s="156">
        <v>445</v>
      </c>
      <c r="AD38" s="159"/>
      <c r="AE38" s="156">
        <v>346</v>
      </c>
      <c r="AF38" s="156">
        <v>1519</v>
      </c>
      <c r="AG38" s="156">
        <v>3500</v>
      </c>
      <c r="AH38" s="100"/>
      <c r="AI38" s="100"/>
      <c r="AJ38" s="100"/>
      <c r="AK38" s="100"/>
      <c r="AL38" s="103"/>
      <c r="AM38" s="103"/>
      <c r="AN38" s="103"/>
      <c r="AO38" s="103"/>
      <c r="AP38" s="103"/>
      <c r="AQ38" s="103"/>
      <c r="AR38" s="103"/>
      <c r="AS38" s="142">
        <f t="shared" si="2"/>
        <v>0</v>
      </c>
      <c r="AT38" s="100"/>
      <c r="AU38" s="100"/>
      <c r="AV38" s="100"/>
      <c r="AW38" s="100"/>
      <c r="AX38" s="100"/>
      <c r="AY38" s="100"/>
      <c r="AZ38" s="100"/>
      <c r="BA38" s="100"/>
      <c r="BB38" s="132">
        <v>40799</v>
      </c>
      <c r="BC38" s="100">
        <v>1741</v>
      </c>
      <c r="BD38" s="100" t="s">
        <v>1387</v>
      </c>
      <c r="BE38" s="98">
        <v>2.7E-2</v>
      </c>
      <c r="BF38" s="100" t="s">
        <v>1388</v>
      </c>
      <c r="BG38" s="154">
        <f>18.5%-2.7%</f>
        <v>0.158</v>
      </c>
      <c r="BH38" s="100" t="s">
        <v>1395</v>
      </c>
      <c r="BI38" s="154">
        <f>27.6%-18.5%</f>
        <v>9.1000000000000025E-2</v>
      </c>
      <c r="BJ38" s="100" t="s">
        <v>1386</v>
      </c>
      <c r="BK38" s="98">
        <f>28.1%-27.6%</f>
        <v>5.0000000000000044E-3</v>
      </c>
      <c r="BL38" s="100" t="s">
        <v>1397</v>
      </c>
      <c r="BM38" s="98">
        <f>37.6%-28.1%</f>
        <v>9.4999999999999973E-2</v>
      </c>
      <c r="BN38" s="143"/>
      <c r="BO38" s="143"/>
      <c r="BP38" s="143"/>
      <c r="BQ38" s="143"/>
      <c r="BR38" s="143"/>
      <c r="BS38" s="143"/>
      <c r="BT38" s="143"/>
      <c r="BU38" s="143"/>
      <c r="BV38" s="143"/>
      <c r="BW38" s="143"/>
      <c r="BX38" s="98">
        <v>0.376</v>
      </c>
      <c r="BY38" s="99">
        <v>6136</v>
      </c>
      <c r="BZ38" s="99">
        <v>446</v>
      </c>
      <c r="CA38" s="99">
        <v>750</v>
      </c>
      <c r="CB38" s="99">
        <v>346</v>
      </c>
      <c r="CC38" s="98">
        <f t="shared" si="3"/>
        <v>0.376</v>
      </c>
      <c r="CD38" s="103"/>
      <c r="CE38" s="103"/>
      <c r="CF38" s="103"/>
      <c r="CG38" s="103"/>
      <c r="CH38" s="103"/>
      <c r="CI38" s="103"/>
      <c r="CJ38" s="103"/>
      <c r="CK38" s="103"/>
      <c r="CL38" s="103"/>
      <c r="CM38" s="103"/>
      <c r="CN38" s="100"/>
      <c r="CO38" s="100"/>
      <c r="CP38" s="100"/>
      <c r="CQ38" s="100"/>
      <c r="CR38" s="100"/>
      <c r="CS38" s="100"/>
      <c r="CT38" s="100"/>
      <c r="CU38" s="132">
        <v>40620</v>
      </c>
      <c r="CV38" s="100">
        <v>2470</v>
      </c>
      <c r="CW38" s="103"/>
      <c r="CX38" s="103"/>
      <c r="CY38" s="100"/>
      <c r="CZ38" s="100"/>
      <c r="DA38" s="100"/>
      <c r="DB38" s="100"/>
      <c r="DC38" s="100"/>
      <c r="DD38" s="100"/>
      <c r="DE38" s="100"/>
      <c r="DF38" s="155">
        <v>12506</v>
      </c>
      <c r="DG38" s="103"/>
      <c r="DH38" s="103"/>
      <c r="DI38" s="103"/>
      <c r="DJ38" s="103"/>
      <c r="DK38" s="103"/>
      <c r="DL38" s="100">
        <v>1</v>
      </c>
      <c r="DM38" s="100"/>
      <c r="DN38" s="164" t="s">
        <v>1750</v>
      </c>
      <c r="DO38" s="103"/>
      <c r="DP38" s="100"/>
      <c r="DQ38" s="100"/>
      <c r="DR38" s="100"/>
      <c r="DS38" s="100"/>
      <c r="DT38" s="100"/>
      <c r="DU38" s="100"/>
      <c r="DV38" s="100">
        <v>445</v>
      </c>
      <c r="DW38" s="100">
        <v>346</v>
      </c>
      <c r="DX38" s="100"/>
      <c r="DY38" s="103"/>
      <c r="DZ38" s="103"/>
      <c r="EA38" s="100">
        <v>1</v>
      </c>
      <c r="EB38" s="100"/>
      <c r="EC38" s="100" t="s">
        <v>1751</v>
      </c>
      <c r="ED38" s="103"/>
      <c r="EM38" s="112"/>
      <c r="EN38" s="112"/>
      <c r="EO38" s="193" t="s">
        <v>1749</v>
      </c>
      <c r="EP38" s="193">
        <v>37.65</v>
      </c>
      <c r="EQ38" t="b">
        <f t="shared" si="4"/>
        <v>0</v>
      </c>
    </row>
    <row r="39" spans="1:147" ht="15.95" customHeight="1" x14ac:dyDescent="0.25">
      <c r="A39" s="102" t="s">
        <v>58</v>
      </c>
      <c r="B39" s="156">
        <v>9.9697649478912354E-2</v>
      </c>
      <c r="C39" s="102" t="s">
        <v>1461</v>
      </c>
      <c r="D39" s="102" t="s">
        <v>1461</v>
      </c>
      <c r="E39" s="102" t="s">
        <v>114</v>
      </c>
      <c r="F39" s="156" t="b">
        <v>0</v>
      </c>
      <c r="G39" s="157"/>
      <c r="H39" s="102"/>
      <c r="I39" s="102" t="s">
        <v>1753</v>
      </c>
      <c r="J39" s="102" t="s">
        <v>1754</v>
      </c>
      <c r="K39" s="102" t="s">
        <v>1755</v>
      </c>
      <c r="L39" s="102"/>
      <c r="M39" s="102"/>
      <c r="N39" s="157" t="s">
        <v>122</v>
      </c>
      <c r="O39" s="102" t="s">
        <v>1422</v>
      </c>
      <c r="P39" s="158">
        <v>40707</v>
      </c>
      <c r="Q39" s="158">
        <v>40738.512037037035</v>
      </c>
      <c r="R39" s="158">
        <v>40738.512037037035</v>
      </c>
      <c r="S39" s="158">
        <v>40780.633981481478</v>
      </c>
      <c r="T39" s="158">
        <v>40794.996111111112</v>
      </c>
      <c r="U39" s="158">
        <v>40844</v>
      </c>
      <c r="V39" s="156">
        <v>2644</v>
      </c>
      <c r="W39" s="102" t="s">
        <v>68</v>
      </c>
      <c r="X39" s="156">
        <v>0</v>
      </c>
      <c r="Y39" s="159"/>
      <c r="Z39" s="156">
        <v>0</v>
      </c>
      <c r="AA39" s="156">
        <v>0</v>
      </c>
      <c r="AB39" s="159"/>
      <c r="AC39" s="156">
        <v>263</v>
      </c>
      <c r="AD39" s="159"/>
      <c r="AE39" s="156">
        <v>279</v>
      </c>
      <c r="AF39" s="156">
        <v>898</v>
      </c>
      <c r="AG39" s="156">
        <v>2000</v>
      </c>
      <c r="AH39" s="100"/>
      <c r="AI39" s="100"/>
      <c r="AJ39" s="100"/>
      <c r="AK39" s="100"/>
      <c r="AL39" s="103"/>
      <c r="AM39" s="103"/>
      <c r="AN39" s="103"/>
      <c r="AO39" s="103"/>
      <c r="AP39" s="103"/>
      <c r="AQ39" s="103"/>
      <c r="AR39" s="103"/>
      <c r="AS39" s="142">
        <f t="shared" si="2"/>
        <v>0</v>
      </c>
      <c r="AT39" s="100"/>
      <c r="AU39" s="100"/>
      <c r="AV39" s="100"/>
      <c r="AW39" s="100"/>
      <c r="AX39" s="100"/>
      <c r="AY39" s="100"/>
      <c r="AZ39" s="100"/>
      <c r="BA39" s="100"/>
      <c r="BB39" s="132">
        <v>40766</v>
      </c>
      <c r="BC39" s="100">
        <v>2664</v>
      </c>
      <c r="BD39" s="100" t="s">
        <v>1387</v>
      </c>
      <c r="BE39" s="98">
        <v>1.7000000000000001E-2</v>
      </c>
      <c r="BF39" s="100" t="s">
        <v>1395</v>
      </c>
      <c r="BG39" s="154">
        <f>5.7%-1.7%</f>
        <v>0.04</v>
      </c>
      <c r="BH39" s="100" t="s">
        <v>1386</v>
      </c>
      <c r="BI39" s="154">
        <f>12.9%-5.7%</f>
        <v>7.2000000000000008E-2</v>
      </c>
      <c r="BJ39" s="100" t="s">
        <v>1397</v>
      </c>
      <c r="BK39" s="98">
        <f>22.6%-12.9%</f>
        <v>9.7000000000000003E-2</v>
      </c>
      <c r="BL39" s="103"/>
      <c r="BM39" s="143"/>
      <c r="BN39" s="143"/>
      <c r="BO39" s="143"/>
      <c r="BP39" s="143"/>
      <c r="BQ39" s="143"/>
      <c r="BR39" s="143"/>
      <c r="BS39" s="143"/>
      <c r="BT39" s="143"/>
      <c r="BU39" s="143"/>
      <c r="BV39" s="143"/>
      <c r="BW39" s="143"/>
      <c r="BX39" s="98">
        <v>0.22600000000000001</v>
      </c>
      <c r="BY39" s="99">
        <v>8262</v>
      </c>
      <c r="BZ39" s="99">
        <v>264</v>
      </c>
      <c r="CA39" s="99">
        <v>993</v>
      </c>
      <c r="CB39" s="99">
        <v>279</v>
      </c>
      <c r="CC39" s="98">
        <f t="shared" si="3"/>
        <v>0.22600000000000001</v>
      </c>
      <c r="CD39" s="103"/>
      <c r="CE39" s="103"/>
      <c r="CF39" s="103"/>
      <c r="CG39" s="103"/>
      <c r="CH39" s="103"/>
      <c r="CI39" s="103"/>
      <c r="CJ39" s="103"/>
      <c r="CK39" s="103"/>
      <c r="CL39" s="103"/>
      <c r="CM39" s="103"/>
      <c r="CN39" s="100"/>
      <c r="CO39" s="100"/>
      <c r="CP39" s="100"/>
      <c r="CQ39" s="100"/>
      <c r="CR39" s="100"/>
      <c r="CS39" s="100"/>
      <c r="CT39" s="100"/>
      <c r="CU39" s="132">
        <v>40724</v>
      </c>
      <c r="CV39" s="100">
        <v>3200</v>
      </c>
      <c r="CW39" s="100">
        <v>120</v>
      </c>
      <c r="CX39" s="100" t="b">
        <v>1</v>
      </c>
      <c r="CY39" s="100"/>
      <c r="CZ39" s="100"/>
      <c r="DA39" s="100"/>
      <c r="DB39" s="100"/>
      <c r="DC39" s="100"/>
      <c r="DD39" s="100"/>
      <c r="DE39" s="100"/>
      <c r="DF39" s="155">
        <v>7900</v>
      </c>
      <c r="DG39" s="103"/>
      <c r="DH39" s="103"/>
      <c r="DI39" s="103"/>
      <c r="DJ39" s="103"/>
      <c r="DK39" s="103"/>
      <c r="DL39" s="164">
        <v>1</v>
      </c>
      <c r="DM39" s="164"/>
      <c r="DN39" s="164" t="s">
        <v>1750</v>
      </c>
      <c r="DO39" s="103"/>
      <c r="DP39" s="103"/>
      <c r="DQ39" s="103"/>
      <c r="DR39" s="103"/>
      <c r="DS39" s="103"/>
      <c r="DT39" s="103"/>
      <c r="DU39" s="103"/>
      <c r="DV39" s="164">
        <v>263</v>
      </c>
      <c r="DW39" s="100">
        <v>279</v>
      </c>
      <c r="DX39" s="100"/>
      <c r="DY39" s="100" t="b">
        <v>0</v>
      </c>
      <c r="DZ39" s="100" t="b">
        <v>0</v>
      </c>
      <c r="EA39" s="100">
        <v>1</v>
      </c>
      <c r="EB39" s="100"/>
      <c r="EC39" s="100" t="s">
        <v>1756</v>
      </c>
      <c r="ED39" s="103"/>
      <c r="EM39" s="112"/>
      <c r="EN39" s="112"/>
      <c r="EO39" s="193" t="s">
        <v>1752</v>
      </c>
      <c r="EP39" s="193">
        <v>22.6</v>
      </c>
      <c r="EQ39" t="b">
        <f t="shared" si="4"/>
        <v>0</v>
      </c>
    </row>
    <row r="40" spans="1:147" ht="15.95" customHeight="1" x14ac:dyDescent="0.25">
      <c r="A40" s="102" t="s">
        <v>58</v>
      </c>
      <c r="B40" s="156">
        <v>0.46298003196716309</v>
      </c>
      <c r="C40" s="102" t="s">
        <v>1469</v>
      </c>
      <c r="D40" s="102" t="s">
        <v>1469</v>
      </c>
      <c r="E40" s="102" t="s">
        <v>114</v>
      </c>
      <c r="F40" s="156" t="b">
        <v>0</v>
      </c>
      <c r="G40" s="157"/>
      <c r="H40" s="102"/>
      <c r="I40" s="102" t="s">
        <v>1710</v>
      </c>
      <c r="J40" s="102" t="s">
        <v>1711</v>
      </c>
      <c r="K40" s="102" t="s">
        <v>1712</v>
      </c>
      <c r="L40" s="102"/>
      <c r="M40" s="102"/>
      <c r="N40" s="157" t="s">
        <v>1713</v>
      </c>
      <c r="O40" s="102" t="s">
        <v>1422</v>
      </c>
      <c r="P40" s="158">
        <v>40697</v>
      </c>
      <c r="Q40" s="158">
        <v>40764.480879629627</v>
      </c>
      <c r="R40" s="158">
        <v>40787.577696759261</v>
      </c>
      <c r="S40" s="158">
        <v>40808.587962962964</v>
      </c>
      <c r="T40" s="158">
        <v>40830.636793981481</v>
      </c>
      <c r="U40" s="159"/>
      <c r="V40" s="156">
        <v>1567</v>
      </c>
      <c r="W40" s="102" t="s">
        <v>68</v>
      </c>
      <c r="X40" s="156">
        <v>3529</v>
      </c>
      <c r="Y40" s="159"/>
      <c r="Z40" s="156">
        <v>157</v>
      </c>
      <c r="AA40" s="156">
        <v>0</v>
      </c>
      <c r="AB40" s="159"/>
      <c r="AC40" s="156">
        <v>3691</v>
      </c>
      <c r="AD40" s="159"/>
      <c r="AE40" s="156">
        <v>173</v>
      </c>
      <c r="AF40" s="156">
        <v>12596</v>
      </c>
      <c r="AG40" s="159"/>
      <c r="AH40" s="100"/>
      <c r="AI40" s="100"/>
      <c r="AJ40" s="100"/>
      <c r="AK40" s="100"/>
      <c r="AL40" s="132">
        <v>40700</v>
      </c>
      <c r="AM40" s="99">
        <v>1567</v>
      </c>
      <c r="AN40" s="170">
        <v>0.23499999999999999</v>
      </c>
      <c r="AO40" s="99">
        <v>11948</v>
      </c>
      <c r="AP40" s="99">
        <v>3532</v>
      </c>
      <c r="AQ40" s="100">
        <v>774</v>
      </c>
      <c r="AR40" s="100">
        <v>157</v>
      </c>
      <c r="AS40" s="142">
        <f t="shared" si="2"/>
        <v>0.23499999999999999</v>
      </c>
      <c r="AT40" s="100"/>
      <c r="AU40" s="100"/>
      <c r="AV40" s="100"/>
      <c r="AW40" s="100"/>
      <c r="AX40" s="100"/>
      <c r="AY40" s="100"/>
      <c r="AZ40" s="100"/>
      <c r="BA40" s="100"/>
      <c r="BB40" s="132">
        <v>40808</v>
      </c>
      <c r="BC40" s="100">
        <v>1567</v>
      </c>
      <c r="BD40" s="100" t="s">
        <v>1386</v>
      </c>
      <c r="BE40" s="98">
        <v>5.0000000000000001E-3</v>
      </c>
      <c r="BF40" s="100" t="s">
        <v>1389</v>
      </c>
      <c r="BG40" s="154">
        <f>20.5%-0.5%</f>
        <v>0.19999999999999998</v>
      </c>
      <c r="BH40" s="100" t="s">
        <v>1394</v>
      </c>
      <c r="BI40" s="154">
        <f>25.3%-20.5%</f>
        <v>4.8000000000000015E-2</v>
      </c>
      <c r="BJ40" s="103"/>
      <c r="BK40" s="143"/>
      <c r="BL40" s="103"/>
      <c r="BM40" s="143"/>
      <c r="BN40" s="143"/>
      <c r="BO40" s="143"/>
      <c r="BP40" s="143"/>
      <c r="BQ40" s="143"/>
      <c r="BR40" s="143"/>
      <c r="BS40" s="143"/>
      <c r="BT40" s="143"/>
      <c r="BU40" s="143"/>
      <c r="BV40" s="143"/>
      <c r="BW40" s="143"/>
      <c r="BX40" s="98">
        <v>0.253</v>
      </c>
      <c r="BY40" s="99">
        <v>11948</v>
      </c>
      <c r="BZ40" s="99">
        <v>3694</v>
      </c>
      <c r="CA40" s="99">
        <v>774</v>
      </c>
      <c r="CB40" s="99">
        <v>173</v>
      </c>
      <c r="CC40" s="98">
        <f t="shared" si="3"/>
        <v>0.253</v>
      </c>
      <c r="CD40" s="132">
        <v>40697</v>
      </c>
      <c r="CE40" s="100" t="b">
        <v>1</v>
      </c>
      <c r="CF40" s="100" t="b">
        <v>1</v>
      </c>
      <c r="CG40" s="100" t="s">
        <v>1422</v>
      </c>
      <c r="CH40" s="100">
        <v>1665</v>
      </c>
      <c r="CI40" s="100">
        <v>430</v>
      </c>
      <c r="CJ40" s="100" t="b">
        <v>1</v>
      </c>
      <c r="CK40" s="100">
        <v>1567</v>
      </c>
      <c r="CL40" s="103"/>
      <c r="CM40" s="103"/>
      <c r="CN40" s="100"/>
      <c r="CO40" s="100"/>
      <c r="CP40" s="100"/>
      <c r="CQ40" s="100"/>
      <c r="CR40" s="100"/>
      <c r="CS40" s="100"/>
      <c r="CT40" s="100"/>
      <c r="CU40" s="132">
        <v>40795</v>
      </c>
      <c r="CV40" s="100">
        <v>1763</v>
      </c>
      <c r="CW40" s="100">
        <v>100</v>
      </c>
      <c r="CX40" s="100" t="b">
        <v>1</v>
      </c>
      <c r="CY40" s="100"/>
      <c r="CZ40" s="100"/>
      <c r="DA40" s="100"/>
      <c r="DB40" s="100"/>
      <c r="DC40" s="100"/>
      <c r="DD40" s="100"/>
      <c r="DE40" s="100"/>
      <c r="DF40" s="155">
        <v>9335</v>
      </c>
      <c r="DG40" s="100">
        <v>3530</v>
      </c>
      <c r="DH40" s="100">
        <v>157</v>
      </c>
      <c r="DI40" s="100"/>
      <c r="DJ40" s="100" t="b">
        <v>1</v>
      </c>
      <c r="DK40" s="100" t="b">
        <v>0</v>
      </c>
      <c r="DL40" s="100">
        <v>1</v>
      </c>
      <c r="DM40" s="100"/>
      <c r="DN40" s="100" t="s">
        <v>1758</v>
      </c>
      <c r="DO40" s="103"/>
      <c r="DP40" s="100"/>
      <c r="DQ40" s="100"/>
      <c r="DR40" s="100"/>
      <c r="DS40" s="100"/>
      <c r="DT40" s="100"/>
      <c r="DU40" s="100"/>
      <c r="DV40" s="100">
        <v>3690</v>
      </c>
      <c r="DW40" s="100">
        <v>173</v>
      </c>
      <c r="DX40" s="100"/>
      <c r="DY40" s="100" t="b">
        <v>0</v>
      </c>
      <c r="DZ40" s="100" t="b">
        <v>0</v>
      </c>
      <c r="EA40" s="100">
        <v>1</v>
      </c>
      <c r="EB40" s="100"/>
      <c r="EC40" s="111" t="s">
        <v>1759</v>
      </c>
      <c r="ED40" s="103"/>
      <c r="EM40" s="112"/>
      <c r="EN40" s="112"/>
      <c r="EO40" s="193" t="s">
        <v>1757</v>
      </c>
      <c r="EP40" s="193">
        <v>25.28</v>
      </c>
      <c r="EQ40" t="b">
        <f t="shared" si="4"/>
        <v>0</v>
      </c>
    </row>
    <row r="41" spans="1:147" ht="15.95" customHeight="1" x14ac:dyDescent="0.25">
      <c r="A41" s="102" t="s">
        <v>58</v>
      </c>
      <c r="B41" s="156">
        <v>0.77755945920944214</v>
      </c>
      <c r="C41" s="102" t="s">
        <v>1438</v>
      </c>
      <c r="D41" s="102" t="s">
        <v>1438</v>
      </c>
      <c r="E41" s="102" t="s">
        <v>114</v>
      </c>
      <c r="F41" s="156" t="b">
        <v>0</v>
      </c>
      <c r="G41" s="157"/>
      <c r="H41" s="102"/>
      <c r="I41" s="102" t="s">
        <v>1761</v>
      </c>
      <c r="J41" s="102" t="s">
        <v>1762</v>
      </c>
      <c r="K41" s="102" t="s">
        <v>1755</v>
      </c>
      <c r="L41" s="102"/>
      <c r="M41" s="102"/>
      <c r="N41" s="157" t="s">
        <v>136</v>
      </c>
      <c r="O41" s="102" t="s">
        <v>1422</v>
      </c>
      <c r="P41" s="158">
        <v>40686</v>
      </c>
      <c r="Q41" s="158">
        <v>40751.690127314818</v>
      </c>
      <c r="R41" s="158">
        <v>40780.554837962962</v>
      </c>
      <c r="S41" s="158">
        <v>40820.662824074076</v>
      </c>
      <c r="T41" s="158">
        <v>40822.560046296298</v>
      </c>
      <c r="U41" s="158">
        <v>40844</v>
      </c>
      <c r="V41" s="156">
        <v>1308</v>
      </c>
      <c r="W41" s="102" t="s">
        <v>68</v>
      </c>
      <c r="X41" s="156">
        <v>185</v>
      </c>
      <c r="Y41" s="159"/>
      <c r="Z41" s="156">
        <v>256</v>
      </c>
      <c r="AA41" s="156">
        <v>0</v>
      </c>
      <c r="AB41" s="159"/>
      <c r="AC41" s="156">
        <v>193</v>
      </c>
      <c r="AD41" s="159"/>
      <c r="AE41" s="156">
        <v>210</v>
      </c>
      <c r="AF41" s="156">
        <v>660</v>
      </c>
      <c r="AG41" s="156">
        <v>3500</v>
      </c>
      <c r="AH41" s="100"/>
      <c r="AI41" s="100"/>
      <c r="AJ41" s="100"/>
      <c r="AK41" s="100"/>
      <c r="AL41" s="132">
        <v>40735</v>
      </c>
      <c r="AM41" s="100">
        <v>1308</v>
      </c>
      <c r="AN41" s="98">
        <v>0.38900000000000001</v>
      </c>
      <c r="AO41" s="99">
        <v>4314</v>
      </c>
      <c r="AP41" s="100">
        <v>186</v>
      </c>
      <c r="AQ41" s="100">
        <v>527</v>
      </c>
      <c r="AR41" s="100">
        <v>256</v>
      </c>
      <c r="AS41" s="133">
        <f t="shared" ref="AS41:AS75" si="5">AN41</f>
        <v>0.38900000000000001</v>
      </c>
      <c r="AT41" s="100"/>
      <c r="AU41" s="100"/>
      <c r="AV41" s="100"/>
      <c r="AW41" s="100"/>
      <c r="AX41" s="100"/>
      <c r="AY41" s="100"/>
      <c r="AZ41" s="100"/>
      <c r="BA41" s="100"/>
      <c r="BB41" s="132">
        <v>40808</v>
      </c>
      <c r="BC41" s="100">
        <v>1308</v>
      </c>
      <c r="BD41" s="100" t="s">
        <v>1387</v>
      </c>
      <c r="BE41" s="98">
        <v>2.1000000000000001E-2</v>
      </c>
      <c r="BF41" s="100" t="s">
        <v>1386</v>
      </c>
      <c r="BG41" s="154">
        <f>8.2%-2.1%</f>
        <v>6.0999999999999985E-2</v>
      </c>
      <c r="BH41" s="100" t="s">
        <v>1389</v>
      </c>
      <c r="BI41" s="154">
        <f>17.8%-8.2%</f>
        <v>9.600000000000003E-2</v>
      </c>
      <c r="BJ41" s="100" t="s">
        <v>1393</v>
      </c>
      <c r="BK41" s="98">
        <f>20.4%-17.8%</f>
        <v>2.5999999999999968E-2</v>
      </c>
      <c r="BL41" s="100" t="s">
        <v>1394</v>
      </c>
      <c r="BM41" s="98">
        <f>24.1%-20.4%</f>
        <v>3.7000000000000033E-2</v>
      </c>
      <c r="BN41" s="98" t="s">
        <v>1397</v>
      </c>
      <c r="BO41" s="98">
        <f>37.2%-24.1%</f>
        <v>0.13100000000000003</v>
      </c>
      <c r="BP41" s="143"/>
      <c r="BQ41" s="143"/>
      <c r="BR41" s="143"/>
      <c r="BS41" s="143"/>
      <c r="BT41" s="143"/>
      <c r="BU41" s="143"/>
      <c r="BV41" s="143"/>
      <c r="BW41" s="143"/>
      <c r="BX41" s="98">
        <v>0.372</v>
      </c>
      <c r="BY41" s="99">
        <v>1669</v>
      </c>
      <c r="BZ41" s="99">
        <v>194</v>
      </c>
      <c r="CA41" s="99">
        <v>527</v>
      </c>
      <c r="CB41" s="99">
        <v>210</v>
      </c>
      <c r="CC41" s="98">
        <f t="shared" si="3"/>
        <v>0.372</v>
      </c>
      <c r="CD41" s="132">
        <v>40686</v>
      </c>
      <c r="CE41" s="100" t="b">
        <v>1</v>
      </c>
      <c r="CF41" s="100" t="b">
        <v>1</v>
      </c>
      <c r="CG41" s="100" t="s">
        <v>1491</v>
      </c>
      <c r="CH41" s="100">
        <v>2070</v>
      </c>
      <c r="CI41" s="100">
        <v>450</v>
      </c>
      <c r="CJ41" s="103"/>
      <c r="CK41" s="100">
        <v>1307.5</v>
      </c>
      <c r="CL41" s="100">
        <v>7722</v>
      </c>
      <c r="CM41" s="100">
        <v>281</v>
      </c>
      <c r="CN41" s="100"/>
      <c r="CO41" s="100"/>
      <c r="CP41" s="100"/>
      <c r="CQ41" s="100"/>
      <c r="CR41" s="100"/>
      <c r="CS41" s="100"/>
      <c r="CT41" s="100"/>
      <c r="CU41" s="132">
        <v>40770</v>
      </c>
      <c r="CV41" s="100">
        <v>1380</v>
      </c>
      <c r="CW41" s="100">
        <v>41</v>
      </c>
      <c r="CX41" s="103"/>
      <c r="CY41" s="100"/>
      <c r="CZ41" s="100"/>
      <c r="DA41" s="100"/>
      <c r="DB41" s="100"/>
      <c r="DC41" s="100"/>
      <c r="DD41" s="100"/>
      <c r="DE41" s="100"/>
      <c r="DF41" s="155">
        <v>17965</v>
      </c>
      <c r="DG41" s="100">
        <v>186</v>
      </c>
      <c r="DH41" s="100">
        <v>256</v>
      </c>
      <c r="DI41" s="100"/>
      <c r="DJ41" s="100" t="b">
        <v>0</v>
      </c>
      <c r="DK41" s="100" t="b">
        <v>0</v>
      </c>
      <c r="DL41" s="100">
        <v>0</v>
      </c>
      <c r="DM41" s="100"/>
      <c r="DN41" s="103"/>
      <c r="DO41" s="103"/>
      <c r="DP41" s="100"/>
      <c r="DQ41" s="100"/>
      <c r="DR41" s="100"/>
      <c r="DS41" s="100"/>
      <c r="DT41" s="100"/>
      <c r="DU41" s="100"/>
      <c r="DV41" s="100">
        <v>193</v>
      </c>
      <c r="DW41" s="100">
        <v>210</v>
      </c>
      <c r="DX41" s="100"/>
      <c r="DY41" s="100" t="b">
        <v>0</v>
      </c>
      <c r="DZ41" s="100" t="b">
        <v>0</v>
      </c>
      <c r="EA41" s="100">
        <v>1</v>
      </c>
      <c r="EB41" s="100"/>
      <c r="EC41" s="100" t="s">
        <v>1763</v>
      </c>
      <c r="ED41" s="103"/>
      <c r="EM41" s="112"/>
      <c r="EN41" s="112"/>
      <c r="EO41" s="193" t="s">
        <v>1760</v>
      </c>
      <c r="EP41" s="193">
        <v>37.18</v>
      </c>
      <c r="EQ41" t="b">
        <f t="shared" si="4"/>
        <v>0</v>
      </c>
    </row>
    <row r="42" spans="1:147" ht="15.95" customHeight="1" x14ac:dyDescent="0.25">
      <c r="A42" s="102" t="s">
        <v>58</v>
      </c>
      <c r="B42" s="156">
        <v>0.99888604879379272</v>
      </c>
      <c r="C42" s="102" t="s">
        <v>1450</v>
      </c>
      <c r="D42" s="102" t="s">
        <v>1450</v>
      </c>
      <c r="E42" s="102" t="s">
        <v>114</v>
      </c>
      <c r="F42" s="156" t="b">
        <v>0</v>
      </c>
      <c r="G42" s="157"/>
      <c r="H42" s="102"/>
      <c r="I42" s="102" t="s">
        <v>83</v>
      </c>
      <c r="J42" s="102" t="s">
        <v>76</v>
      </c>
      <c r="K42" s="102" t="s">
        <v>124</v>
      </c>
      <c r="L42" s="102"/>
      <c r="M42" s="102"/>
      <c r="N42" s="157" t="s">
        <v>122</v>
      </c>
      <c r="O42" s="102" t="s">
        <v>1422</v>
      </c>
      <c r="P42" s="158">
        <v>39243</v>
      </c>
      <c r="Q42" s="158">
        <v>40849.594895833332</v>
      </c>
      <c r="R42" s="158">
        <v>40855.434849537036</v>
      </c>
      <c r="S42" s="158">
        <v>40858.652638888889</v>
      </c>
      <c r="T42" s="158">
        <v>40863.510520833333</v>
      </c>
      <c r="U42" s="158">
        <v>40927</v>
      </c>
      <c r="V42" s="156">
        <v>1000</v>
      </c>
      <c r="W42" s="102" t="s">
        <v>68</v>
      </c>
      <c r="X42" s="156">
        <v>618</v>
      </c>
      <c r="Y42" s="159"/>
      <c r="Z42" s="156">
        <v>199</v>
      </c>
      <c r="AA42" s="156">
        <v>0</v>
      </c>
      <c r="AB42" s="159"/>
      <c r="AC42" s="156">
        <v>618</v>
      </c>
      <c r="AD42" s="159"/>
      <c r="AE42" s="156">
        <v>199</v>
      </c>
      <c r="AF42" s="156">
        <v>2109</v>
      </c>
      <c r="AG42" s="156">
        <v>2000</v>
      </c>
      <c r="AH42" s="100"/>
      <c r="AI42" s="100"/>
      <c r="AJ42" s="100"/>
      <c r="AK42" s="100"/>
      <c r="AL42" s="132">
        <v>40836</v>
      </c>
      <c r="AM42" s="100">
        <v>1000</v>
      </c>
      <c r="AN42" s="98">
        <v>0.22700000000000001</v>
      </c>
      <c r="AO42" s="99">
        <v>6073</v>
      </c>
      <c r="AP42" s="100">
        <v>619</v>
      </c>
      <c r="AQ42" s="100">
        <v>760</v>
      </c>
      <c r="AR42" s="100">
        <v>199</v>
      </c>
      <c r="AS42" s="133">
        <f t="shared" si="5"/>
        <v>0.22700000000000001</v>
      </c>
      <c r="AT42" s="100"/>
      <c r="AU42" s="100"/>
      <c r="AV42" s="100"/>
      <c r="AW42" s="100"/>
      <c r="AX42" s="100"/>
      <c r="AY42" s="100"/>
      <c r="AZ42" s="100"/>
      <c r="BA42" s="100"/>
      <c r="BB42" s="132">
        <v>40836</v>
      </c>
      <c r="BC42" s="100">
        <v>1000</v>
      </c>
      <c r="BD42" s="100" t="s">
        <v>1387</v>
      </c>
      <c r="BE42" s="98">
        <v>0.04</v>
      </c>
      <c r="BF42" s="100" t="s">
        <v>1395</v>
      </c>
      <c r="BG42" s="154">
        <f>11.7%-4%</f>
        <v>7.6999999999999985E-2</v>
      </c>
      <c r="BH42" s="100" t="s">
        <v>1386</v>
      </c>
      <c r="BI42" s="154">
        <f>17.3%-11.7%</f>
        <v>5.6000000000000022E-2</v>
      </c>
      <c r="BJ42" s="100" t="s">
        <v>1389</v>
      </c>
      <c r="BK42" s="98">
        <f>22.7%-17.3%</f>
        <v>5.3999999999999965E-2</v>
      </c>
      <c r="BL42" s="103"/>
      <c r="BM42" s="143"/>
      <c r="BN42" s="143"/>
      <c r="BO42" s="143"/>
      <c r="BP42" s="143"/>
      <c r="BQ42" s="143"/>
      <c r="BR42" s="143"/>
      <c r="BS42" s="143"/>
      <c r="BT42" s="143"/>
      <c r="BU42" s="143"/>
      <c r="BV42" s="143"/>
      <c r="BW42" s="143"/>
      <c r="BX42" s="98">
        <v>0.22700000000000001</v>
      </c>
      <c r="BY42" s="99">
        <v>6073</v>
      </c>
      <c r="BZ42" s="99">
        <v>619</v>
      </c>
      <c r="CA42" s="99">
        <v>760</v>
      </c>
      <c r="CB42" s="99">
        <v>199</v>
      </c>
      <c r="CC42" s="98">
        <f t="shared" si="3"/>
        <v>0.22700000000000001</v>
      </c>
      <c r="CD42" s="132">
        <v>40705</v>
      </c>
      <c r="CE42" s="100" t="b">
        <v>1</v>
      </c>
      <c r="CF42" s="100" t="b">
        <v>0</v>
      </c>
      <c r="CG42" s="100" t="s">
        <v>1422</v>
      </c>
      <c r="CH42" s="100">
        <v>2235</v>
      </c>
      <c r="CI42" s="100">
        <v>400</v>
      </c>
      <c r="CJ42" s="103"/>
      <c r="CK42" s="100">
        <v>1000</v>
      </c>
      <c r="CL42" s="100">
        <v>2735</v>
      </c>
      <c r="CM42" s="100">
        <v>633</v>
      </c>
      <c r="CN42" s="100"/>
      <c r="CO42" s="100"/>
      <c r="CP42" s="100"/>
      <c r="CQ42" s="100"/>
      <c r="CR42" s="100"/>
      <c r="CS42" s="100"/>
      <c r="CT42" s="100"/>
      <c r="CU42" s="132">
        <v>40830</v>
      </c>
      <c r="CV42" s="100">
        <v>1135</v>
      </c>
      <c r="CW42" s="100">
        <v>143</v>
      </c>
      <c r="CX42" s="103"/>
      <c r="CY42" s="100"/>
      <c r="CZ42" s="100"/>
      <c r="DA42" s="100"/>
      <c r="DB42" s="100"/>
      <c r="DC42" s="100"/>
      <c r="DD42" s="100"/>
      <c r="DE42" s="100"/>
      <c r="DF42" s="155">
        <v>5500</v>
      </c>
      <c r="DG42" s="100">
        <v>618</v>
      </c>
      <c r="DH42" s="100">
        <v>199</v>
      </c>
      <c r="DI42" s="100"/>
      <c r="DJ42" s="100" t="b">
        <v>1</v>
      </c>
      <c r="DK42" s="100" t="b">
        <v>0</v>
      </c>
      <c r="DL42" s="100">
        <v>2</v>
      </c>
      <c r="DM42" s="100"/>
      <c r="DN42" s="100"/>
      <c r="DO42" s="100"/>
      <c r="DP42" s="100"/>
      <c r="DQ42" s="100" t="s">
        <v>1764</v>
      </c>
      <c r="DR42" s="100"/>
      <c r="DS42" s="100"/>
      <c r="DT42" s="100" t="s">
        <v>1765</v>
      </c>
      <c r="DU42" s="100" t="s">
        <v>1766</v>
      </c>
      <c r="DV42" s="100">
        <v>618</v>
      </c>
      <c r="DW42" s="100">
        <v>199</v>
      </c>
      <c r="DX42" s="100"/>
      <c r="DY42" s="100" t="b">
        <v>0</v>
      </c>
      <c r="DZ42" s="100" t="b">
        <v>0</v>
      </c>
      <c r="EA42" s="100">
        <v>0</v>
      </c>
      <c r="EB42" s="100"/>
      <c r="EC42" s="103"/>
      <c r="ED42" s="103"/>
      <c r="EM42" s="112"/>
      <c r="EN42" s="112"/>
      <c r="EO42" s="193" t="s">
        <v>1694</v>
      </c>
      <c r="EP42" s="193">
        <v>22.7</v>
      </c>
      <c r="EQ42" t="b">
        <f t="shared" si="4"/>
        <v>0</v>
      </c>
    </row>
    <row r="43" spans="1:147" ht="15.95" customHeight="1" x14ac:dyDescent="0.25">
      <c r="A43" s="102" t="s">
        <v>58</v>
      </c>
      <c r="B43" s="156">
        <v>0.62957108020782471</v>
      </c>
      <c r="C43" s="102" t="s">
        <v>1477</v>
      </c>
      <c r="D43" s="102" t="s">
        <v>1477</v>
      </c>
      <c r="E43" s="102" t="s">
        <v>114</v>
      </c>
      <c r="F43" s="156" t="b">
        <v>0</v>
      </c>
      <c r="G43" s="157"/>
      <c r="H43" s="102"/>
      <c r="I43" s="102" t="s">
        <v>1729</v>
      </c>
      <c r="J43" s="102" t="s">
        <v>1768</v>
      </c>
      <c r="K43" s="102" t="s">
        <v>1712</v>
      </c>
      <c r="L43" s="102"/>
      <c r="M43" s="102"/>
      <c r="N43" s="157" t="s">
        <v>1713</v>
      </c>
      <c r="O43" s="102" t="s">
        <v>1422</v>
      </c>
      <c r="P43" s="158">
        <v>40710</v>
      </c>
      <c r="Q43" s="158">
        <v>40764.489976851852</v>
      </c>
      <c r="R43" s="158">
        <v>40787.57775462963</v>
      </c>
      <c r="S43" s="158">
        <v>40806.684560185182</v>
      </c>
      <c r="T43" s="158">
        <v>40812.497974537036</v>
      </c>
      <c r="U43" s="158">
        <v>40855</v>
      </c>
      <c r="V43" s="156">
        <v>1278</v>
      </c>
      <c r="W43" s="102" t="s">
        <v>68</v>
      </c>
      <c r="X43" s="156">
        <v>4720</v>
      </c>
      <c r="Y43" s="159"/>
      <c r="Z43" s="156">
        <v>296</v>
      </c>
      <c r="AA43" s="156">
        <v>0</v>
      </c>
      <c r="AB43" s="159"/>
      <c r="AC43" s="156">
        <v>5363</v>
      </c>
      <c r="AD43" s="159"/>
      <c r="AE43" s="156">
        <v>363</v>
      </c>
      <c r="AF43" s="156">
        <v>18303</v>
      </c>
      <c r="AG43" s="156">
        <v>3500</v>
      </c>
      <c r="AH43" s="100"/>
      <c r="AI43" s="100"/>
      <c r="AJ43" s="100"/>
      <c r="AK43" s="100"/>
      <c r="AL43" s="132">
        <v>40721</v>
      </c>
      <c r="AM43" s="100">
        <v>1278</v>
      </c>
      <c r="AN43" s="133">
        <v>0.3</v>
      </c>
      <c r="AO43" s="99">
        <v>15259</v>
      </c>
      <c r="AP43" s="99">
        <v>4725</v>
      </c>
      <c r="AQ43" s="100">
        <v>1004</v>
      </c>
      <c r="AR43" s="100">
        <v>296</v>
      </c>
      <c r="AS43" s="133">
        <f t="shared" si="5"/>
        <v>0.3</v>
      </c>
      <c r="AT43" s="100"/>
      <c r="AU43" s="100"/>
      <c r="AV43" s="100"/>
      <c r="AW43" s="100"/>
      <c r="AX43" s="100"/>
      <c r="AY43" s="100"/>
      <c r="AZ43" s="100"/>
      <c r="BA43" s="100"/>
      <c r="BB43" s="132">
        <v>40806</v>
      </c>
      <c r="BC43" s="100">
        <v>1278</v>
      </c>
      <c r="BD43" s="100" t="s">
        <v>1387</v>
      </c>
      <c r="BE43" s="98">
        <v>6.5000000000000002E-2</v>
      </c>
      <c r="BF43" s="100" t="s">
        <v>1386</v>
      </c>
      <c r="BG43" s="154">
        <f>10.2%-6.5%</f>
        <v>3.6999999999999991E-2</v>
      </c>
      <c r="BH43" s="100" t="s">
        <v>1389</v>
      </c>
      <c r="BI43" s="154">
        <f>34.4%-10.2%</f>
        <v>0.24199999999999999</v>
      </c>
      <c r="BJ43" s="100" t="s">
        <v>1397</v>
      </c>
      <c r="BK43" s="98">
        <f>35.5%-34.4%</f>
        <v>1.100000000000001E-2</v>
      </c>
      <c r="BL43" s="103"/>
      <c r="BM43" s="143"/>
      <c r="BN43" s="143"/>
      <c r="BO43" s="143"/>
      <c r="BP43" s="143"/>
      <c r="BQ43" s="143"/>
      <c r="BR43" s="143"/>
      <c r="BS43" s="143"/>
      <c r="BT43" s="143"/>
      <c r="BU43" s="143"/>
      <c r="BV43" s="143"/>
      <c r="BW43" s="143"/>
      <c r="BX43" s="98">
        <v>0.35499999999999998</v>
      </c>
      <c r="BY43" s="99">
        <v>15438</v>
      </c>
      <c r="BZ43" s="99">
        <v>5368</v>
      </c>
      <c r="CA43" s="99">
        <v>1012</v>
      </c>
      <c r="CB43" s="99">
        <v>363</v>
      </c>
      <c r="CC43" s="98">
        <f t="shared" si="3"/>
        <v>0.35499999999999998</v>
      </c>
      <c r="CD43" s="132">
        <v>40710</v>
      </c>
      <c r="CE43" s="100" t="b">
        <v>1</v>
      </c>
      <c r="CF43" s="100" t="b">
        <v>1</v>
      </c>
      <c r="CG43" s="100" t="s">
        <v>1422</v>
      </c>
      <c r="CH43" s="100">
        <v>2760</v>
      </c>
      <c r="CI43" s="100">
        <v>880</v>
      </c>
      <c r="CJ43" s="100" t="b">
        <v>1</v>
      </c>
      <c r="CK43" s="100">
        <v>1278</v>
      </c>
      <c r="CL43" s="103"/>
      <c r="CM43" s="103"/>
      <c r="CN43" s="100"/>
      <c r="CO43" s="100"/>
      <c r="CP43" s="100"/>
      <c r="CQ43" s="100"/>
      <c r="CR43" s="100"/>
      <c r="CS43" s="100"/>
      <c r="CT43" s="100"/>
      <c r="CU43" s="132">
        <v>40799</v>
      </c>
      <c r="CV43" s="100">
        <v>2012</v>
      </c>
      <c r="CW43" s="100">
        <v>76</v>
      </c>
      <c r="CX43" s="100" t="b">
        <v>1</v>
      </c>
      <c r="CY43" s="100"/>
      <c r="CZ43" s="100"/>
      <c r="DA43" s="100"/>
      <c r="DB43" s="100"/>
      <c r="DC43" s="100"/>
      <c r="DD43" s="100"/>
      <c r="DE43" s="100"/>
      <c r="DF43" s="155">
        <v>7275</v>
      </c>
      <c r="DG43" s="100">
        <v>4720</v>
      </c>
      <c r="DH43" s="100">
        <v>296</v>
      </c>
      <c r="DI43" s="100"/>
      <c r="DJ43" s="100" t="b">
        <v>0</v>
      </c>
      <c r="DK43" s="100" t="b">
        <v>0</v>
      </c>
      <c r="DL43" s="100">
        <v>2</v>
      </c>
      <c r="DM43" s="100"/>
      <c r="DN43" s="100" t="s">
        <v>1769</v>
      </c>
      <c r="DO43" s="100" t="s">
        <v>1770</v>
      </c>
      <c r="DP43" s="100"/>
      <c r="DQ43" s="100"/>
      <c r="DR43" s="100"/>
      <c r="DS43" s="100"/>
      <c r="DT43" s="100"/>
      <c r="DU43" s="100"/>
      <c r="DV43" s="100">
        <v>5360</v>
      </c>
      <c r="DW43" s="100">
        <v>363</v>
      </c>
      <c r="DX43" s="100"/>
      <c r="DY43" s="100" t="b">
        <v>0</v>
      </c>
      <c r="DZ43" s="100" t="b">
        <v>0</v>
      </c>
      <c r="EA43" s="100">
        <v>0</v>
      </c>
      <c r="EB43" s="100"/>
      <c r="EC43" s="103"/>
      <c r="ED43" s="103"/>
      <c r="EM43" s="112"/>
      <c r="EN43" s="112"/>
      <c r="EO43" s="193" t="s">
        <v>1767</v>
      </c>
      <c r="EP43" s="193">
        <v>35.51</v>
      </c>
      <c r="EQ43" t="b">
        <f t="shared" si="4"/>
        <v>0</v>
      </c>
    </row>
    <row r="44" spans="1:147" ht="15.95" customHeight="1" x14ac:dyDescent="0.25">
      <c r="A44" s="102" t="s">
        <v>58</v>
      </c>
      <c r="B44" s="156">
        <v>0.95246011018753052</v>
      </c>
      <c r="C44" s="102" t="s">
        <v>1454</v>
      </c>
      <c r="D44" s="102" t="s">
        <v>1454</v>
      </c>
      <c r="E44" s="102" t="s">
        <v>114</v>
      </c>
      <c r="F44" s="156" t="b">
        <v>0</v>
      </c>
      <c r="G44" s="157"/>
      <c r="H44" s="102"/>
      <c r="I44" s="102" t="s">
        <v>1772</v>
      </c>
      <c r="J44" s="102" t="s">
        <v>1773</v>
      </c>
      <c r="K44" s="102" t="s">
        <v>115</v>
      </c>
      <c r="L44" s="102"/>
      <c r="M44" s="102"/>
      <c r="N44" s="157" t="s">
        <v>119</v>
      </c>
      <c r="O44" s="102" t="s">
        <v>1422</v>
      </c>
      <c r="P44" s="158">
        <v>40723</v>
      </c>
      <c r="Q44" s="158">
        <v>40742.469629629632</v>
      </c>
      <c r="R44" s="158">
        <v>40756.648842592593</v>
      </c>
      <c r="S44" s="158">
        <v>40772.36855324074</v>
      </c>
      <c r="T44" s="158">
        <v>40942.664629629631</v>
      </c>
      <c r="U44" s="158">
        <v>40844</v>
      </c>
      <c r="V44" s="156">
        <v>1464</v>
      </c>
      <c r="W44" s="102" t="s">
        <v>68</v>
      </c>
      <c r="X44" s="156">
        <v>-539</v>
      </c>
      <c r="Y44" s="159"/>
      <c r="Z44" s="156">
        <v>212</v>
      </c>
      <c r="AA44" s="156">
        <v>0</v>
      </c>
      <c r="AB44" s="159"/>
      <c r="AC44" s="156">
        <v>0</v>
      </c>
      <c r="AD44" s="159"/>
      <c r="AE44" s="156">
        <v>0</v>
      </c>
      <c r="AF44" s="156">
        <v>0</v>
      </c>
      <c r="AG44" s="156">
        <v>2000</v>
      </c>
      <c r="AH44" s="100"/>
      <c r="AI44" s="100"/>
      <c r="AJ44" s="100"/>
      <c r="AK44" s="100"/>
      <c r="AL44" s="132">
        <v>40739</v>
      </c>
      <c r="AM44" s="100">
        <v>1440</v>
      </c>
      <c r="AN44" s="98">
        <v>0.20300000000000001</v>
      </c>
      <c r="AO44" s="99">
        <v>6412</v>
      </c>
      <c r="AP44" s="100">
        <v>-540</v>
      </c>
      <c r="AQ44" s="100">
        <v>732</v>
      </c>
      <c r="AR44" s="100">
        <v>212</v>
      </c>
      <c r="AS44" s="133">
        <f t="shared" si="5"/>
        <v>0.20300000000000001</v>
      </c>
      <c r="AT44" s="100"/>
      <c r="AU44" s="100"/>
      <c r="AV44" s="100"/>
      <c r="AW44" s="100"/>
      <c r="AX44" s="100"/>
      <c r="AY44" s="100"/>
      <c r="AZ44" s="100"/>
      <c r="BA44" s="100"/>
      <c r="BB44" s="132">
        <v>40758</v>
      </c>
      <c r="BC44" s="100">
        <v>1440</v>
      </c>
      <c r="BD44" s="100" t="s">
        <v>1387</v>
      </c>
      <c r="BE44" s="98">
        <v>2.3E-2</v>
      </c>
      <c r="BF44" s="100" t="s">
        <v>1386</v>
      </c>
      <c r="BG44" s="154">
        <f>4.1%-2.3%</f>
        <v>1.7999999999999995E-2</v>
      </c>
      <c r="BH44" s="100" t="s">
        <v>1386</v>
      </c>
      <c r="BI44" s="154">
        <f>8.7%-4.1%</f>
        <v>4.5999999999999999E-2</v>
      </c>
      <c r="BJ44" s="100" t="s">
        <v>1393</v>
      </c>
      <c r="BK44" s="98">
        <f>19.3%-8.7%</f>
        <v>0.10600000000000001</v>
      </c>
      <c r="BL44" s="100" t="s">
        <v>1394</v>
      </c>
      <c r="BM44" s="98">
        <f>22.3%-19.3%</f>
        <v>0.03</v>
      </c>
      <c r="BN44" s="143"/>
      <c r="BO44" s="143"/>
      <c r="BP44" s="143"/>
      <c r="BQ44" s="143"/>
      <c r="BR44" s="143"/>
      <c r="BS44" s="143"/>
      <c r="BT44" s="143"/>
      <c r="BU44" s="143"/>
      <c r="BV44" s="143"/>
      <c r="BW44" s="143"/>
      <c r="BX44" s="98">
        <v>0.223</v>
      </c>
      <c r="BY44" s="99">
        <v>6412</v>
      </c>
      <c r="BZ44" s="99">
        <v>-445</v>
      </c>
      <c r="CA44" s="99">
        <v>732</v>
      </c>
      <c r="CB44" s="99">
        <v>227</v>
      </c>
      <c r="CC44" s="98">
        <f t="shared" si="3"/>
        <v>0.223</v>
      </c>
      <c r="CD44" s="132">
        <v>40723</v>
      </c>
      <c r="CE44" s="100" t="b">
        <v>1</v>
      </c>
      <c r="CF44" s="100" t="b">
        <v>1</v>
      </c>
      <c r="CG44" s="100" t="s">
        <v>1422</v>
      </c>
      <c r="CH44" s="100">
        <v>2300</v>
      </c>
      <c r="CI44" s="100">
        <v>223</v>
      </c>
      <c r="CJ44" s="103"/>
      <c r="CK44" s="100">
        <v>1464</v>
      </c>
      <c r="CL44" s="100">
        <v>6538</v>
      </c>
      <c r="CM44" s="100">
        <v>619</v>
      </c>
      <c r="CN44" s="100"/>
      <c r="CO44" s="100"/>
      <c r="CP44" s="100"/>
      <c r="CQ44" s="100"/>
      <c r="CR44" s="100"/>
      <c r="CS44" s="100"/>
      <c r="CT44" s="100"/>
      <c r="CU44" s="132">
        <v>40756</v>
      </c>
      <c r="CV44" s="100">
        <v>1849</v>
      </c>
      <c r="CW44" s="164">
        <v>51</v>
      </c>
      <c r="CX44" s="164" t="b">
        <v>1</v>
      </c>
      <c r="CY44" s="100"/>
      <c r="CZ44" s="100"/>
      <c r="DA44" s="100"/>
      <c r="DB44" s="100"/>
      <c r="DC44" s="100"/>
      <c r="DD44" s="100"/>
      <c r="DE44" s="100"/>
      <c r="DF44" s="155">
        <v>5271</v>
      </c>
      <c r="DG44" s="100">
        <v>-540</v>
      </c>
      <c r="DH44" s="100">
        <v>212</v>
      </c>
      <c r="DI44" s="100"/>
      <c r="DJ44" s="100" t="b">
        <v>0</v>
      </c>
      <c r="DK44" s="100" t="b">
        <v>0</v>
      </c>
      <c r="DL44" s="100">
        <v>0</v>
      </c>
      <c r="DM44" s="100"/>
      <c r="DN44" s="103"/>
      <c r="DO44" s="103"/>
      <c r="DP44" s="100"/>
      <c r="DQ44" s="100"/>
      <c r="DR44" s="100"/>
      <c r="DS44" s="100"/>
      <c r="DT44" s="100"/>
      <c r="DU44" s="100"/>
      <c r="DV44" s="100">
        <v>-445</v>
      </c>
      <c r="DW44" s="100">
        <v>227</v>
      </c>
      <c r="DX44" s="100"/>
      <c r="DY44" s="164" t="b">
        <v>0</v>
      </c>
      <c r="DZ44" s="164" t="b">
        <v>0</v>
      </c>
      <c r="EA44" s="100">
        <v>0</v>
      </c>
      <c r="EB44" s="100"/>
      <c r="EC44" s="103"/>
      <c r="ED44" s="103"/>
      <c r="EM44" s="112"/>
      <c r="EN44" s="112"/>
      <c r="EO44" s="193" t="s">
        <v>1771</v>
      </c>
      <c r="EP44" s="193">
        <v>22.34</v>
      </c>
      <c r="EQ44" t="b">
        <f t="shared" si="4"/>
        <v>0</v>
      </c>
    </row>
    <row r="45" spans="1:147" s="214" customFormat="1" ht="15.95" customHeight="1" x14ac:dyDescent="0.25">
      <c r="A45" s="224" t="s">
        <v>58</v>
      </c>
      <c r="B45" s="225">
        <v>0.54768717288970947</v>
      </c>
      <c r="C45" s="224" t="s">
        <v>1458</v>
      </c>
      <c r="D45" s="224" t="s">
        <v>1458</v>
      </c>
      <c r="E45" s="224" t="s">
        <v>114</v>
      </c>
      <c r="F45" s="225" t="b">
        <v>0</v>
      </c>
      <c r="G45" s="224"/>
      <c r="H45" s="224"/>
      <c r="I45" s="224" t="s">
        <v>1775</v>
      </c>
      <c r="J45" s="224" t="s">
        <v>1776</v>
      </c>
      <c r="K45" s="224" t="s">
        <v>104</v>
      </c>
      <c r="L45" s="224"/>
      <c r="M45" s="224"/>
      <c r="N45" s="224" t="s">
        <v>120</v>
      </c>
      <c r="O45" s="224" t="s">
        <v>1422</v>
      </c>
      <c r="P45" s="226">
        <v>40856</v>
      </c>
      <c r="Q45" s="226">
        <v>40875.572280092594</v>
      </c>
      <c r="R45" s="226">
        <v>40876.624421296299</v>
      </c>
      <c r="S45" s="226">
        <v>40898.389120370368</v>
      </c>
      <c r="T45" s="226">
        <v>40941.486111111109</v>
      </c>
      <c r="U45" s="226">
        <v>40932</v>
      </c>
      <c r="V45" s="225">
        <v>2120</v>
      </c>
      <c r="W45" s="224" t="s">
        <v>68</v>
      </c>
      <c r="X45" s="225">
        <v>319</v>
      </c>
      <c r="Y45" s="227"/>
      <c r="Z45" s="225">
        <v>367</v>
      </c>
      <c r="AA45" s="225">
        <v>0</v>
      </c>
      <c r="AB45" s="227"/>
      <c r="AC45" s="225">
        <v>335</v>
      </c>
      <c r="AD45" s="227"/>
      <c r="AE45" s="225">
        <v>376</v>
      </c>
      <c r="AF45" s="225">
        <v>1144</v>
      </c>
      <c r="AG45" s="225">
        <v>2500</v>
      </c>
      <c r="AH45" s="209"/>
      <c r="AI45" s="209"/>
      <c r="AJ45" s="209"/>
      <c r="AK45" s="209"/>
      <c r="AL45" s="210">
        <v>40870</v>
      </c>
      <c r="AM45" s="209">
        <v>2120</v>
      </c>
      <c r="AN45" s="212">
        <v>0.27400000000000002</v>
      </c>
      <c r="AO45" s="209">
        <v>7423</v>
      </c>
      <c r="AP45" s="209">
        <v>299</v>
      </c>
      <c r="AQ45" s="209">
        <v>1076</v>
      </c>
      <c r="AR45" s="209">
        <v>353</v>
      </c>
      <c r="AS45" s="211">
        <f t="shared" si="5"/>
        <v>0.27400000000000002</v>
      </c>
      <c r="AT45" s="209"/>
      <c r="AU45" s="209"/>
      <c r="AV45" s="209"/>
      <c r="AW45" s="209"/>
      <c r="AX45" s="209"/>
      <c r="AY45" s="209"/>
      <c r="AZ45" s="209"/>
      <c r="BA45" s="209"/>
      <c r="BB45" s="210">
        <v>40892</v>
      </c>
      <c r="BC45" s="209">
        <v>2120</v>
      </c>
      <c r="BD45" s="209" t="s">
        <v>1389</v>
      </c>
      <c r="BE45" s="212">
        <v>9.4E-2</v>
      </c>
      <c r="BF45" s="209" t="s">
        <v>1393</v>
      </c>
      <c r="BG45" s="228">
        <f>20.4%-9.4%</f>
        <v>0.10999999999999999</v>
      </c>
      <c r="BH45" s="209" t="s">
        <v>1394</v>
      </c>
      <c r="BI45" s="228">
        <f>29.1%-20.4%</f>
        <v>8.700000000000005E-2</v>
      </c>
      <c r="BJ45" s="209"/>
      <c r="BK45" s="212"/>
      <c r="BL45" s="209"/>
      <c r="BM45" s="212"/>
      <c r="BN45" s="212"/>
      <c r="BO45" s="212"/>
      <c r="BP45" s="212"/>
      <c r="BQ45" s="212"/>
      <c r="BR45" s="212"/>
      <c r="BS45" s="212"/>
      <c r="BT45" s="212"/>
      <c r="BU45" s="212"/>
      <c r="BV45" s="212"/>
      <c r="BW45" s="212"/>
      <c r="BX45" s="212">
        <v>0.29099999999999998</v>
      </c>
      <c r="BY45" s="213">
        <v>7423</v>
      </c>
      <c r="BZ45" s="213">
        <v>336</v>
      </c>
      <c r="CA45" s="213">
        <v>1076</v>
      </c>
      <c r="CB45" s="213">
        <v>376</v>
      </c>
      <c r="CC45" s="212">
        <f t="shared" si="3"/>
        <v>0.29099999999999998</v>
      </c>
      <c r="CD45" s="210">
        <v>40856</v>
      </c>
      <c r="CE45" s="209" t="b">
        <v>1</v>
      </c>
      <c r="CF45" s="209" t="b">
        <v>1</v>
      </c>
      <c r="CG45" s="209" t="s">
        <v>1422</v>
      </c>
      <c r="CH45" s="209">
        <v>2625</v>
      </c>
      <c r="CI45" s="209">
        <v>0</v>
      </c>
      <c r="CJ45" s="209"/>
      <c r="CK45" s="209">
        <v>2120</v>
      </c>
      <c r="CL45" s="209"/>
      <c r="CM45" s="209"/>
      <c r="CN45" s="209"/>
      <c r="CO45" s="209"/>
      <c r="CP45" s="209"/>
      <c r="CQ45" s="209"/>
      <c r="CR45" s="209"/>
      <c r="CS45" s="209"/>
      <c r="CT45" s="209"/>
      <c r="CU45" s="210">
        <v>40882</v>
      </c>
      <c r="CV45" s="209">
        <v>2340</v>
      </c>
      <c r="CW45" s="209">
        <v>52</v>
      </c>
      <c r="CX45" s="209" t="b">
        <v>1</v>
      </c>
      <c r="CY45" s="209"/>
      <c r="CZ45" s="209"/>
      <c r="DA45" s="209"/>
      <c r="DB45" s="209"/>
      <c r="DC45" s="209"/>
      <c r="DD45" s="209"/>
      <c r="DE45" s="209"/>
      <c r="DF45" s="229">
        <v>7575</v>
      </c>
      <c r="DG45" s="209">
        <v>320</v>
      </c>
      <c r="DH45" s="209">
        <v>367</v>
      </c>
      <c r="DI45" s="209"/>
      <c r="DJ45" s="209" t="b">
        <v>0</v>
      </c>
      <c r="DK45" s="209" t="b">
        <v>0</v>
      </c>
      <c r="DL45" s="209">
        <v>3</v>
      </c>
      <c r="DM45" s="209"/>
      <c r="DN45" s="209" t="s">
        <v>1777</v>
      </c>
      <c r="DO45" s="209" t="s">
        <v>1778</v>
      </c>
      <c r="DP45" s="209"/>
      <c r="DQ45" s="209" t="s">
        <v>1779</v>
      </c>
      <c r="DR45" s="209"/>
      <c r="DS45" s="209"/>
      <c r="DT45" s="209"/>
      <c r="DU45" s="209"/>
      <c r="DV45" s="209">
        <v>335</v>
      </c>
      <c r="DW45" s="209">
        <v>376</v>
      </c>
      <c r="DX45" s="209"/>
      <c r="DY45" s="209" t="b">
        <v>0</v>
      </c>
      <c r="DZ45" s="209" t="b">
        <v>0</v>
      </c>
      <c r="EA45" s="209">
        <v>0</v>
      </c>
      <c r="EB45" s="209"/>
      <c r="EC45" s="209"/>
      <c r="ED45" s="209"/>
      <c r="EM45" s="230"/>
      <c r="EN45" s="230"/>
      <c r="EO45" s="231" t="s">
        <v>1774</v>
      </c>
      <c r="EP45" s="231">
        <v>29.13</v>
      </c>
      <c r="EQ45" s="214" t="b">
        <f t="shared" si="4"/>
        <v>0</v>
      </c>
    </row>
    <row r="46" spans="1:147" ht="15.95" customHeight="1" x14ac:dyDescent="0.25">
      <c r="A46" s="102" t="s">
        <v>58</v>
      </c>
      <c r="B46" s="156">
        <v>0.52894675731658936</v>
      </c>
      <c r="C46" s="102" t="s">
        <v>1470</v>
      </c>
      <c r="D46" s="102" t="s">
        <v>1470</v>
      </c>
      <c r="E46" s="102" t="s">
        <v>114</v>
      </c>
      <c r="F46" s="156" t="b">
        <v>0</v>
      </c>
      <c r="G46" s="157"/>
      <c r="H46" s="102"/>
      <c r="I46" s="102" t="s">
        <v>81</v>
      </c>
      <c r="J46" s="102" t="s">
        <v>1781</v>
      </c>
      <c r="K46" s="102" t="s">
        <v>124</v>
      </c>
      <c r="L46" s="102"/>
      <c r="M46" s="102"/>
      <c r="N46" s="157" t="s">
        <v>143</v>
      </c>
      <c r="O46" s="102" t="s">
        <v>1422</v>
      </c>
      <c r="P46" s="158">
        <v>40730.354166666664</v>
      </c>
      <c r="Q46" s="158">
        <v>40828.720914351848</v>
      </c>
      <c r="R46" s="158">
        <v>40829.419166666667</v>
      </c>
      <c r="S46" s="158">
        <v>40864.537037037036</v>
      </c>
      <c r="T46" s="158">
        <v>40865.436585648145</v>
      </c>
      <c r="U46" s="158">
        <v>40933</v>
      </c>
      <c r="V46" s="156">
        <v>2050</v>
      </c>
      <c r="W46" s="102" t="s">
        <v>68</v>
      </c>
      <c r="X46" s="156">
        <v>0</v>
      </c>
      <c r="Y46" s="159"/>
      <c r="Z46" s="156">
        <v>0</v>
      </c>
      <c r="AA46" s="156">
        <v>0</v>
      </c>
      <c r="AB46" s="159"/>
      <c r="AC46" s="156">
        <v>3046</v>
      </c>
      <c r="AD46" s="159"/>
      <c r="AE46" s="156">
        <v>258</v>
      </c>
      <c r="AF46" s="156">
        <v>10397</v>
      </c>
      <c r="AG46" s="156">
        <v>3000</v>
      </c>
      <c r="AH46" s="100"/>
      <c r="AI46" s="100"/>
      <c r="AJ46" s="100"/>
      <c r="AK46" s="100"/>
      <c r="AL46" s="132">
        <v>40784</v>
      </c>
      <c r="AM46" s="100">
        <v>2071</v>
      </c>
      <c r="AN46" s="98">
        <v>0.309</v>
      </c>
      <c r="AO46" s="99">
        <v>12275</v>
      </c>
      <c r="AP46" s="100">
        <v>3049</v>
      </c>
      <c r="AQ46" s="100">
        <v>753</v>
      </c>
      <c r="AR46" s="100">
        <v>258</v>
      </c>
      <c r="AS46" s="133">
        <f t="shared" si="5"/>
        <v>0.309</v>
      </c>
      <c r="AT46" s="100"/>
      <c r="AU46" s="100"/>
      <c r="AV46" s="100"/>
      <c r="AW46" s="100"/>
      <c r="AX46" s="100"/>
      <c r="AY46" s="100"/>
      <c r="AZ46" s="100"/>
      <c r="BA46" s="100"/>
      <c r="BB46" s="132">
        <v>40784</v>
      </c>
      <c r="BC46" s="100">
        <v>2071</v>
      </c>
      <c r="BD46" s="100" t="s">
        <v>1387</v>
      </c>
      <c r="BE46" s="98">
        <v>5.8000000000000003E-2</v>
      </c>
      <c r="BF46" s="100" t="s">
        <v>1386</v>
      </c>
      <c r="BG46" s="154">
        <f>9.3%-5.8%</f>
        <v>3.5000000000000017E-2</v>
      </c>
      <c r="BH46" s="100" t="s">
        <v>1389</v>
      </c>
      <c r="BI46" s="154">
        <f>24.1%-9.3%</f>
        <v>0.14800000000000002</v>
      </c>
      <c r="BJ46" s="100" t="s">
        <v>1393</v>
      </c>
      <c r="BK46" s="98">
        <f>24.6%-24.1%</f>
        <v>5.0000000000000044E-3</v>
      </c>
      <c r="BL46" s="100" t="s">
        <v>1394</v>
      </c>
      <c r="BM46" s="98">
        <f>30.9%-24.6%</f>
        <v>6.2999999999999973E-2</v>
      </c>
      <c r="BN46" s="143"/>
      <c r="BO46" s="143"/>
      <c r="BP46" s="143"/>
      <c r="BQ46" s="143"/>
      <c r="BR46" s="143"/>
      <c r="BS46" s="143"/>
      <c r="BT46" s="143"/>
      <c r="BU46" s="143"/>
      <c r="BV46" s="143"/>
      <c r="BW46" s="143"/>
      <c r="BX46" s="98">
        <v>0.309</v>
      </c>
      <c r="BY46" s="99">
        <v>12275</v>
      </c>
      <c r="BZ46" s="99">
        <v>3049</v>
      </c>
      <c r="CA46" s="99">
        <v>753</v>
      </c>
      <c r="CB46" s="99">
        <v>258</v>
      </c>
      <c r="CC46" s="98">
        <f t="shared" si="3"/>
        <v>0.309</v>
      </c>
      <c r="CD46" s="132">
        <v>40730</v>
      </c>
      <c r="CE46" s="100" t="b">
        <v>1</v>
      </c>
      <c r="CF46" s="100" t="b">
        <v>1</v>
      </c>
      <c r="CG46" s="100" t="s">
        <v>1422</v>
      </c>
      <c r="CH46" s="100">
        <v>2400</v>
      </c>
      <c r="CI46" s="100">
        <v>1545</v>
      </c>
      <c r="CJ46" s="100" t="b">
        <v>0</v>
      </c>
      <c r="CK46" s="100">
        <v>2051</v>
      </c>
      <c r="CL46" s="100">
        <v>11900</v>
      </c>
      <c r="CM46" s="100">
        <v>554</v>
      </c>
      <c r="CN46" s="100"/>
      <c r="CO46" s="100"/>
      <c r="CP46" s="100"/>
      <c r="CQ46" s="100"/>
      <c r="CR46" s="100"/>
      <c r="CS46" s="100"/>
      <c r="CT46" s="100"/>
      <c r="CU46" s="132">
        <v>40850</v>
      </c>
      <c r="CV46" s="100">
        <v>1237</v>
      </c>
      <c r="CW46" s="100">
        <v>128</v>
      </c>
      <c r="CX46" s="103"/>
      <c r="CY46" s="100"/>
      <c r="CZ46" s="100"/>
      <c r="DA46" s="100"/>
      <c r="DB46" s="100"/>
      <c r="DC46" s="100"/>
      <c r="DD46" s="100"/>
      <c r="DE46" s="100"/>
      <c r="DF46" s="155">
        <v>16718</v>
      </c>
      <c r="DG46" s="100">
        <v>3050</v>
      </c>
      <c r="DH46" s="100">
        <v>258</v>
      </c>
      <c r="DI46" s="100"/>
      <c r="DJ46" s="100" t="b">
        <v>0</v>
      </c>
      <c r="DK46" s="100" t="b">
        <v>0</v>
      </c>
      <c r="DL46" s="100">
        <v>6</v>
      </c>
      <c r="DM46" s="100"/>
      <c r="DN46" s="111" t="s">
        <v>1782</v>
      </c>
      <c r="DO46" s="100"/>
      <c r="DP46" s="100"/>
      <c r="DQ46" s="100"/>
      <c r="DR46" s="100"/>
      <c r="DS46" s="100"/>
      <c r="DT46" s="100"/>
      <c r="DU46" s="100"/>
      <c r="DV46" s="111">
        <v>3050</v>
      </c>
      <c r="DW46" s="100">
        <v>258</v>
      </c>
      <c r="DX46" s="100"/>
      <c r="DY46" s="100" t="b">
        <v>0</v>
      </c>
      <c r="DZ46" s="100" t="b">
        <v>0</v>
      </c>
      <c r="EA46" s="100">
        <v>0</v>
      </c>
      <c r="EB46" s="100"/>
      <c r="EC46" s="103"/>
      <c r="ED46" s="103"/>
      <c r="EM46" s="112"/>
      <c r="EN46" s="112"/>
      <c r="EO46" s="193" t="s">
        <v>1780</v>
      </c>
      <c r="EP46" s="193">
        <v>30.9</v>
      </c>
      <c r="EQ46" t="b">
        <f t="shared" si="4"/>
        <v>0</v>
      </c>
    </row>
    <row r="47" spans="1:147" ht="15.95" customHeight="1" x14ac:dyDescent="0.25">
      <c r="A47" s="102" t="s">
        <v>58</v>
      </c>
      <c r="B47" s="156">
        <v>0.85025614500045776</v>
      </c>
      <c r="C47" s="102" t="s">
        <v>1478</v>
      </c>
      <c r="D47" s="102" t="s">
        <v>1478</v>
      </c>
      <c r="E47" s="102" t="s">
        <v>114</v>
      </c>
      <c r="F47" s="156" t="b">
        <v>0</v>
      </c>
      <c r="G47" s="157"/>
      <c r="H47" s="102"/>
      <c r="I47" s="102" t="s">
        <v>107</v>
      </c>
      <c r="J47" s="102" t="s">
        <v>1742</v>
      </c>
      <c r="K47" s="102" t="s">
        <v>146</v>
      </c>
      <c r="L47" s="102"/>
      <c r="M47" s="102"/>
      <c r="N47" s="157" t="s">
        <v>128</v>
      </c>
      <c r="O47" s="102" t="s">
        <v>1422</v>
      </c>
      <c r="P47" s="158">
        <v>40757</v>
      </c>
      <c r="Q47" s="158">
        <v>40784.480555555558</v>
      </c>
      <c r="R47" s="158">
        <v>40794.664907407408</v>
      </c>
      <c r="S47" s="158">
        <v>40889.566145833334</v>
      </c>
      <c r="T47" s="158">
        <v>40899.43818287037</v>
      </c>
      <c r="U47" s="158">
        <v>40933</v>
      </c>
      <c r="V47" s="156">
        <v>2100</v>
      </c>
      <c r="W47" s="102" t="s">
        <v>68</v>
      </c>
      <c r="X47" s="156">
        <v>4210</v>
      </c>
      <c r="Y47" s="159"/>
      <c r="Z47" s="156">
        <v>210</v>
      </c>
      <c r="AA47" s="156">
        <v>0</v>
      </c>
      <c r="AB47" s="159"/>
      <c r="AC47" s="156">
        <v>3746</v>
      </c>
      <c r="AD47" s="159"/>
      <c r="AE47" s="156">
        <v>206</v>
      </c>
      <c r="AF47" s="156">
        <v>12784</v>
      </c>
      <c r="AG47" s="156">
        <v>2000</v>
      </c>
      <c r="AH47" s="100"/>
      <c r="AI47" s="100"/>
      <c r="AJ47" s="100"/>
      <c r="AK47" s="100"/>
      <c r="AL47" s="132">
        <v>40760</v>
      </c>
      <c r="AM47" s="100">
        <v>2100</v>
      </c>
      <c r="AN47" s="98">
        <v>0.26100000000000001</v>
      </c>
      <c r="AO47" s="100">
        <v>15700</v>
      </c>
      <c r="AP47" s="100">
        <v>4214</v>
      </c>
      <c r="AQ47" s="100">
        <v>822</v>
      </c>
      <c r="AR47" s="100">
        <v>210</v>
      </c>
      <c r="AS47" s="133">
        <f t="shared" si="5"/>
        <v>0.26100000000000001</v>
      </c>
      <c r="AT47" s="100"/>
      <c r="AU47" s="100"/>
      <c r="AV47" s="100"/>
      <c r="AW47" s="100"/>
      <c r="AX47" s="100"/>
      <c r="AY47" s="100"/>
      <c r="AZ47" s="100"/>
      <c r="BA47" s="100"/>
      <c r="BB47" s="132">
        <v>40837</v>
      </c>
      <c r="BC47" s="100">
        <v>2100</v>
      </c>
      <c r="BD47" s="100" t="s">
        <v>1387</v>
      </c>
      <c r="BE47" s="98">
        <v>1.0999999999999999E-2</v>
      </c>
      <c r="BF47" s="100" t="s">
        <v>1386</v>
      </c>
      <c r="BG47" s="154">
        <f>3.6%-1.1%</f>
        <v>2.5000000000000001E-2</v>
      </c>
      <c r="BH47" s="100" t="s">
        <v>1389</v>
      </c>
      <c r="BI47" s="154">
        <f>12.8%-3.6%</f>
        <v>9.1999999999999998E-2</v>
      </c>
      <c r="BJ47" s="100" t="s">
        <v>1394</v>
      </c>
      <c r="BK47" s="98">
        <f>24.7%-12.8%</f>
        <v>0.11899999999999999</v>
      </c>
      <c r="BL47" s="103"/>
      <c r="BM47" s="143"/>
      <c r="BN47" s="143"/>
      <c r="BO47" s="143"/>
      <c r="BP47" s="143"/>
      <c r="BQ47" s="143"/>
      <c r="BR47" s="143"/>
      <c r="BS47" s="143"/>
      <c r="BT47" s="143"/>
      <c r="BU47" s="143"/>
      <c r="BV47" s="143"/>
      <c r="BW47" s="143"/>
      <c r="BX47" s="98">
        <v>0.247</v>
      </c>
      <c r="BY47" s="99">
        <v>15700</v>
      </c>
      <c r="BZ47" s="99">
        <v>3995</v>
      </c>
      <c r="CA47" s="99">
        <v>822</v>
      </c>
      <c r="CB47" s="99">
        <v>200</v>
      </c>
      <c r="CC47" s="98">
        <f t="shared" si="3"/>
        <v>0.247</v>
      </c>
      <c r="CD47" s="132">
        <v>40757</v>
      </c>
      <c r="CE47" s="100" t="b">
        <v>1</v>
      </c>
      <c r="CF47" s="100" t="b">
        <v>1</v>
      </c>
      <c r="CG47" s="100" t="s">
        <v>1422</v>
      </c>
      <c r="CH47" s="100">
        <v>2545</v>
      </c>
      <c r="CI47" s="100">
        <v>326</v>
      </c>
      <c r="CJ47" s="100" t="b">
        <v>1</v>
      </c>
      <c r="CK47" s="100">
        <v>2100</v>
      </c>
      <c r="CL47" s="103"/>
      <c r="CM47" s="103"/>
      <c r="CN47" s="100"/>
      <c r="CO47" s="100"/>
      <c r="CP47" s="100"/>
      <c r="CQ47" s="100"/>
      <c r="CR47" s="100"/>
      <c r="CS47" s="100"/>
      <c r="CT47" s="100"/>
      <c r="CU47" s="132">
        <v>40816</v>
      </c>
      <c r="CV47" s="100">
        <v>1616</v>
      </c>
      <c r="CW47" s="100">
        <v>108</v>
      </c>
      <c r="CX47" s="100" t="b">
        <v>1</v>
      </c>
      <c r="CY47" s="100"/>
      <c r="CZ47" s="100"/>
      <c r="DA47" s="100"/>
      <c r="DB47" s="100"/>
      <c r="DC47" s="100"/>
      <c r="DD47" s="100"/>
      <c r="DE47" s="100"/>
      <c r="DF47" s="155">
        <v>18063</v>
      </c>
      <c r="DG47" s="100">
        <v>4210</v>
      </c>
      <c r="DH47" s="100">
        <v>210</v>
      </c>
      <c r="DI47" s="100"/>
      <c r="DJ47" s="100" t="b">
        <v>0</v>
      </c>
      <c r="DK47" s="100" t="b">
        <v>0</v>
      </c>
      <c r="DL47" s="100">
        <v>1</v>
      </c>
      <c r="DM47" s="100"/>
      <c r="DN47" s="100" t="s">
        <v>1770</v>
      </c>
      <c r="DO47" s="103"/>
      <c r="DP47" s="100"/>
      <c r="DQ47" s="100"/>
      <c r="DR47" s="100"/>
      <c r="DS47" s="100"/>
      <c r="DT47" s="100"/>
      <c r="DU47" s="100"/>
      <c r="DV47" s="100">
        <v>3750</v>
      </c>
      <c r="DW47" s="100">
        <v>206</v>
      </c>
      <c r="DX47" s="100"/>
      <c r="DY47" s="100" t="b">
        <v>0</v>
      </c>
      <c r="DZ47" s="100" t="b">
        <v>0</v>
      </c>
      <c r="EA47" s="100">
        <v>0</v>
      </c>
      <c r="EB47" s="100"/>
      <c r="EC47" s="103"/>
      <c r="ED47" s="103"/>
      <c r="EM47" s="112"/>
      <c r="EN47" s="112"/>
      <c r="EO47" s="193" t="s">
        <v>1783</v>
      </c>
      <c r="EP47" s="193">
        <v>24.62</v>
      </c>
      <c r="EQ47" t="b">
        <f t="shared" si="4"/>
        <v>0</v>
      </c>
    </row>
    <row r="48" spans="1:147" ht="15.95" customHeight="1" x14ac:dyDescent="0.25">
      <c r="A48" s="102" t="s">
        <v>58</v>
      </c>
      <c r="B48" s="156">
        <v>0.62254589796066284</v>
      </c>
      <c r="C48" s="102" t="s">
        <v>1464</v>
      </c>
      <c r="D48" s="102" t="s">
        <v>1464</v>
      </c>
      <c r="E48" s="102" t="s">
        <v>114</v>
      </c>
      <c r="F48" s="156" t="b">
        <v>0</v>
      </c>
      <c r="G48" s="157"/>
      <c r="H48" s="102"/>
      <c r="I48" s="102" t="s">
        <v>1785</v>
      </c>
      <c r="J48" s="102" t="s">
        <v>1786</v>
      </c>
      <c r="K48" s="102" t="s">
        <v>1787</v>
      </c>
      <c r="L48" s="102"/>
      <c r="M48" s="102"/>
      <c r="N48" s="157" t="s">
        <v>75</v>
      </c>
      <c r="O48" s="102" t="s">
        <v>1422</v>
      </c>
      <c r="P48" s="158">
        <v>40637</v>
      </c>
      <c r="Q48" s="158">
        <v>40822.425347222219</v>
      </c>
      <c r="R48" s="158">
        <v>40830.472430555557</v>
      </c>
      <c r="S48" s="158">
        <v>40865.672361111108</v>
      </c>
      <c r="T48" s="158">
        <v>40883.485046296293</v>
      </c>
      <c r="U48" s="158">
        <v>40907</v>
      </c>
      <c r="V48" s="156">
        <v>1308</v>
      </c>
      <c r="W48" s="102" t="s">
        <v>68</v>
      </c>
      <c r="X48" s="156">
        <v>1527</v>
      </c>
      <c r="Y48" s="159"/>
      <c r="Z48" s="156">
        <v>175</v>
      </c>
      <c r="AA48" s="156">
        <v>0</v>
      </c>
      <c r="AB48" s="159"/>
      <c r="AC48" s="156">
        <v>2450</v>
      </c>
      <c r="AD48" s="159"/>
      <c r="AE48" s="156">
        <v>168</v>
      </c>
      <c r="AF48" s="156">
        <v>8361</v>
      </c>
      <c r="AG48" s="156">
        <v>3000</v>
      </c>
      <c r="AH48" s="100"/>
      <c r="AI48" s="100"/>
      <c r="AJ48" s="100"/>
      <c r="AK48" s="100"/>
      <c r="AL48" s="132">
        <v>40772</v>
      </c>
      <c r="AM48" s="100">
        <v>1308</v>
      </c>
      <c r="AN48" s="98">
        <v>0.27700000000000002</v>
      </c>
      <c r="AO48" s="100">
        <v>8679</v>
      </c>
      <c r="AP48" s="100">
        <v>1528</v>
      </c>
      <c r="AQ48" s="100">
        <v>522</v>
      </c>
      <c r="AR48" s="100">
        <v>175</v>
      </c>
      <c r="AS48" s="133">
        <f t="shared" si="5"/>
        <v>0.27700000000000002</v>
      </c>
      <c r="AT48" s="100"/>
      <c r="AU48" s="100"/>
      <c r="AV48" s="100"/>
      <c r="AW48" s="100"/>
      <c r="AX48" s="100"/>
      <c r="AY48" s="100"/>
      <c r="AZ48" s="100"/>
      <c r="BA48" s="100"/>
      <c r="BB48" s="132">
        <v>40865</v>
      </c>
      <c r="BC48" s="100">
        <v>1308</v>
      </c>
      <c r="BD48" s="100" t="s">
        <v>1389</v>
      </c>
      <c r="BE48" s="98">
        <v>4.2999999999999997E-2</v>
      </c>
      <c r="BF48" s="100" t="s">
        <v>1393</v>
      </c>
      <c r="BG48" s="154">
        <f>9.1%-4.3%</f>
        <v>4.8000000000000001E-2</v>
      </c>
      <c r="BH48" s="100" t="s">
        <v>1394</v>
      </c>
      <c r="BI48" s="154">
        <f>21.7%-9.1%</f>
        <v>0.126</v>
      </c>
      <c r="BJ48" s="100" t="s">
        <v>1397</v>
      </c>
      <c r="BK48" s="98">
        <f>30.6%-21.7%</f>
        <v>8.8999999999999996E-2</v>
      </c>
      <c r="BL48" s="103"/>
      <c r="BM48" s="143"/>
      <c r="BN48" s="143"/>
      <c r="BO48" s="143"/>
      <c r="BP48" s="143"/>
      <c r="BQ48" s="143"/>
      <c r="BR48" s="143"/>
      <c r="BS48" s="143"/>
      <c r="BT48" s="143"/>
      <c r="BU48" s="143"/>
      <c r="BV48" s="143"/>
      <c r="BW48" s="143"/>
      <c r="BX48" s="98">
        <v>0.30599999999999999</v>
      </c>
      <c r="BY48" s="99">
        <v>10029</v>
      </c>
      <c r="BZ48" s="99">
        <v>2452</v>
      </c>
      <c r="CA48" s="99">
        <v>482</v>
      </c>
      <c r="CB48" s="99">
        <v>168</v>
      </c>
      <c r="CC48" s="98">
        <f t="shared" si="3"/>
        <v>0.30599999999999999</v>
      </c>
      <c r="CD48" s="164" t="s">
        <v>1788</v>
      </c>
      <c r="CE48" s="100" t="b">
        <v>1</v>
      </c>
      <c r="CF48" s="100" t="b">
        <v>1</v>
      </c>
      <c r="CG48" s="100" t="s">
        <v>1422</v>
      </c>
      <c r="CH48" s="100">
        <v>1580</v>
      </c>
      <c r="CI48" s="100">
        <v>34</v>
      </c>
      <c r="CJ48" s="103"/>
      <c r="CK48" s="100">
        <v>1308</v>
      </c>
      <c r="CL48" s="103"/>
      <c r="CM48" s="103"/>
      <c r="CN48" s="100"/>
      <c r="CO48" s="100"/>
      <c r="CP48" s="100"/>
      <c r="CQ48" s="100"/>
      <c r="CR48" s="100"/>
      <c r="CS48" s="100"/>
      <c r="CT48" s="100"/>
      <c r="CU48" s="132">
        <v>40777</v>
      </c>
      <c r="CV48" s="100">
        <v>1520</v>
      </c>
      <c r="CW48" s="100">
        <v>34</v>
      </c>
      <c r="CX48" s="103"/>
      <c r="CY48" s="100"/>
      <c r="CZ48" s="100"/>
      <c r="DA48" s="100"/>
      <c r="DB48" s="100"/>
      <c r="DC48" s="100"/>
      <c r="DD48" s="100"/>
      <c r="DE48" s="100"/>
      <c r="DF48" s="155">
        <v>19580</v>
      </c>
      <c r="DG48" s="100">
        <v>1530</v>
      </c>
      <c r="DH48" s="100">
        <v>175</v>
      </c>
      <c r="DI48" s="100"/>
      <c r="DJ48" s="100" t="b">
        <v>0</v>
      </c>
      <c r="DK48" s="100" t="b">
        <v>0</v>
      </c>
      <c r="DL48" s="100">
        <v>6</v>
      </c>
      <c r="DM48" s="100"/>
      <c r="DN48" s="111" t="s">
        <v>1789</v>
      </c>
      <c r="DO48" s="111" t="s">
        <v>1790</v>
      </c>
      <c r="DP48" s="100"/>
      <c r="DQ48" s="100"/>
      <c r="DR48" s="100"/>
      <c r="DS48" s="100"/>
      <c r="DT48" s="100"/>
      <c r="DU48" s="100"/>
      <c r="DV48" s="100">
        <v>2450</v>
      </c>
      <c r="DW48" s="100">
        <v>168</v>
      </c>
      <c r="DX48" s="100"/>
      <c r="DY48" s="100" t="b">
        <v>0</v>
      </c>
      <c r="DZ48" s="100" t="b">
        <v>0</v>
      </c>
      <c r="EA48" s="100">
        <v>0</v>
      </c>
      <c r="EB48" s="100"/>
      <c r="EC48" s="103"/>
      <c r="ED48" s="103"/>
      <c r="EM48" s="112"/>
      <c r="EN48" s="112"/>
      <c r="EO48" s="193" t="s">
        <v>1784</v>
      </c>
      <c r="EP48" s="193">
        <v>30.56</v>
      </c>
      <c r="EQ48" t="b">
        <f t="shared" si="4"/>
        <v>0</v>
      </c>
    </row>
    <row r="49" spans="1:147" ht="15.95" customHeight="1" x14ac:dyDescent="0.25">
      <c r="A49" s="102" t="s">
        <v>58</v>
      </c>
      <c r="B49" s="156">
        <v>0.3284304141998291</v>
      </c>
      <c r="C49" s="102" t="s">
        <v>1487</v>
      </c>
      <c r="D49" s="102" t="s">
        <v>1487</v>
      </c>
      <c r="E49" s="102" t="s">
        <v>114</v>
      </c>
      <c r="F49" s="156" t="b">
        <v>0</v>
      </c>
      <c r="G49" s="157"/>
      <c r="H49" s="102"/>
      <c r="I49" s="102" t="s">
        <v>74</v>
      </c>
      <c r="J49" s="102" t="s">
        <v>152</v>
      </c>
      <c r="K49" s="102" t="s">
        <v>70</v>
      </c>
      <c r="L49" s="102"/>
      <c r="M49" s="102"/>
      <c r="N49" s="157" t="s">
        <v>120</v>
      </c>
      <c r="O49" s="102" t="s">
        <v>1422</v>
      </c>
      <c r="P49" s="158">
        <v>40717</v>
      </c>
      <c r="Q49" s="158">
        <v>40768.764189814814</v>
      </c>
      <c r="R49" s="158">
        <v>40787.577743055554</v>
      </c>
      <c r="S49" s="158">
        <v>40897.449363425927</v>
      </c>
      <c r="T49" s="158">
        <v>40900.408668981479</v>
      </c>
      <c r="U49" s="158">
        <v>40932</v>
      </c>
      <c r="V49" s="156">
        <v>1677</v>
      </c>
      <c r="W49" s="102" t="s">
        <v>68</v>
      </c>
      <c r="X49" s="156">
        <v>15186</v>
      </c>
      <c r="Y49" s="159"/>
      <c r="Z49" s="156">
        <v>356</v>
      </c>
      <c r="AA49" s="156">
        <v>0</v>
      </c>
      <c r="AB49" s="159"/>
      <c r="AC49" s="156">
        <v>14635</v>
      </c>
      <c r="AD49" s="159"/>
      <c r="AE49" s="156">
        <v>254</v>
      </c>
      <c r="AF49" s="156">
        <v>49949</v>
      </c>
      <c r="AG49" s="156">
        <v>4000</v>
      </c>
      <c r="AH49" s="100"/>
      <c r="AI49" s="100"/>
      <c r="AJ49" s="100"/>
      <c r="AK49" s="100"/>
      <c r="AL49" s="132">
        <v>40752</v>
      </c>
      <c r="AM49" s="100">
        <v>1677</v>
      </c>
      <c r="AN49" s="98">
        <v>0.46700000000000003</v>
      </c>
      <c r="AO49" s="99">
        <v>25574</v>
      </c>
      <c r="AP49" s="100">
        <v>15200</v>
      </c>
      <c r="AQ49" s="100">
        <v>1000</v>
      </c>
      <c r="AR49" s="100">
        <v>356</v>
      </c>
      <c r="AS49" s="133">
        <f t="shared" si="5"/>
        <v>0.46700000000000003</v>
      </c>
      <c r="AT49" s="100"/>
      <c r="AU49" s="100"/>
      <c r="AV49" s="100"/>
      <c r="AW49" s="100"/>
      <c r="AX49" s="100"/>
      <c r="AY49" s="100"/>
      <c r="AZ49" s="100"/>
      <c r="BA49" s="100"/>
      <c r="BB49" s="132">
        <v>40897</v>
      </c>
      <c r="BC49" s="100">
        <v>1677</v>
      </c>
      <c r="BD49" s="100" t="s">
        <v>1387</v>
      </c>
      <c r="BE49" s="98">
        <v>3.5999999999999997E-2</v>
      </c>
      <c r="BF49" s="100" t="s">
        <v>1386</v>
      </c>
      <c r="BG49" s="154">
        <f>-9.9%-3.6%</f>
        <v>-0.13500000000000001</v>
      </c>
      <c r="BH49" s="100" t="s">
        <v>1389</v>
      </c>
      <c r="BI49" s="154">
        <f>19.1%-(19.9%)</f>
        <v>-7.9999999999999793E-3</v>
      </c>
      <c r="BJ49" s="100" t="s">
        <v>1393</v>
      </c>
      <c r="BK49" s="98">
        <f>25.7%-19.1%</f>
        <v>6.6000000000000003E-2</v>
      </c>
      <c r="BL49" s="100" t="s">
        <v>1394</v>
      </c>
      <c r="BM49" s="98">
        <f>40.3%-25.7%</f>
        <v>0.14599999999999996</v>
      </c>
      <c r="BN49" s="143"/>
      <c r="BO49" s="143"/>
      <c r="BP49" s="143"/>
      <c r="BQ49" s="143"/>
      <c r="BR49" s="143"/>
      <c r="BS49" s="143"/>
      <c r="BT49" s="143"/>
      <c r="BU49" s="143"/>
      <c r="BV49" s="143"/>
      <c r="BW49" s="143"/>
      <c r="BX49" s="98">
        <v>0.40300000000000002</v>
      </c>
      <c r="BY49" s="99">
        <v>25574</v>
      </c>
      <c r="BZ49" s="99">
        <v>14648</v>
      </c>
      <c r="CA49" s="99">
        <v>1000</v>
      </c>
      <c r="CB49" s="99">
        <v>254</v>
      </c>
      <c r="CC49" s="98">
        <f t="shared" si="3"/>
        <v>0.40300000000000002</v>
      </c>
      <c r="CD49" s="132">
        <v>40717</v>
      </c>
      <c r="CE49" s="100" t="b">
        <v>1</v>
      </c>
      <c r="CF49" s="100" t="b">
        <v>1</v>
      </c>
      <c r="CG49" s="100" t="s">
        <v>1422</v>
      </c>
      <c r="CH49" s="100" t="s">
        <v>1792</v>
      </c>
      <c r="CI49" s="103"/>
      <c r="CJ49" s="100" t="b">
        <v>0</v>
      </c>
      <c r="CK49" s="100">
        <v>1677</v>
      </c>
      <c r="CL49" s="100">
        <v>9856</v>
      </c>
      <c r="CM49" s="100">
        <v>1027</v>
      </c>
      <c r="CN49" s="100"/>
      <c r="CO49" s="100"/>
      <c r="CP49" s="100"/>
      <c r="CQ49" s="100"/>
      <c r="CR49" s="100"/>
      <c r="CS49" s="100"/>
      <c r="CT49" s="100"/>
      <c r="CU49" s="132">
        <v>40774</v>
      </c>
      <c r="CV49" s="100">
        <v>6835</v>
      </c>
      <c r="CW49" s="100">
        <v>86</v>
      </c>
      <c r="CX49" s="103"/>
      <c r="CY49" s="100"/>
      <c r="CZ49" s="100"/>
      <c r="DA49" s="100"/>
      <c r="DB49" s="100"/>
      <c r="DC49" s="100"/>
      <c r="DD49" s="100"/>
      <c r="DE49" s="100"/>
      <c r="DF49" s="155">
        <v>14379</v>
      </c>
      <c r="DG49" s="100">
        <v>15200</v>
      </c>
      <c r="DH49" s="100">
        <v>356</v>
      </c>
      <c r="DI49" s="100"/>
      <c r="DJ49" s="100" t="b">
        <v>0</v>
      </c>
      <c r="DK49" s="100" t="b">
        <v>0</v>
      </c>
      <c r="DL49" s="100">
        <v>0</v>
      </c>
      <c r="DM49" s="100"/>
      <c r="DN49" s="103"/>
      <c r="DO49" s="103"/>
      <c r="DP49" s="100"/>
      <c r="DQ49" s="100"/>
      <c r="DR49" s="100"/>
      <c r="DS49" s="100"/>
      <c r="DT49" s="100"/>
      <c r="DU49" s="100"/>
      <c r="DV49" s="100">
        <v>14600</v>
      </c>
      <c r="DW49" s="100">
        <v>254</v>
      </c>
      <c r="DX49" s="100"/>
      <c r="DY49" s="100" t="b">
        <v>0</v>
      </c>
      <c r="DZ49" s="100" t="b">
        <v>0</v>
      </c>
      <c r="EA49" s="100">
        <v>0</v>
      </c>
      <c r="EB49" s="100"/>
      <c r="EC49" s="111" t="s">
        <v>1793</v>
      </c>
      <c r="ED49" s="103"/>
      <c r="EM49" s="112"/>
      <c r="EN49" s="112"/>
      <c r="EO49" s="193" t="s">
        <v>1791</v>
      </c>
      <c r="EP49" s="193">
        <v>40.270000000000003</v>
      </c>
      <c r="EQ49" t="b">
        <f t="shared" si="4"/>
        <v>0</v>
      </c>
    </row>
    <row r="50" spans="1:147" ht="15.95" customHeight="1" x14ac:dyDescent="0.25">
      <c r="A50" s="102" t="s">
        <v>58</v>
      </c>
      <c r="B50" s="156">
        <v>0.26643121242523193</v>
      </c>
      <c r="C50" s="102" t="s">
        <v>1439</v>
      </c>
      <c r="D50" s="102" t="s">
        <v>1439</v>
      </c>
      <c r="E50" s="102" t="s">
        <v>114</v>
      </c>
      <c r="F50" s="156" t="b">
        <v>0</v>
      </c>
      <c r="G50" s="157"/>
      <c r="H50" s="102"/>
      <c r="I50" s="102" t="s">
        <v>1795</v>
      </c>
      <c r="J50" s="102" t="s">
        <v>1796</v>
      </c>
      <c r="K50" s="102" t="s">
        <v>1755</v>
      </c>
      <c r="L50" s="102"/>
      <c r="M50" s="102"/>
      <c r="N50" s="157" t="s">
        <v>122</v>
      </c>
      <c r="O50" s="102" t="s">
        <v>1422</v>
      </c>
      <c r="P50" s="158">
        <v>40781.5</v>
      </c>
      <c r="Q50" s="158">
        <v>40822.629999999997</v>
      </c>
      <c r="R50" s="158">
        <v>40850.598483796297</v>
      </c>
      <c r="S50" s="158">
        <v>40868.422361111108</v>
      </c>
      <c r="T50" s="158">
        <v>40876.501018518517</v>
      </c>
      <c r="U50" s="158">
        <v>40897</v>
      </c>
      <c r="V50" s="156">
        <v>1450</v>
      </c>
      <c r="W50" s="102" t="s">
        <v>68</v>
      </c>
      <c r="X50" s="156">
        <v>42</v>
      </c>
      <c r="Y50" s="159"/>
      <c r="Z50" s="156">
        <v>391</v>
      </c>
      <c r="AA50" s="156">
        <v>0</v>
      </c>
      <c r="AB50" s="159"/>
      <c r="AC50" s="156">
        <v>45</v>
      </c>
      <c r="AD50" s="159"/>
      <c r="AE50" s="156">
        <v>394</v>
      </c>
      <c r="AF50" s="156">
        <v>153</v>
      </c>
      <c r="AG50" s="156">
        <v>4000</v>
      </c>
      <c r="AH50" s="100"/>
      <c r="AI50" s="100"/>
      <c r="AJ50" s="100"/>
      <c r="AK50" s="100"/>
      <c r="AL50" s="132">
        <v>40817</v>
      </c>
      <c r="AM50" s="100">
        <v>1450</v>
      </c>
      <c r="AN50" s="98">
        <v>0.46400000000000002</v>
      </c>
      <c r="AO50" s="99">
        <v>3868</v>
      </c>
      <c r="AP50" s="100">
        <v>42</v>
      </c>
      <c r="AQ50" s="100">
        <v>713</v>
      </c>
      <c r="AR50" s="100">
        <v>391</v>
      </c>
      <c r="AS50" s="133">
        <f t="shared" si="5"/>
        <v>0.46400000000000002</v>
      </c>
      <c r="AT50" s="100"/>
      <c r="AU50" s="100"/>
      <c r="AV50" s="100"/>
      <c r="AW50" s="100"/>
      <c r="AX50" s="100"/>
      <c r="AY50" s="100"/>
      <c r="AZ50" s="100"/>
      <c r="BA50" s="100"/>
      <c r="BB50" s="132">
        <v>40850</v>
      </c>
      <c r="BC50" s="100">
        <v>1450</v>
      </c>
      <c r="BD50" s="100" t="s">
        <v>1387</v>
      </c>
      <c r="BE50" s="98">
        <v>3.5000000000000003E-2</v>
      </c>
      <c r="BF50" s="100" t="s">
        <v>1388</v>
      </c>
      <c r="BG50" s="154">
        <f>20.4%-3.5%</f>
        <v>0.16899999999999998</v>
      </c>
      <c r="BH50" s="100" t="s">
        <v>1395</v>
      </c>
      <c r="BI50" s="154">
        <f>28.4%-20.4%</f>
        <v>7.9999999999999988E-2</v>
      </c>
      <c r="BJ50" s="100" t="s">
        <v>1386</v>
      </c>
      <c r="BK50" s="98">
        <f>29.5%-28.4%</f>
        <v>1.100000000000001E-2</v>
      </c>
      <c r="BL50" s="100" t="s">
        <v>1394</v>
      </c>
      <c r="BM50" s="98">
        <f>35.1%-29.5%</f>
        <v>5.600000000000005E-2</v>
      </c>
      <c r="BN50" s="98" t="s">
        <v>1397</v>
      </c>
      <c r="BO50" s="98">
        <f>46.1%-35.1%</f>
        <v>0.10999999999999999</v>
      </c>
      <c r="BP50" s="143"/>
      <c r="BQ50" s="143"/>
      <c r="BR50" s="143"/>
      <c r="BS50" s="143"/>
      <c r="BT50" s="143"/>
      <c r="BU50" s="143"/>
      <c r="BV50" s="143"/>
      <c r="BW50" s="143"/>
      <c r="BX50" s="98">
        <v>0.46100000000000002</v>
      </c>
      <c r="BY50" s="99">
        <v>3897</v>
      </c>
      <c r="BZ50" s="99">
        <v>45</v>
      </c>
      <c r="CA50" s="99">
        <v>724</v>
      </c>
      <c r="CB50" s="99">
        <v>394</v>
      </c>
      <c r="CC50" s="98">
        <f t="shared" si="3"/>
        <v>0.46100000000000002</v>
      </c>
      <c r="CD50" s="132">
        <v>40778</v>
      </c>
      <c r="CE50" s="100" t="b">
        <v>1</v>
      </c>
      <c r="CF50" s="100" t="b">
        <v>1</v>
      </c>
      <c r="CG50" s="100" t="s">
        <v>1422</v>
      </c>
      <c r="CH50" s="100">
        <v>2470</v>
      </c>
      <c r="CI50" s="103"/>
      <c r="CJ50" s="100" t="b">
        <v>1</v>
      </c>
      <c r="CK50" s="100">
        <v>1450</v>
      </c>
      <c r="CL50" s="100">
        <v>2737</v>
      </c>
      <c r="CM50" s="100">
        <v>633</v>
      </c>
      <c r="CN50" s="100"/>
      <c r="CO50" s="100"/>
      <c r="CP50" s="100"/>
      <c r="CQ50" s="100"/>
      <c r="CR50" s="100"/>
      <c r="CS50" s="100"/>
      <c r="CT50" s="100"/>
      <c r="CU50" s="132">
        <v>40843</v>
      </c>
      <c r="CV50" s="100">
        <v>2185</v>
      </c>
      <c r="CW50" s="100">
        <v>45</v>
      </c>
      <c r="CX50" s="103"/>
      <c r="CY50" s="100"/>
      <c r="CZ50" s="100"/>
      <c r="DA50" s="100"/>
      <c r="DB50" s="100"/>
      <c r="DC50" s="100"/>
      <c r="DD50" s="100"/>
      <c r="DE50" s="100"/>
      <c r="DF50" s="155">
        <v>12555</v>
      </c>
      <c r="DG50" s="100">
        <v>42.4</v>
      </c>
      <c r="DH50" s="100">
        <v>391</v>
      </c>
      <c r="DI50" s="100"/>
      <c r="DJ50" s="100" t="b">
        <v>0</v>
      </c>
      <c r="DK50" s="100" t="b">
        <v>0</v>
      </c>
      <c r="DL50" s="100">
        <v>6</v>
      </c>
      <c r="DN50" s="100" t="s">
        <v>1797</v>
      </c>
      <c r="DO50" s="100" t="s">
        <v>1798</v>
      </c>
      <c r="DP50" s="100"/>
      <c r="DQ50" s="100"/>
      <c r="DR50" s="100"/>
      <c r="DS50" s="100"/>
      <c r="DT50" s="100"/>
      <c r="DU50" s="100"/>
      <c r="DV50" s="100">
        <v>45.1</v>
      </c>
      <c r="DW50" s="100">
        <v>394</v>
      </c>
      <c r="DX50" s="100"/>
      <c r="DY50" s="100" t="b">
        <v>1</v>
      </c>
      <c r="DZ50" s="100" t="b">
        <v>0</v>
      </c>
      <c r="EA50" s="100">
        <v>0</v>
      </c>
      <c r="EB50" s="100"/>
      <c r="EC50" s="103"/>
      <c r="ED50" s="103"/>
      <c r="EM50" s="112"/>
      <c r="EN50" s="112"/>
      <c r="EO50" s="193" t="s">
        <v>1794</v>
      </c>
      <c r="EP50" s="193">
        <v>46.12</v>
      </c>
      <c r="EQ50" t="b">
        <f t="shared" si="4"/>
        <v>0</v>
      </c>
    </row>
    <row r="51" spans="1:147" ht="15.95" customHeight="1" x14ac:dyDescent="0.25">
      <c r="A51" s="102" t="s">
        <v>58</v>
      </c>
      <c r="B51" s="156">
        <v>0.28150343894958496</v>
      </c>
      <c r="C51" s="102" t="s">
        <v>1453</v>
      </c>
      <c r="D51" s="102" t="s">
        <v>1453</v>
      </c>
      <c r="E51" s="102" t="s">
        <v>114</v>
      </c>
      <c r="F51" s="156" t="b">
        <v>0</v>
      </c>
      <c r="G51" s="157"/>
      <c r="H51" s="102"/>
      <c r="I51" s="102" t="s">
        <v>148</v>
      </c>
      <c r="J51" s="102" t="s">
        <v>140</v>
      </c>
      <c r="K51" s="102" t="s">
        <v>104</v>
      </c>
      <c r="L51" s="102"/>
      <c r="M51" s="102"/>
      <c r="N51" s="157" t="s">
        <v>119</v>
      </c>
      <c r="O51" s="102" t="s">
        <v>1422</v>
      </c>
      <c r="P51" s="158">
        <v>40743.416666666664</v>
      </c>
      <c r="Q51" s="158">
        <v>40771.356423611112</v>
      </c>
      <c r="R51" s="158">
        <v>40780.670717592591</v>
      </c>
      <c r="S51" s="158">
        <v>40875.795208333337</v>
      </c>
      <c r="T51" s="158">
        <v>40942.672291666669</v>
      </c>
      <c r="U51" s="158">
        <v>40897</v>
      </c>
      <c r="V51" s="156">
        <v>2016</v>
      </c>
      <c r="W51" s="102" t="s">
        <v>68</v>
      </c>
      <c r="X51" s="156">
        <v>0</v>
      </c>
      <c r="Y51" s="159"/>
      <c r="Z51" s="156">
        <v>0</v>
      </c>
      <c r="AA51" s="156">
        <v>0</v>
      </c>
      <c r="AB51" s="159"/>
      <c r="AC51" s="156">
        <v>384</v>
      </c>
      <c r="AD51" s="159"/>
      <c r="AE51" s="156">
        <v>535</v>
      </c>
      <c r="AF51" s="156">
        <v>1310</v>
      </c>
      <c r="AG51" s="156">
        <v>4000</v>
      </c>
      <c r="AH51" s="100"/>
      <c r="AI51" s="100"/>
      <c r="AJ51" s="100"/>
      <c r="AK51" s="100"/>
      <c r="AL51" s="132">
        <v>40771</v>
      </c>
      <c r="AM51" s="100">
        <v>2176</v>
      </c>
      <c r="AN51" s="98">
        <v>0.42699999999999999</v>
      </c>
      <c r="AO51" s="100">
        <v>6047</v>
      </c>
      <c r="AP51" s="100">
        <v>357</v>
      </c>
      <c r="AQ51" s="100">
        <v>1027</v>
      </c>
      <c r="AR51" s="100">
        <v>519</v>
      </c>
      <c r="AS51" s="133">
        <f t="shared" si="5"/>
        <v>0.42699999999999999</v>
      </c>
      <c r="AT51" s="100"/>
      <c r="AU51" s="100"/>
      <c r="AV51" s="100"/>
      <c r="AW51" s="100"/>
      <c r="AX51" s="100"/>
      <c r="AY51" s="100"/>
      <c r="AZ51" s="100"/>
      <c r="BA51" s="100"/>
      <c r="BB51" s="132">
        <v>40875</v>
      </c>
      <c r="BC51" s="100">
        <v>2176</v>
      </c>
      <c r="BD51" s="100" t="s">
        <v>1387</v>
      </c>
      <c r="BE51" s="98">
        <v>3.4000000000000002E-2</v>
      </c>
      <c r="BF51" s="100" t="s">
        <v>1388</v>
      </c>
      <c r="BG51" s="154">
        <f>24.2%-3.4%</f>
        <v>0.20799999999999999</v>
      </c>
      <c r="BH51" s="100" t="s">
        <v>1386</v>
      </c>
      <c r="BI51" s="154">
        <f>27.3%-24.2%</f>
        <v>3.1000000000000028E-2</v>
      </c>
      <c r="BJ51" s="100" t="s">
        <v>1389</v>
      </c>
      <c r="BK51" s="98">
        <f>29.9%-27.3%</f>
        <v>2.5999999999999968E-2</v>
      </c>
      <c r="BL51" s="100" t="s">
        <v>1393</v>
      </c>
      <c r="BM51" s="98">
        <f>33.5%-29.9%</f>
        <v>3.6000000000000032E-2</v>
      </c>
      <c r="BN51" s="98" t="s">
        <v>1394</v>
      </c>
      <c r="BO51" s="98">
        <f>36.8%-33.5%</f>
        <v>3.2999999999999974E-2</v>
      </c>
      <c r="BP51" s="98" t="s">
        <v>1397</v>
      </c>
      <c r="BQ51" s="98">
        <f>43.9%-36.8%</f>
        <v>7.1000000000000008E-2</v>
      </c>
      <c r="BR51" s="143"/>
      <c r="BS51" s="143"/>
      <c r="BT51" s="143"/>
      <c r="BU51" s="143"/>
      <c r="BV51" s="143"/>
      <c r="BW51" s="143"/>
      <c r="BX51" s="98">
        <v>0.439</v>
      </c>
      <c r="BY51" s="99">
        <v>6342</v>
      </c>
      <c r="BZ51" s="99">
        <v>384</v>
      </c>
      <c r="CA51" s="99">
        <v>1031</v>
      </c>
      <c r="CB51" s="99">
        <v>535</v>
      </c>
      <c r="CC51" s="98">
        <f t="shared" si="3"/>
        <v>0.439</v>
      </c>
      <c r="CD51" s="132">
        <v>40743</v>
      </c>
      <c r="CE51" s="100" t="b">
        <v>1</v>
      </c>
      <c r="CF51" s="100" t="b">
        <v>1</v>
      </c>
      <c r="CG51" s="100" t="s">
        <v>1422</v>
      </c>
      <c r="CH51" s="100">
        <v>3000</v>
      </c>
      <c r="CI51" s="100">
        <v>397</v>
      </c>
      <c r="CJ51" s="103"/>
      <c r="CK51" s="100">
        <v>2020</v>
      </c>
      <c r="CL51" s="100">
        <v>8268</v>
      </c>
      <c r="CM51" s="100">
        <v>785</v>
      </c>
      <c r="CN51" s="100"/>
      <c r="CO51" s="100"/>
      <c r="CP51" s="100"/>
      <c r="CQ51" s="100"/>
      <c r="CR51" s="100"/>
      <c r="CS51" s="100"/>
      <c r="CT51" s="100"/>
      <c r="CU51" s="132">
        <v>40869</v>
      </c>
      <c r="CV51" s="100">
        <v>2043</v>
      </c>
      <c r="CW51" s="100">
        <v>76</v>
      </c>
      <c r="CX51" s="103"/>
      <c r="CY51" s="100"/>
      <c r="CZ51" s="100"/>
      <c r="DA51" s="100"/>
      <c r="DB51" s="100"/>
      <c r="DC51" s="100"/>
      <c r="DD51" s="100"/>
      <c r="DE51" s="100"/>
      <c r="DF51" s="155">
        <v>14914</v>
      </c>
      <c r="DG51" s="100">
        <v>357</v>
      </c>
      <c r="DH51" s="100">
        <v>519</v>
      </c>
      <c r="DI51" s="100"/>
      <c r="DJ51" s="100" t="b">
        <v>1</v>
      </c>
      <c r="DK51" s="100" t="b">
        <v>0</v>
      </c>
      <c r="DL51" s="100">
        <v>1</v>
      </c>
      <c r="DM51" s="100"/>
      <c r="DN51" s="100" t="s">
        <v>1800</v>
      </c>
      <c r="DO51" s="100" t="s">
        <v>1801</v>
      </c>
      <c r="DP51" s="100"/>
      <c r="DQ51" s="100"/>
      <c r="DR51" s="100"/>
      <c r="DS51" s="100"/>
      <c r="DT51" s="100"/>
      <c r="DU51" s="100"/>
      <c r="DV51" s="100">
        <v>384</v>
      </c>
      <c r="DW51" s="100">
        <v>535</v>
      </c>
      <c r="DX51" s="100"/>
      <c r="DY51" s="100" t="b">
        <v>0</v>
      </c>
      <c r="DZ51" s="100" t="b">
        <v>0</v>
      </c>
      <c r="EA51" s="100">
        <v>0</v>
      </c>
      <c r="EB51" s="100"/>
      <c r="EC51" s="103"/>
      <c r="ED51" s="103"/>
      <c r="EM51" s="112"/>
      <c r="EN51" s="112"/>
      <c r="EO51" s="193" t="s">
        <v>1799</v>
      </c>
      <c r="EP51" s="193">
        <v>43.91</v>
      </c>
      <c r="EQ51" t="b">
        <f t="shared" si="4"/>
        <v>0</v>
      </c>
    </row>
    <row r="52" spans="1:147" ht="15.95" customHeight="1" x14ac:dyDescent="0.25">
      <c r="A52" s="102" t="s">
        <v>58</v>
      </c>
      <c r="B52" s="156">
        <v>0.92304140329360962</v>
      </c>
      <c r="C52" s="102" t="s">
        <v>1441</v>
      </c>
      <c r="D52" s="102" t="s">
        <v>1441</v>
      </c>
      <c r="E52" s="102" t="s">
        <v>114</v>
      </c>
      <c r="F52" s="156" t="b">
        <v>0</v>
      </c>
      <c r="G52" s="157"/>
      <c r="H52" s="102"/>
      <c r="I52" s="102" t="s">
        <v>80</v>
      </c>
      <c r="J52" s="102" t="s">
        <v>1803</v>
      </c>
      <c r="K52" s="102" t="s">
        <v>1705</v>
      </c>
      <c r="L52" s="102"/>
      <c r="M52" s="102"/>
      <c r="N52" s="157" t="s">
        <v>1737</v>
      </c>
      <c r="O52" s="102" t="s">
        <v>1422</v>
      </c>
      <c r="P52" s="158">
        <v>40731</v>
      </c>
      <c r="Q52" s="158">
        <v>40756.588379629633</v>
      </c>
      <c r="R52" s="158">
        <v>40758.751550925925</v>
      </c>
      <c r="S52" s="158">
        <v>40861.6952662037</v>
      </c>
      <c r="T52" s="158">
        <v>40865.421574074076</v>
      </c>
      <c r="U52" s="158">
        <v>40933</v>
      </c>
      <c r="V52" s="156">
        <v>1217</v>
      </c>
      <c r="W52" s="102" t="s">
        <v>68</v>
      </c>
      <c r="X52" s="156">
        <v>557</v>
      </c>
      <c r="Y52" s="159"/>
      <c r="Z52" s="156">
        <v>258</v>
      </c>
      <c r="AA52" s="156">
        <v>0</v>
      </c>
      <c r="AB52" s="159"/>
      <c r="AC52" s="156">
        <v>553</v>
      </c>
      <c r="AD52" s="159"/>
      <c r="AE52" s="156">
        <v>255</v>
      </c>
      <c r="AF52" s="156">
        <v>1888</v>
      </c>
      <c r="AG52" s="156">
        <v>3500</v>
      </c>
      <c r="AH52" s="100"/>
      <c r="AI52" s="100"/>
      <c r="AJ52" s="100"/>
      <c r="AK52" s="100"/>
      <c r="AL52" s="132">
        <v>40756</v>
      </c>
      <c r="AM52" s="100">
        <v>1217</v>
      </c>
      <c r="AN52" s="133">
        <v>0</v>
      </c>
      <c r="AO52" s="99">
        <v>4415</v>
      </c>
      <c r="AP52" s="100">
        <v>558</v>
      </c>
      <c r="AQ52" s="100">
        <v>558</v>
      </c>
      <c r="AR52" s="100">
        <v>258</v>
      </c>
      <c r="AS52" s="133">
        <f t="shared" si="5"/>
        <v>0</v>
      </c>
      <c r="AT52" s="100"/>
      <c r="AU52" s="100"/>
      <c r="AV52" s="100"/>
      <c r="AW52" s="100"/>
      <c r="AX52" s="100"/>
      <c r="AY52" s="100"/>
      <c r="AZ52" s="100"/>
      <c r="BA52" s="100"/>
      <c r="BB52" s="132">
        <v>40808</v>
      </c>
      <c r="BC52" s="100">
        <v>1217</v>
      </c>
      <c r="BD52" s="100" t="s">
        <v>1387</v>
      </c>
      <c r="BE52" s="98">
        <v>0</v>
      </c>
      <c r="BF52" s="100" t="s">
        <v>1388</v>
      </c>
      <c r="BG52" s="154">
        <f>0%-0%</f>
        <v>0</v>
      </c>
      <c r="BH52" s="100" t="s">
        <v>1386</v>
      </c>
      <c r="BI52" s="154">
        <f>0%-0%</f>
        <v>0</v>
      </c>
      <c r="BJ52" s="103"/>
      <c r="BK52" s="143"/>
      <c r="BL52" s="103"/>
      <c r="BM52" s="143"/>
      <c r="BN52" s="143"/>
      <c r="BO52" s="143"/>
      <c r="BP52" s="143"/>
      <c r="BQ52" s="143"/>
      <c r="BR52" s="143"/>
      <c r="BS52" s="143"/>
      <c r="BT52" s="143"/>
      <c r="BU52" s="143"/>
      <c r="BV52" s="143"/>
      <c r="BW52" s="143"/>
      <c r="BX52" s="98">
        <v>0</v>
      </c>
      <c r="BY52" s="99">
        <v>4415</v>
      </c>
      <c r="BZ52" s="99">
        <v>554</v>
      </c>
      <c r="CA52" s="99">
        <v>558</v>
      </c>
      <c r="CB52" s="99">
        <v>255</v>
      </c>
      <c r="CC52" s="98">
        <f t="shared" si="3"/>
        <v>0</v>
      </c>
      <c r="CD52" s="132">
        <v>40731</v>
      </c>
      <c r="CE52" s="100" t="b">
        <v>1</v>
      </c>
      <c r="CF52" s="100" t="b">
        <v>1</v>
      </c>
      <c r="CG52" s="100" t="s">
        <v>1422</v>
      </c>
      <c r="CH52" s="100">
        <v>1930</v>
      </c>
      <c r="CI52" s="103"/>
      <c r="CJ52" s="103"/>
      <c r="CK52" s="100">
        <v>1217.3</v>
      </c>
      <c r="CL52" s="100">
        <v>4031</v>
      </c>
      <c r="CM52" s="100">
        <v>349</v>
      </c>
      <c r="CN52" s="100"/>
      <c r="CO52" s="100"/>
      <c r="CP52" s="100"/>
      <c r="CQ52" s="100"/>
      <c r="CR52" s="100"/>
      <c r="CS52" s="100"/>
      <c r="CT52" s="100"/>
      <c r="CU52" s="132">
        <v>40767</v>
      </c>
      <c r="CV52" s="100">
        <v>1392</v>
      </c>
      <c r="CW52" s="103"/>
      <c r="CX52" s="100" t="b">
        <v>1</v>
      </c>
      <c r="CY52" s="100"/>
      <c r="CZ52" s="100"/>
      <c r="DA52" s="100"/>
      <c r="DB52" s="100"/>
      <c r="DC52" s="100"/>
      <c r="DD52" s="100"/>
      <c r="DE52" s="100"/>
      <c r="DF52" s="155">
        <v>8939</v>
      </c>
      <c r="DG52" s="100">
        <v>557</v>
      </c>
      <c r="DH52" s="100">
        <v>258</v>
      </c>
      <c r="DI52" s="100"/>
      <c r="DJ52" s="100" t="b">
        <v>1</v>
      </c>
      <c r="DK52" s="100" t="b">
        <v>1</v>
      </c>
      <c r="DL52" s="100">
        <v>0</v>
      </c>
      <c r="DM52" s="100"/>
      <c r="DN52" s="171" t="s">
        <v>1804</v>
      </c>
      <c r="DO52" s="172"/>
      <c r="DP52" s="100"/>
      <c r="DQ52" s="100"/>
      <c r="DR52" s="100"/>
      <c r="DS52" s="100"/>
      <c r="DT52" s="100"/>
      <c r="DU52" s="100"/>
      <c r="DV52" s="100">
        <v>553</v>
      </c>
      <c r="DW52" s="100">
        <v>255</v>
      </c>
      <c r="DX52" s="100"/>
      <c r="DY52" s="100" t="b">
        <v>0</v>
      </c>
      <c r="DZ52" s="100" t="b">
        <v>0</v>
      </c>
      <c r="EA52" s="100">
        <v>4</v>
      </c>
      <c r="EB52" s="100"/>
      <c r="EC52" s="100" t="s">
        <v>1805</v>
      </c>
      <c r="ED52" s="100" t="s">
        <v>1806</v>
      </c>
      <c r="EM52" s="112"/>
      <c r="EN52" s="112"/>
      <c r="EO52" s="193" t="s">
        <v>1802</v>
      </c>
      <c r="EP52" s="193">
        <v>38.6</v>
      </c>
      <c r="EQ52" t="b">
        <f t="shared" si="4"/>
        <v>0</v>
      </c>
    </row>
    <row r="53" spans="1:147" ht="15.95" customHeight="1" x14ac:dyDescent="0.25">
      <c r="A53" s="102" t="s">
        <v>58</v>
      </c>
      <c r="B53" s="156">
        <v>0.63297581672668457</v>
      </c>
      <c r="C53" s="102" t="s">
        <v>1474</v>
      </c>
      <c r="D53" s="102" t="s">
        <v>1474</v>
      </c>
      <c r="E53" s="102" t="s">
        <v>114</v>
      </c>
      <c r="F53" s="156" t="b">
        <v>0</v>
      </c>
      <c r="G53" s="157"/>
      <c r="H53" s="102"/>
      <c r="I53" s="102" t="s">
        <v>1808</v>
      </c>
      <c r="J53" s="102" t="s">
        <v>1809</v>
      </c>
      <c r="K53" s="102" t="s">
        <v>1787</v>
      </c>
      <c r="L53" s="102"/>
      <c r="M53" s="102"/>
      <c r="N53" s="157" t="s">
        <v>75</v>
      </c>
      <c r="O53" s="102" t="s">
        <v>1422</v>
      </c>
      <c r="P53" s="158">
        <v>40800</v>
      </c>
      <c r="Q53" s="158">
        <v>40869.613356481481</v>
      </c>
      <c r="R53" s="158">
        <v>40876.646805555552</v>
      </c>
      <c r="S53" s="158">
        <v>40906.627638888887</v>
      </c>
      <c r="T53" s="158">
        <v>40914.532175925924</v>
      </c>
      <c r="U53" s="158">
        <v>40948</v>
      </c>
      <c r="V53" s="156">
        <v>1570</v>
      </c>
      <c r="W53" s="102" t="s">
        <v>68</v>
      </c>
      <c r="X53" s="156">
        <v>5345</v>
      </c>
      <c r="Y53" s="159"/>
      <c r="Z53" s="156">
        <v>672</v>
      </c>
      <c r="AA53" s="156">
        <v>0</v>
      </c>
      <c r="AB53" s="159"/>
      <c r="AC53" s="156">
        <v>5574</v>
      </c>
      <c r="AD53" s="159"/>
      <c r="AE53" s="156">
        <v>677</v>
      </c>
      <c r="AF53" s="156">
        <v>19024</v>
      </c>
      <c r="AG53" s="156">
        <v>4000</v>
      </c>
      <c r="AH53" s="100"/>
      <c r="AI53" s="100"/>
      <c r="AJ53" s="100"/>
      <c r="AK53" s="100"/>
      <c r="AL53" s="132">
        <v>40869</v>
      </c>
      <c r="AM53" s="99">
        <v>1570</v>
      </c>
      <c r="AN53" s="98">
        <v>0.49199999999999999</v>
      </c>
      <c r="AO53" s="99">
        <v>13706</v>
      </c>
      <c r="AP53" s="99">
        <v>5350</v>
      </c>
      <c r="AQ53" s="99">
        <v>1269</v>
      </c>
      <c r="AR53" s="100">
        <v>672</v>
      </c>
      <c r="AS53" s="133">
        <f t="shared" si="5"/>
        <v>0.49199999999999999</v>
      </c>
      <c r="AT53" s="100"/>
      <c r="AU53" s="100"/>
      <c r="AV53" s="100"/>
      <c r="AW53" s="100"/>
      <c r="AX53" s="100"/>
      <c r="AY53" s="100"/>
      <c r="AZ53" s="100"/>
      <c r="BA53" s="100"/>
      <c r="BB53" s="132">
        <v>40870</v>
      </c>
      <c r="BC53" s="100">
        <v>1570</v>
      </c>
      <c r="BD53" s="100" t="s">
        <v>1387</v>
      </c>
      <c r="BE53" s="98">
        <v>2.4E-2</v>
      </c>
      <c r="BF53" s="100" t="s">
        <v>1396</v>
      </c>
      <c r="BG53" s="154">
        <f>11.8%-2.4%</f>
        <v>9.4E-2</v>
      </c>
      <c r="BH53" s="100" t="s">
        <v>1386</v>
      </c>
      <c r="BI53" s="154">
        <f>19.4%-11.8%</f>
        <v>7.599999999999997E-2</v>
      </c>
      <c r="BJ53" s="100" t="s">
        <v>1389</v>
      </c>
      <c r="BK53" s="98">
        <f>26.4%-19.4%</f>
        <v>7.0000000000000034E-2</v>
      </c>
      <c r="BL53" s="100" t="s">
        <v>1393</v>
      </c>
      <c r="BM53" s="98">
        <f>38.7%-26.4%</f>
        <v>0.123</v>
      </c>
      <c r="BN53" s="98" t="s">
        <v>1394</v>
      </c>
      <c r="BO53" s="98">
        <f>49.9%-38.7%</f>
        <v>0.11199999999999999</v>
      </c>
      <c r="BP53" s="143"/>
      <c r="BQ53" s="143"/>
      <c r="BR53" s="143"/>
      <c r="BS53" s="143"/>
      <c r="BT53" s="143"/>
      <c r="BU53" s="143"/>
      <c r="BV53" s="143"/>
      <c r="BW53" s="143"/>
      <c r="BX53" s="98">
        <v>0.499</v>
      </c>
      <c r="BY53" s="99">
        <v>13706</v>
      </c>
      <c r="BZ53" s="99">
        <v>5579</v>
      </c>
      <c r="CA53" s="99">
        <v>1269</v>
      </c>
      <c r="CB53" s="99">
        <v>677</v>
      </c>
      <c r="CC53" s="98">
        <f t="shared" si="3"/>
        <v>0.499</v>
      </c>
      <c r="CD53" s="132">
        <v>40800</v>
      </c>
      <c r="CE53" s="169" t="b">
        <v>1</v>
      </c>
      <c r="CF53" s="100" t="b">
        <v>0</v>
      </c>
      <c r="CG53" s="100" t="s">
        <v>1422</v>
      </c>
      <c r="CH53" s="100">
        <v>2560</v>
      </c>
      <c r="CI53" s="100">
        <v>368</v>
      </c>
      <c r="CJ53" s="103"/>
      <c r="CK53" s="100">
        <v>1570</v>
      </c>
      <c r="CL53" s="103"/>
      <c r="CM53" s="103"/>
      <c r="CN53" s="100"/>
      <c r="CO53" s="100"/>
      <c r="CP53" s="100"/>
      <c r="CQ53" s="100"/>
      <c r="CR53" s="100"/>
      <c r="CS53" s="100"/>
      <c r="CT53" s="100"/>
      <c r="CU53" s="132">
        <v>40869</v>
      </c>
      <c r="CV53" s="100">
        <v>1360</v>
      </c>
      <c r="CW53" s="100">
        <v>60</v>
      </c>
      <c r="CX53" s="103"/>
      <c r="CY53" s="100"/>
      <c r="CZ53" s="100"/>
      <c r="DA53" s="100"/>
      <c r="DB53" s="100"/>
      <c r="DC53" s="100"/>
      <c r="DD53" s="100"/>
      <c r="DE53" s="100"/>
      <c r="DF53" s="155">
        <v>18350</v>
      </c>
      <c r="DG53" s="100">
        <v>5350</v>
      </c>
      <c r="DH53" s="100">
        <v>672</v>
      </c>
      <c r="DI53" s="100"/>
      <c r="DJ53" s="100" t="b">
        <v>0</v>
      </c>
      <c r="DK53" s="100" t="b">
        <v>0</v>
      </c>
      <c r="DL53" s="100">
        <v>1</v>
      </c>
      <c r="DM53" s="100"/>
      <c r="DN53" s="100" t="s">
        <v>1810</v>
      </c>
      <c r="DO53" s="164" t="s">
        <v>1811</v>
      </c>
      <c r="DP53" s="100"/>
      <c r="DQ53" s="100"/>
      <c r="DR53" s="100"/>
      <c r="DS53" s="100"/>
      <c r="DT53" s="100"/>
      <c r="DU53" s="100"/>
      <c r="DV53" s="100">
        <v>5580</v>
      </c>
      <c r="DW53" s="100">
        <v>677</v>
      </c>
      <c r="DX53" s="100"/>
      <c r="DY53" s="100" t="b">
        <v>0</v>
      </c>
      <c r="DZ53" s="100" t="b">
        <v>0</v>
      </c>
      <c r="EA53" s="100">
        <v>1</v>
      </c>
      <c r="EB53" s="100"/>
      <c r="EC53" s="100" t="s">
        <v>1812</v>
      </c>
      <c r="ED53" s="100"/>
      <c r="EM53" s="112"/>
      <c r="EN53" s="112"/>
      <c r="EO53" s="193" t="s">
        <v>1807</v>
      </c>
      <c r="EP53" s="193">
        <v>49.95</v>
      </c>
      <c r="EQ53" t="b">
        <f t="shared" si="4"/>
        <v>0</v>
      </c>
    </row>
    <row r="54" spans="1:147" ht="15.95" customHeight="1" x14ac:dyDescent="0.25">
      <c r="A54" s="102" t="s">
        <v>58</v>
      </c>
      <c r="B54" s="156">
        <v>0.38574004173278809</v>
      </c>
      <c r="C54" s="102" t="s">
        <v>1457</v>
      </c>
      <c r="D54" s="102" t="s">
        <v>1457</v>
      </c>
      <c r="E54" s="102" t="s">
        <v>114</v>
      </c>
      <c r="F54" s="156" t="b">
        <v>0</v>
      </c>
      <c r="G54" s="157"/>
      <c r="H54" s="102"/>
      <c r="I54" s="102" t="s">
        <v>89</v>
      </c>
      <c r="J54" s="102" t="s">
        <v>1814</v>
      </c>
      <c r="K54" s="102" t="s">
        <v>1755</v>
      </c>
      <c r="L54" s="102"/>
      <c r="M54" s="102"/>
      <c r="N54" s="157" t="s">
        <v>122</v>
      </c>
      <c r="O54" s="102" t="s">
        <v>1422</v>
      </c>
      <c r="P54" s="158">
        <v>40813</v>
      </c>
      <c r="Q54" s="158">
        <v>40865.652743055558</v>
      </c>
      <c r="R54" s="158">
        <v>40876.640972222223</v>
      </c>
      <c r="S54" s="158">
        <v>40890.491064814814</v>
      </c>
      <c r="T54" s="158">
        <v>40892.628923611112</v>
      </c>
      <c r="U54" s="158">
        <v>40932</v>
      </c>
      <c r="V54" s="156">
        <v>2540</v>
      </c>
      <c r="W54" s="102" t="s">
        <v>68</v>
      </c>
      <c r="X54" s="156">
        <v>522</v>
      </c>
      <c r="Y54" s="159"/>
      <c r="Z54" s="156">
        <v>329</v>
      </c>
      <c r="AA54" s="156">
        <v>0</v>
      </c>
      <c r="AB54" s="159"/>
      <c r="AC54" s="156">
        <v>528</v>
      </c>
      <c r="AD54" s="159"/>
      <c r="AE54" s="156">
        <v>333</v>
      </c>
      <c r="AF54" s="156">
        <v>1801</v>
      </c>
      <c r="AG54" s="156">
        <v>3000</v>
      </c>
      <c r="AH54" s="100"/>
      <c r="AI54" s="100"/>
      <c r="AJ54" s="100"/>
      <c r="AK54" s="100"/>
      <c r="AL54" s="132">
        <v>40865</v>
      </c>
      <c r="AM54" s="100">
        <v>2540</v>
      </c>
      <c r="AN54" s="133">
        <v>0.3</v>
      </c>
      <c r="AO54" s="99">
        <v>7237</v>
      </c>
      <c r="AP54" s="100">
        <v>522</v>
      </c>
      <c r="AQ54" s="100">
        <v>908</v>
      </c>
      <c r="AR54" s="100">
        <v>329</v>
      </c>
      <c r="AS54" s="133">
        <f t="shared" si="5"/>
        <v>0.3</v>
      </c>
      <c r="AT54" s="100"/>
      <c r="AU54" s="100"/>
      <c r="AV54" s="100"/>
      <c r="AW54" s="100"/>
      <c r="AX54" s="100"/>
      <c r="AY54" s="100"/>
      <c r="AZ54" s="100"/>
      <c r="BA54" s="100"/>
      <c r="BB54" s="132">
        <v>40886</v>
      </c>
      <c r="BC54" s="100">
        <v>2540</v>
      </c>
      <c r="BD54" s="100" t="s">
        <v>1388</v>
      </c>
      <c r="BE54" s="98">
        <v>0.14099999999999999</v>
      </c>
      <c r="BF54" s="100" t="s">
        <v>1395</v>
      </c>
      <c r="BG54" s="154">
        <f>24%-14.1%</f>
        <v>9.9000000000000005E-2</v>
      </c>
      <c r="BH54" s="100" t="s">
        <v>1396</v>
      </c>
      <c r="BI54" s="154">
        <f>25.6%-24%</f>
        <v>1.6000000000000014E-2</v>
      </c>
      <c r="BJ54" s="100" t="s">
        <v>1386</v>
      </c>
      <c r="BK54" s="98">
        <f>27.8%-25.6%</f>
        <v>2.200000000000002E-2</v>
      </c>
      <c r="BL54" s="100" t="s">
        <v>1394</v>
      </c>
      <c r="BM54" s="98">
        <f>30.4%-27.8%</f>
        <v>2.5999999999999968E-2</v>
      </c>
      <c r="BN54" s="143"/>
      <c r="BO54" s="143"/>
      <c r="BP54" s="143"/>
      <c r="BQ54" s="143"/>
      <c r="BR54" s="143"/>
      <c r="BS54" s="143"/>
      <c r="BT54" s="143"/>
      <c r="BU54" s="143"/>
      <c r="BV54" s="143"/>
      <c r="BW54" s="143"/>
      <c r="BX54" s="98">
        <v>0.30399999999999999</v>
      </c>
      <c r="BY54" s="99">
        <v>7237</v>
      </c>
      <c r="BZ54" s="99">
        <v>528</v>
      </c>
      <c r="CA54" s="99">
        <v>908</v>
      </c>
      <c r="CB54" s="99">
        <v>333</v>
      </c>
      <c r="CC54" s="98">
        <f t="shared" si="3"/>
        <v>0.30399999999999999</v>
      </c>
      <c r="CD54" s="132">
        <v>40793</v>
      </c>
      <c r="CE54" s="100" t="b">
        <v>1</v>
      </c>
      <c r="CF54" s="100" t="b">
        <v>0</v>
      </c>
      <c r="CG54" s="100" t="s">
        <v>1422</v>
      </c>
      <c r="CH54" s="100">
        <v>2500</v>
      </c>
      <c r="CI54" s="100">
        <v>25</v>
      </c>
      <c r="CJ54" s="103"/>
      <c r="CK54" s="100">
        <v>2540</v>
      </c>
      <c r="CL54" s="103"/>
      <c r="CM54" s="103"/>
      <c r="CN54" s="100"/>
      <c r="CO54" s="100"/>
      <c r="CP54" s="100"/>
      <c r="CQ54" s="100"/>
      <c r="CR54" s="100"/>
      <c r="CS54" s="100"/>
      <c r="CT54" s="100"/>
      <c r="CU54" s="132">
        <v>40521</v>
      </c>
      <c r="CV54" s="100">
        <v>2604</v>
      </c>
      <c r="CW54" s="100">
        <v>25</v>
      </c>
      <c r="CX54" s="103"/>
      <c r="CY54" s="100"/>
      <c r="CZ54" s="100"/>
      <c r="DA54" s="100"/>
      <c r="DB54" s="100"/>
      <c r="DC54" s="100"/>
      <c r="DD54" s="100"/>
      <c r="DE54" s="100"/>
      <c r="DF54" s="155">
        <v>10400</v>
      </c>
      <c r="DG54" s="100">
        <v>522</v>
      </c>
      <c r="DH54" s="100">
        <v>329</v>
      </c>
      <c r="DI54" s="100"/>
      <c r="DJ54" s="100" t="b">
        <v>0</v>
      </c>
      <c r="DK54" s="100" t="b">
        <v>0</v>
      </c>
      <c r="DL54" s="100">
        <v>1</v>
      </c>
      <c r="DM54" s="100"/>
      <c r="DN54" s="100" t="s">
        <v>1815</v>
      </c>
      <c r="DO54" s="103"/>
      <c r="DP54" s="100"/>
      <c r="DQ54" s="100"/>
      <c r="DR54" s="100"/>
      <c r="DS54" s="100"/>
      <c r="DT54" s="100"/>
      <c r="DU54" s="100"/>
      <c r="DV54" s="100">
        <v>528</v>
      </c>
      <c r="DW54" s="100">
        <v>333</v>
      </c>
      <c r="DX54" s="100"/>
      <c r="DY54" s="100" t="b">
        <v>0</v>
      </c>
      <c r="DZ54" s="100" t="b">
        <v>0</v>
      </c>
      <c r="EA54" s="100">
        <v>0</v>
      </c>
      <c r="EB54" s="100"/>
      <c r="EC54" s="103"/>
      <c r="ED54" s="103"/>
      <c r="EM54" s="112"/>
      <c r="EN54" s="112"/>
      <c r="EO54" s="193" t="s">
        <v>1813</v>
      </c>
      <c r="EP54" s="193">
        <v>30.37</v>
      </c>
      <c r="EQ54" t="b">
        <f t="shared" si="4"/>
        <v>0</v>
      </c>
    </row>
    <row r="55" spans="1:147" ht="15.95" customHeight="1" x14ac:dyDescent="0.25">
      <c r="A55" s="102" t="s">
        <v>58</v>
      </c>
      <c r="B55" s="156">
        <v>0.32755619287490845</v>
      </c>
      <c r="C55" s="102" t="s">
        <v>1471</v>
      </c>
      <c r="D55" s="102" t="s">
        <v>1471</v>
      </c>
      <c r="E55" s="102" t="s">
        <v>114</v>
      </c>
      <c r="F55" s="156" t="b">
        <v>0</v>
      </c>
      <c r="G55" s="157"/>
      <c r="H55" s="102"/>
      <c r="I55" s="102" t="s">
        <v>1817</v>
      </c>
      <c r="J55" s="102" t="s">
        <v>1818</v>
      </c>
      <c r="K55" s="102" t="s">
        <v>1819</v>
      </c>
      <c r="L55" s="102"/>
      <c r="M55" s="102"/>
      <c r="N55" s="157" t="s">
        <v>1820</v>
      </c>
      <c r="O55" s="102" t="s">
        <v>1422</v>
      </c>
      <c r="P55" s="158">
        <v>40556.333333333336</v>
      </c>
      <c r="Q55" s="158">
        <v>40808.647083333337</v>
      </c>
      <c r="R55" s="158">
        <v>40809.5387962963</v>
      </c>
      <c r="S55" s="158">
        <v>40814.62767361111</v>
      </c>
      <c r="T55" s="158">
        <v>40820.467557870368</v>
      </c>
      <c r="U55" s="158">
        <v>40843</v>
      </c>
      <c r="V55" s="156">
        <v>2438</v>
      </c>
      <c r="W55" s="102" t="s">
        <v>68</v>
      </c>
      <c r="X55" s="156">
        <v>1663</v>
      </c>
      <c r="Y55" s="159"/>
      <c r="Z55" s="156">
        <v>244</v>
      </c>
      <c r="AA55" s="156">
        <v>0</v>
      </c>
      <c r="AB55" s="159"/>
      <c r="AC55" s="156">
        <v>0</v>
      </c>
      <c r="AD55" s="159"/>
      <c r="AE55" s="156">
        <v>0</v>
      </c>
      <c r="AF55" s="156">
        <v>0</v>
      </c>
      <c r="AG55" s="156">
        <v>2000</v>
      </c>
      <c r="AH55" s="100"/>
      <c r="AI55" s="100"/>
      <c r="AJ55" s="100"/>
      <c r="AK55" s="100"/>
      <c r="AL55" s="132">
        <v>40792</v>
      </c>
      <c r="AM55" s="100">
        <v>2438</v>
      </c>
      <c r="AN55" s="98">
        <v>0.22600000000000001</v>
      </c>
      <c r="AO55" s="99">
        <v>11252</v>
      </c>
      <c r="AP55" s="100">
        <v>1665</v>
      </c>
      <c r="AQ55" s="100">
        <v>944</v>
      </c>
      <c r="AR55" s="100">
        <v>244</v>
      </c>
      <c r="AS55" s="133">
        <f t="shared" si="5"/>
        <v>0.22600000000000001</v>
      </c>
      <c r="AT55" s="100"/>
      <c r="AU55" s="100"/>
      <c r="AV55" s="100"/>
      <c r="AW55" s="100"/>
      <c r="AX55" s="100"/>
      <c r="AY55" s="100"/>
      <c r="AZ55" s="100"/>
      <c r="BA55" s="100"/>
      <c r="BB55" s="132">
        <v>40812</v>
      </c>
      <c r="BC55" s="100">
        <v>2438</v>
      </c>
      <c r="BD55" s="100" t="s">
        <v>1386</v>
      </c>
      <c r="BE55" s="98">
        <v>4.7E-2</v>
      </c>
      <c r="BF55" s="100" t="s">
        <v>1387</v>
      </c>
      <c r="BG55" s="154">
        <f>4.7%-4.7%</f>
        <v>0</v>
      </c>
      <c r="BH55" s="100" t="s">
        <v>1389</v>
      </c>
      <c r="BI55" s="154">
        <f>20.2%-4.7%</f>
        <v>0.15499999999999997</v>
      </c>
      <c r="BJ55" s="103"/>
      <c r="BK55" s="143"/>
      <c r="BL55" s="103"/>
      <c r="BM55" s="143"/>
      <c r="BN55" s="143"/>
      <c r="BO55" s="143"/>
      <c r="BP55" s="143"/>
      <c r="BQ55" s="143"/>
      <c r="BR55" s="143"/>
      <c r="BS55" s="143"/>
      <c r="BT55" s="143"/>
      <c r="BU55" s="143"/>
      <c r="BV55" s="143"/>
      <c r="BW55" s="143"/>
      <c r="BX55" s="98">
        <v>0.20200000000000001</v>
      </c>
      <c r="BY55" s="99">
        <v>12622</v>
      </c>
      <c r="BZ55" s="99">
        <v>2040</v>
      </c>
      <c r="CA55" s="99">
        <v>1222</v>
      </c>
      <c r="CB55" s="99">
        <v>264</v>
      </c>
      <c r="CC55" s="98">
        <f t="shared" si="3"/>
        <v>0.20200000000000001</v>
      </c>
      <c r="CD55" s="132">
        <v>40556</v>
      </c>
      <c r="CE55" s="100" t="b">
        <v>1</v>
      </c>
      <c r="CF55" s="100" t="b">
        <v>1</v>
      </c>
      <c r="CG55" s="100" t="s">
        <v>1422</v>
      </c>
      <c r="CH55" s="100">
        <v>3620</v>
      </c>
      <c r="CI55" s="100">
        <v>1020</v>
      </c>
      <c r="CJ55" s="103"/>
      <c r="CK55" s="100">
        <v>2438</v>
      </c>
      <c r="CL55" s="100">
        <v>4512</v>
      </c>
      <c r="CM55" s="100">
        <v>501</v>
      </c>
      <c r="CN55" s="100"/>
      <c r="CO55" s="100"/>
      <c r="CP55" s="100"/>
      <c r="CQ55" s="100"/>
      <c r="CR55" s="100"/>
      <c r="CS55" s="100"/>
      <c r="CT55" s="100"/>
      <c r="CU55" s="132">
        <v>40806</v>
      </c>
      <c r="CV55" s="100">
        <v>1801</v>
      </c>
      <c r="CW55" s="100">
        <v>226</v>
      </c>
      <c r="CX55" s="103"/>
      <c r="CY55" s="100"/>
      <c r="CZ55" s="100"/>
      <c r="DA55" s="100"/>
      <c r="DB55" s="100"/>
      <c r="DC55" s="100"/>
      <c r="DD55" s="100"/>
      <c r="DE55" s="100"/>
      <c r="DF55" s="155">
        <v>14995</v>
      </c>
      <c r="DG55" s="100">
        <v>1660</v>
      </c>
      <c r="DH55" s="100">
        <v>244</v>
      </c>
      <c r="DI55" s="100"/>
      <c r="DJ55" s="100" t="b">
        <v>0</v>
      </c>
      <c r="DK55" s="100" t="b">
        <v>0</v>
      </c>
      <c r="DL55" s="100">
        <v>1</v>
      </c>
      <c r="DM55" s="100"/>
      <c r="DN55" s="100" t="s">
        <v>1821</v>
      </c>
      <c r="DO55" s="103"/>
      <c r="DP55" s="100"/>
      <c r="DQ55" s="100"/>
      <c r="DR55" s="100"/>
      <c r="DS55" s="100"/>
      <c r="DT55" s="100"/>
      <c r="DU55" s="100"/>
      <c r="DV55" s="100">
        <v>2040</v>
      </c>
      <c r="DW55" s="100">
        <v>264</v>
      </c>
      <c r="DX55" s="100"/>
      <c r="DY55" s="100" t="b">
        <v>0</v>
      </c>
      <c r="DZ55" s="100" t="b">
        <v>0</v>
      </c>
      <c r="EA55" s="100">
        <v>0</v>
      </c>
      <c r="EB55" s="100"/>
      <c r="EC55" s="103"/>
      <c r="ED55" s="103"/>
      <c r="EM55" s="112"/>
      <c r="EN55" s="112"/>
      <c r="EO55" s="193" t="s">
        <v>1816</v>
      </c>
      <c r="EP55" s="193">
        <v>20.190000000000001</v>
      </c>
      <c r="EQ55" t="b">
        <f t="shared" si="4"/>
        <v>0</v>
      </c>
    </row>
    <row r="56" spans="1:147" ht="15.95" customHeight="1" x14ac:dyDescent="0.25">
      <c r="A56" s="102" t="s">
        <v>58</v>
      </c>
      <c r="B56" s="156">
        <v>0.86871552467346191</v>
      </c>
      <c r="C56" s="102" t="s">
        <v>1476</v>
      </c>
      <c r="D56" s="102" t="s">
        <v>1476</v>
      </c>
      <c r="E56" s="102" t="s">
        <v>114</v>
      </c>
      <c r="F56" s="156" t="b">
        <v>0</v>
      </c>
      <c r="G56" s="157"/>
      <c r="H56" s="102"/>
      <c r="I56" s="102" t="s">
        <v>91</v>
      </c>
      <c r="J56" s="102" t="s">
        <v>1823</v>
      </c>
      <c r="K56" s="102" t="s">
        <v>124</v>
      </c>
      <c r="L56" s="102"/>
      <c r="M56" s="102"/>
      <c r="N56" s="157" t="s">
        <v>120</v>
      </c>
      <c r="O56" s="102" t="s">
        <v>1422</v>
      </c>
      <c r="P56" s="158">
        <v>40723</v>
      </c>
      <c r="Q56" s="158">
        <v>40781.57917824074</v>
      </c>
      <c r="R56" s="158">
        <v>40787.577615740738</v>
      </c>
      <c r="S56" s="158">
        <v>40865.326979166668</v>
      </c>
      <c r="T56" s="158">
        <v>40941.612905092596</v>
      </c>
      <c r="U56" s="158">
        <v>40927</v>
      </c>
      <c r="V56" s="156">
        <v>2080</v>
      </c>
      <c r="W56" s="102" t="s">
        <v>68</v>
      </c>
      <c r="X56" s="156">
        <v>3074</v>
      </c>
      <c r="Y56" s="159"/>
      <c r="Z56" s="156">
        <v>422</v>
      </c>
      <c r="AA56" s="156">
        <v>0</v>
      </c>
      <c r="AB56" s="159"/>
      <c r="AC56" s="156">
        <v>2459</v>
      </c>
      <c r="AD56" s="159"/>
      <c r="AE56" s="156">
        <v>342</v>
      </c>
      <c r="AF56" s="156">
        <v>8393</v>
      </c>
      <c r="AG56" s="156">
        <v>2500</v>
      </c>
      <c r="AH56" s="100"/>
      <c r="AI56" s="100"/>
      <c r="AJ56" s="100"/>
      <c r="AK56" s="100"/>
      <c r="AL56" s="132">
        <v>40781</v>
      </c>
      <c r="AM56" s="100">
        <v>2086</v>
      </c>
      <c r="AN56" s="98">
        <v>0.314</v>
      </c>
      <c r="AO56" s="99">
        <v>14959</v>
      </c>
      <c r="AP56" s="99">
        <v>3077</v>
      </c>
      <c r="AQ56" s="100">
        <v>1166</v>
      </c>
      <c r="AR56" s="100">
        <v>422</v>
      </c>
      <c r="AS56" s="133">
        <f t="shared" si="5"/>
        <v>0.314</v>
      </c>
      <c r="AT56" s="100"/>
      <c r="AU56" s="100"/>
      <c r="AV56" s="100"/>
      <c r="AW56" s="100"/>
      <c r="AX56" s="100"/>
      <c r="AY56" s="100"/>
      <c r="AZ56" s="100"/>
      <c r="BA56" s="100"/>
      <c r="BB56" s="132">
        <v>40864</v>
      </c>
      <c r="BC56" s="100">
        <v>2086</v>
      </c>
      <c r="BD56" s="100" t="s">
        <v>1387</v>
      </c>
      <c r="BE56" s="98">
        <v>3.7999999999999999E-2</v>
      </c>
      <c r="BF56" s="100" t="s">
        <v>1386</v>
      </c>
      <c r="BG56" s="154">
        <f>5%-3.8%</f>
        <v>1.2000000000000004E-2</v>
      </c>
      <c r="BH56" s="100" t="s">
        <v>1389</v>
      </c>
      <c r="BI56" s="154">
        <f>13.4%-5%</f>
        <v>8.4000000000000005E-2</v>
      </c>
      <c r="BJ56" s="100" t="s">
        <v>1394</v>
      </c>
      <c r="BK56" s="98">
        <f>25.4%-13.4%</f>
        <v>0.12</v>
      </c>
      <c r="BL56" s="103"/>
      <c r="BM56" s="143"/>
      <c r="BN56" s="143"/>
      <c r="BO56" s="143"/>
      <c r="BP56" s="143"/>
      <c r="BQ56" s="143"/>
      <c r="BR56" s="143"/>
      <c r="BS56" s="143"/>
      <c r="BT56" s="143"/>
      <c r="BU56" s="143"/>
      <c r="BV56" s="143"/>
      <c r="BW56" s="143"/>
      <c r="BX56" s="98">
        <v>0.254</v>
      </c>
      <c r="BY56" s="99">
        <v>14959</v>
      </c>
      <c r="BZ56" s="99">
        <v>2461</v>
      </c>
      <c r="CA56" s="99">
        <v>1166</v>
      </c>
      <c r="CB56" s="99">
        <v>342</v>
      </c>
      <c r="CC56" s="98">
        <f t="shared" si="3"/>
        <v>0.254</v>
      </c>
      <c r="CD56" s="132">
        <v>40723</v>
      </c>
      <c r="CE56" s="100" t="b">
        <v>1</v>
      </c>
      <c r="CF56" s="100" t="b">
        <v>1</v>
      </c>
      <c r="CG56" s="100" t="s">
        <v>1422</v>
      </c>
      <c r="CH56" s="100">
        <v>2540</v>
      </c>
      <c r="CI56" s="100">
        <v>615</v>
      </c>
      <c r="CJ56" s="103"/>
      <c r="CK56" s="100">
        <v>2086.11</v>
      </c>
      <c r="CL56" s="103"/>
      <c r="CM56" s="103"/>
      <c r="CN56" s="100"/>
      <c r="CO56" s="100"/>
      <c r="CP56" s="100"/>
      <c r="CQ56" s="100"/>
      <c r="CR56" s="100"/>
      <c r="CS56" s="100"/>
      <c r="CT56" s="100"/>
      <c r="CU56" s="132">
        <v>40851</v>
      </c>
      <c r="CV56" s="100">
        <v>2210</v>
      </c>
      <c r="CW56" s="100">
        <v>460</v>
      </c>
      <c r="CX56" s="103"/>
      <c r="CY56" s="100"/>
      <c r="CZ56" s="100"/>
      <c r="DA56" s="100"/>
      <c r="DB56" s="100"/>
      <c r="DC56" s="100"/>
      <c r="DD56" s="100"/>
      <c r="DE56" s="100"/>
      <c r="DF56" s="155">
        <v>14450</v>
      </c>
      <c r="DG56" s="100">
        <v>3080</v>
      </c>
      <c r="DH56" s="100">
        <v>422</v>
      </c>
      <c r="DI56" s="100"/>
      <c r="DJ56" s="100" t="b">
        <v>1</v>
      </c>
      <c r="DK56" s="100" t="b">
        <v>0</v>
      </c>
      <c r="DL56" s="100">
        <v>0</v>
      </c>
      <c r="DM56" s="100"/>
      <c r="DN56" s="103"/>
      <c r="DO56" s="103"/>
      <c r="DP56" s="100"/>
      <c r="DQ56" s="100"/>
      <c r="DR56" s="100"/>
      <c r="DS56" s="100"/>
      <c r="DT56" s="100"/>
      <c r="DU56" s="100"/>
      <c r="DV56" s="100">
        <v>2460</v>
      </c>
      <c r="DW56" s="100">
        <v>342</v>
      </c>
      <c r="DX56" s="100"/>
      <c r="DY56" s="100" t="b">
        <v>0</v>
      </c>
      <c r="DZ56" s="100" t="b">
        <v>0</v>
      </c>
      <c r="EA56" s="100">
        <v>0</v>
      </c>
      <c r="EB56" s="100"/>
      <c r="EC56" s="103"/>
      <c r="ED56" s="103"/>
      <c r="EM56" s="112"/>
      <c r="EN56" s="112"/>
      <c r="EO56" s="193" t="s">
        <v>1822</v>
      </c>
      <c r="EP56" s="193">
        <v>25.4</v>
      </c>
      <c r="EQ56" t="b">
        <f t="shared" si="4"/>
        <v>0</v>
      </c>
    </row>
    <row r="57" spans="1:147" ht="15.95" customHeight="1" x14ac:dyDescent="0.25">
      <c r="A57" s="102" t="s">
        <v>58</v>
      </c>
      <c r="B57" s="156">
        <v>0.82280707359313965</v>
      </c>
      <c r="C57" s="102" t="s">
        <v>1479</v>
      </c>
      <c r="D57" s="102" t="s">
        <v>1479</v>
      </c>
      <c r="E57" s="102" t="s">
        <v>114</v>
      </c>
      <c r="F57" s="156" t="b">
        <v>0</v>
      </c>
      <c r="G57" s="157"/>
      <c r="H57" s="102"/>
      <c r="I57" s="102" t="s">
        <v>172</v>
      </c>
      <c r="J57" s="102" t="s">
        <v>1825</v>
      </c>
      <c r="K57" s="102" t="s">
        <v>124</v>
      </c>
      <c r="L57" s="102"/>
      <c r="M57" s="102"/>
      <c r="N57" s="157" t="s">
        <v>126</v>
      </c>
      <c r="O57" s="102" t="s">
        <v>1422</v>
      </c>
      <c r="P57" s="158">
        <v>40766</v>
      </c>
      <c r="Q57" s="158">
        <v>40799.352256944447</v>
      </c>
      <c r="R57" s="158">
        <v>40809.615312499998</v>
      </c>
      <c r="S57" s="158">
        <v>40828.669039351851</v>
      </c>
      <c r="T57" s="158">
        <v>40834.399351851855</v>
      </c>
      <c r="U57" s="158">
        <v>40869</v>
      </c>
      <c r="V57" s="156">
        <v>2355</v>
      </c>
      <c r="W57" s="102" t="s">
        <v>68</v>
      </c>
      <c r="X57" s="156">
        <v>2844</v>
      </c>
      <c r="Y57" s="159"/>
      <c r="Z57" s="156">
        <v>288</v>
      </c>
      <c r="AA57" s="156">
        <v>0</v>
      </c>
      <c r="AB57" s="159"/>
      <c r="AC57" s="156">
        <v>2844</v>
      </c>
      <c r="AD57" s="159"/>
      <c r="AE57" s="156">
        <v>288</v>
      </c>
      <c r="AF57" s="156">
        <v>9705</v>
      </c>
      <c r="AG57" s="156">
        <v>2000</v>
      </c>
      <c r="AH57" s="100"/>
      <c r="AI57" s="100"/>
      <c r="AJ57" s="100"/>
      <c r="AK57" s="100"/>
      <c r="AL57" s="132">
        <v>40798</v>
      </c>
      <c r="AM57" s="100">
        <v>2355</v>
      </c>
      <c r="AN57" s="98">
        <v>0.214</v>
      </c>
      <c r="AO57" s="99">
        <v>15958</v>
      </c>
      <c r="AP57" s="100">
        <v>2846</v>
      </c>
      <c r="AQ57" s="100">
        <v>1258</v>
      </c>
      <c r="AR57" s="100">
        <v>288</v>
      </c>
      <c r="AS57" s="133">
        <f t="shared" si="5"/>
        <v>0.214</v>
      </c>
      <c r="AT57" s="100"/>
      <c r="AU57" s="100"/>
      <c r="AV57" s="100"/>
      <c r="AW57" s="100"/>
      <c r="AX57" s="100"/>
      <c r="AY57" s="100"/>
      <c r="AZ57" s="100"/>
      <c r="BA57" s="100"/>
      <c r="BB57" s="132">
        <v>40827</v>
      </c>
      <c r="BC57" s="100">
        <v>2355</v>
      </c>
      <c r="BD57" s="100" t="s">
        <v>1389</v>
      </c>
      <c r="BE57" s="98">
        <v>7.6999999999999999E-2</v>
      </c>
      <c r="BF57" s="100" t="s">
        <v>1393</v>
      </c>
      <c r="BG57" s="154">
        <f>10.7%-7.7%</f>
        <v>0.03</v>
      </c>
      <c r="BH57" s="100" t="s">
        <v>1394</v>
      </c>
      <c r="BI57" s="154">
        <f>23.9%-10.7%</f>
        <v>0.13200000000000001</v>
      </c>
      <c r="BJ57" s="103"/>
      <c r="BK57" s="143"/>
      <c r="BL57" s="103"/>
      <c r="BM57" s="143"/>
      <c r="BN57" s="143"/>
      <c r="BO57" s="143"/>
      <c r="BP57" s="143"/>
      <c r="BQ57" s="143"/>
      <c r="BR57" s="143"/>
      <c r="BS57" s="143"/>
      <c r="BT57" s="143"/>
      <c r="BU57" s="143"/>
      <c r="BV57" s="143"/>
      <c r="BW57" s="143"/>
      <c r="BX57" s="98">
        <v>0.23899999999999999</v>
      </c>
      <c r="BY57" s="99">
        <v>15958</v>
      </c>
      <c r="BZ57" s="99">
        <v>3430</v>
      </c>
      <c r="CA57" s="99">
        <v>1258</v>
      </c>
      <c r="CB57" s="99">
        <v>315</v>
      </c>
      <c r="CC57" s="98">
        <f t="shared" si="3"/>
        <v>0.23899999999999999</v>
      </c>
      <c r="CD57" s="132">
        <v>40766</v>
      </c>
      <c r="CE57" s="100" t="b">
        <v>1</v>
      </c>
      <c r="CF57" s="100" t="b">
        <v>1</v>
      </c>
      <c r="CG57" s="100" t="s">
        <v>1422</v>
      </c>
      <c r="CH57" s="100">
        <v>2485</v>
      </c>
      <c r="CI57" s="100">
        <v>385</v>
      </c>
      <c r="CJ57" s="103"/>
      <c r="CK57" s="100">
        <v>2355</v>
      </c>
      <c r="CL57" s="103"/>
      <c r="CM57" s="103"/>
      <c r="CN57" s="100"/>
      <c r="CO57" s="100"/>
      <c r="CP57" s="100"/>
      <c r="CQ57" s="100"/>
      <c r="CR57" s="100"/>
      <c r="CS57" s="100"/>
      <c r="CT57" s="100"/>
      <c r="CU57" s="132">
        <v>40823</v>
      </c>
      <c r="CV57" s="100" t="s">
        <v>1792</v>
      </c>
      <c r="CW57" s="100">
        <v>78</v>
      </c>
      <c r="CX57" s="103"/>
      <c r="CY57" s="100"/>
      <c r="CZ57" s="100"/>
      <c r="DA57" s="100"/>
      <c r="DB57" s="100"/>
      <c r="DC57" s="100"/>
      <c r="DD57" s="100"/>
      <c r="DE57" s="100"/>
      <c r="DF57" s="155">
        <v>27570</v>
      </c>
      <c r="DG57" s="100">
        <v>2840</v>
      </c>
      <c r="DH57" s="100">
        <v>288</v>
      </c>
      <c r="DI57" s="100"/>
      <c r="DJ57" s="100" t="b">
        <v>0</v>
      </c>
      <c r="DK57" s="100" t="b">
        <v>0</v>
      </c>
      <c r="DL57" s="100">
        <v>0</v>
      </c>
      <c r="DM57" s="100"/>
      <c r="DN57" s="103"/>
      <c r="DO57" s="103"/>
      <c r="DP57" s="100"/>
      <c r="DQ57" s="100"/>
      <c r="DR57" s="100"/>
      <c r="DS57" s="100"/>
      <c r="DT57" s="100"/>
      <c r="DU57" s="100"/>
      <c r="DV57" s="100">
        <v>2840</v>
      </c>
      <c r="DW57" s="100">
        <v>288</v>
      </c>
      <c r="DX57" s="100"/>
      <c r="DY57" s="100" t="b">
        <v>0</v>
      </c>
      <c r="DZ57" s="100" t="b">
        <v>0</v>
      </c>
      <c r="EA57" s="100">
        <v>0</v>
      </c>
      <c r="EB57" s="100"/>
      <c r="EC57" s="100" t="s">
        <v>1826</v>
      </c>
      <c r="ED57" s="103"/>
      <c r="EM57" s="112"/>
      <c r="EN57" s="112"/>
      <c r="EO57" s="193" t="s">
        <v>1824</v>
      </c>
      <c r="EP57" s="193">
        <v>21.36</v>
      </c>
      <c r="EQ57" t="b">
        <f t="shared" si="4"/>
        <v>0</v>
      </c>
    </row>
    <row r="58" spans="1:147" ht="15.95" customHeight="1" x14ac:dyDescent="0.25">
      <c r="A58" s="102" t="s">
        <v>58</v>
      </c>
      <c r="B58" s="156">
        <v>0.13313281536102295</v>
      </c>
      <c r="C58" s="102" t="s">
        <v>1448</v>
      </c>
      <c r="D58" s="102" t="s">
        <v>1448</v>
      </c>
      <c r="E58" s="102" t="s">
        <v>114</v>
      </c>
      <c r="F58" s="156" t="b">
        <v>0</v>
      </c>
      <c r="G58" s="157"/>
      <c r="H58" s="102"/>
      <c r="I58" s="102" t="s">
        <v>89</v>
      </c>
      <c r="J58" s="102" t="s">
        <v>1828</v>
      </c>
      <c r="K58" s="102" t="s">
        <v>1755</v>
      </c>
      <c r="L58" s="102"/>
      <c r="M58" s="102"/>
      <c r="N58" s="157" t="s">
        <v>122</v>
      </c>
      <c r="O58" s="102" t="s">
        <v>1422</v>
      </c>
      <c r="P58" s="158">
        <v>40764</v>
      </c>
      <c r="Q58" s="158">
        <v>40842.510891203703</v>
      </c>
      <c r="R58" s="158">
        <v>40843.398425925923</v>
      </c>
      <c r="S58" s="158">
        <v>40882.93341435185</v>
      </c>
      <c r="T58" s="158">
        <v>40898.557071759256</v>
      </c>
      <c r="U58" s="158">
        <v>40933</v>
      </c>
      <c r="V58" s="156">
        <v>1845</v>
      </c>
      <c r="W58" s="102" t="s">
        <v>68</v>
      </c>
      <c r="X58" s="156">
        <v>695</v>
      </c>
      <c r="Y58" s="159"/>
      <c r="Z58" s="156">
        <v>634</v>
      </c>
      <c r="AA58" s="156">
        <v>0</v>
      </c>
      <c r="AB58" s="159"/>
      <c r="AC58" s="156">
        <v>476</v>
      </c>
      <c r="AD58" s="159"/>
      <c r="AE58" s="156">
        <v>399</v>
      </c>
      <c r="AF58" s="156">
        <v>1626</v>
      </c>
      <c r="AG58" s="156">
        <v>4000</v>
      </c>
      <c r="AH58" s="100"/>
      <c r="AI58" s="100"/>
      <c r="AJ58" s="100"/>
      <c r="AK58" s="100"/>
      <c r="AL58" s="132">
        <v>40765</v>
      </c>
      <c r="AM58" s="100">
        <v>1845</v>
      </c>
      <c r="AN58" s="98">
        <v>0.52600000000000002</v>
      </c>
      <c r="AO58" s="99">
        <v>6139</v>
      </c>
      <c r="AP58" s="100">
        <v>696</v>
      </c>
      <c r="AQ58" s="100">
        <v>1041</v>
      </c>
      <c r="AR58" s="100">
        <v>634</v>
      </c>
      <c r="AS58" s="133">
        <f t="shared" si="5"/>
        <v>0.52600000000000002</v>
      </c>
      <c r="AT58" s="100"/>
      <c r="AU58" s="100"/>
      <c r="AV58" s="100"/>
      <c r="AW58" s="100"/>
      <c r="AX58" s="100"/>
      <c r="AY58" s="100"/>
      <c r="AZ58" s="100"/>
      <c r="BA58" s="100"/>
      <c r="BB58" s="132">
        <v>40872</v>
      </c>
      <c r="BC58" s="100">
        <v>1845</v>
      </c>
      <c r="BD58" s="100" t="s">
        <v>1387</v>
      </c>
      <c r="BE58" s="98">
        <v>7.3999999999999996E-2</v>
      </c>
      <c r="BF58" s="100" t="s">
        <v>1395</v>
      </c>
      <c r="BG58" s="154">
        <f>21.1%-7.4%</f>
        <v>0.13700000000000001</v>
      </c>
      <c r="BH58" s="100" t="s">
        <v>1386</v>
      </c>
      <c r="BI58" s="154">
        <f>22.5%-21.1%</f>
        <v>1.3999999999999985E-2</v>
      </c>
      <c r="BJ58" s="100" t="s">
        <v>1389</v>
      </c>
      <c r="BK58" s="98">
        <f>32.4%-22.5%</f>
        <v>9.9000000000000005E-2</v>
      </c>
      <c r="BL58" s="100" t="s">
        <v>1393</v>
      </c>
      <c r="BM58" s="98">
        <f>32.4%-32.4%</f>
        <v>0</v>
      </c>
      <c r="BN58" s="98" t="s">
        <v>1394</v>
      </c>
      <c r="BO58" s="98">
        <f>36.1%-32.4%</f>
        <v>3.6999999999999977E-2</v>
      </c>
      <c r="BP58" s="98" t="s">
        <v>1397</v>
      </c>
      <c r="BQ58" s="98">
        <f>42.4%-36.1%</f>
        <v>6.3E-2</v>
      </c>
      <c r="BR58" s="143"/>
      <c r="BS58" s="143"/>
      <c r="BT58" s="143"/>
      <c r="BU58" s="143"/>
      <c r="BV58" s="143"/>
      <c r="BW58" s="143"/>
      <c r="BX58" s="98">
        <v>0.42399999999999999</v>
      </c>
      <c r="BY58" s="99">
        <v>5774</v>
      </c>
      <c r="BZ58" s="99">
        <v>477</v>
      </c>
      <c r="CA58" s="99">
        <v>783</v>
      </c>
      <c r="CB58" s="99">
        <v>399</v>
      </c>
      <c r="CC58" s="98">
        <f t="shared" si="3"/>
        <v>0.42399999999999999</v>
      </c>
      <c r="CD58" s="132">
        <v>40778</v>
      </c>
      <c r="CE58" s="100" t="b">
        <v>1</v>
      </c>
      <c r="CF58" s="100" t="b">
        <v>1</v>
      </c>
      <c r="CG58" s="100" t="s">
        <v>1422</v>
      </c>
      <c r="CH58" s="100">
        <v>2150</v>
      </c>
      <c r="CI58" s="103"/>
      <c r="CJ58" s="100" t="b">
        <v>1</v>
      </c>
      <c r="CK58" s="100">
        <v>1845</v>
      </c>
      <c r="CL58" s="100">
        <v>2735</v>
      </c>
      <c r="CM58" s="100">
        <v>633</v>
      </c>
      <c r="CN58" s="100"/>
      <c r="CO58" s="100"/>
      <c r="CP58" s="100"/>
      <c r="CQ58" s="100"/>
      <c r="CR58" s="100"/>
      <c r="CS58" s="100"/>
      <c r="CT58" s="100"/>
      <c r="CU58" s="132">
        <v>40842</v>
      </c>
      <c r="CV58" s="100">
        <v>1850</v>
      </c>
      <c r="CW58" s="100">
        <v>80</v>
      </c>
      <c r="CX58" s="103"/>
      <c r="CY58" s="100"/>
      <c r="CZ58" s="100"/>
      <c r="DA58" s="100"/>
      <c r="DB58" s="100"/>
      <c r="DC58" s="100"/>
      <c r="DD58" s="100"/>
      <c r="DE58" s="100"/>
      <c r="DF58" s="155">
        <v>14445</v>
      </c>
      <c r="DG58" s="100">
        <v>695</v>
      </c>
      <c r="DH58" s="100">
        <v>634</v>
      </c>
      <c r="DI58" s="100"/>
      <c r="DJ58" s="100" t="b">
        <v>0</v>
      </c>
      <c r="DK58" s="100" t="b">
        <v>0</v>
      </c>
      <c r="DL58" s="100">
        <v>2</v>
      </c>
      <c r="DM58" s="100"/>
      <c r="DN58" s="100" t="s">
        <v>1829</v>
      </c>
      <c r="DO58" s="111" t="s">
        <v>1830</v>
      </c>
      <c r="DP58" s="100"/>
      <c r="DQ58" s="100"/>
      <c r="DR58" s="100"/>
      <c r="DS58" s="100"/>
      <c r="DT58" s="100"/>
      <c r="DU58" s="100"/>
      <c r="DV58" s="100">
        <v>477</v>
      </c>
      <c r="DW58" s="100">
        <v>399</v>
      </c>
      <c r="DX58" s="100"/>
      <c r="DY58" s="100" t="b">
        <v>0</v>
      </c>
      <c r="DZ58" s="100" t="b">
        <v>0</v>
      </c>
      <c r="EA58" s="100">
        <v>1</v>
      </c>
      <c r="EB58" s="100"/>
      <c r="EC58" s="100" t="s">
        <v>1831</v>
      </c>
      <c r="ED58" s="103"/>
      <c r="EM58" s="112"/>
      <c r="EN58" s="112"/>
      <c r="EO58" s="193" t="s">
        <v>1827</v>
      </c>
      <c r="EP58" s="193">
        <v>42.4</v>
      </c>
      <c r="EQ58" t="b">
        <f t="shared" si="4"/>
        <v>0</v>
      </c>
    </row>
    <row r="59" spans="1:147" ht="15.95" customHeight="1" x14ac:dyDescent="0.25">
      <c r="A59" s="102" t="s">
        <v>58</v>
      </c>
      <c r="B59" s="156">
        <v>0.59885638952255249</v>
      </c>
      <c r="C59" s="102" t="s">
        <v>1465</v>
      </c>
      <c r="D59" s="102" t="s">
        <v>1465</v>
      </c>
      <c r="E59" s="102" t="s">
        <v>114</v>
      </c>
      <c r="F59" s="156" t="b">
        <v>0</v>
      </c>
      <c r="G59" s="157"/>
      <c r="H59" s="102"/>
      <c r="I59" s="102" t="s">
        <v>1833</v>
      </c>
      <c r="J59" s="102" t="s">
        <v>1834</v>
      </c>
      <c r="K59" s="102" t="s">
        <v>1835</v>
      </c>
      <c r="L59" s="102"/>
      <c r="M59" s="102"/>
      <c r="N59" s="157" t="s">
        <v>1713</v>
      </c>
      <c r="O59" s="102" t="s">
        <v>1422</v>
      </c>
      <c r="P59" s="158">
        <v>40746</v>
      </c>
      <c r="Q59" s="158">
        <v>40772.738900462966</v>
      </c>
      <c r="R59" s="158">
        <v>40780.670671296299</v>
      </c>
      <c r="S59" s="158">
        <v>40848.392245370371</v>
      </c>
      <c r="T59" s="158">
        <v>40851.401180555556</v>
      </c>
      <c r="U59" s="158">
        <v>40885</v>
      </c>
      <c r="V59" s="156">
        <v>1450</v>
      </c>
      <c r="W59" s="102" t="s">
        <v>68</v>
      </c>
      <c r="X59" s="156">
        <v>1553</v>
      </c>
      <c r="Y59" s="159"/>
      <c r="Z59" s="156">
        <v>119</v>
      </c>
      <c r="AA59" s="156">
        <v>0</v>
      </c>
      <c r="AB59" s="159"/>
      <c r="AC59" s="156">
        <v>1545</v>
      </c>
      <c r="AD59" s="159"/>
      <c r="AE59" s="156">
        <v>116</v>
      </c>
      <c r="AF59" s="156">
        <v>5274</v>
      </c>
      <c r="AG59" s="156">
        <v>1500</v>
      </c>
      <c r="AH59" s="100"/>
      <c r="AI59" s="100"/>
      <c r="AJ59" s="100"/>
      <c r="AK59" s="100"/>
      <c r="AL59" s="132">
        <v>40750</v>
      </c>
      <c r="AM59" s="100">
        <v>1450</v>
      </c>
      <c r="AN59" s="98">
        <v>0.184</v>
      </c>
      <c r="AO59" s="100">
        <v>10325</v>
      </c>
      <c r="AP59" s="100">
        <v>1555</v>
      </c>
      <c r="AQ59" s="100">
        <v>585</v>
      </c>
      <c r="AR59" s="100">
        <v>119</v>
      </c>
      <c r="AS59" s="133">
        <f t="shared" si="5"/>
        <v>0.184</v>
      </c>
      <c r="AT59" s="100"/>
      <c r="AU59" s="100"/>
      <c r="AV59" s="100"/>
      <c r="AW59" s="100"/>
      <c r="AX59" s="100"/>
      <c r="AY59" s="100"/>
      <c r="AZ59" s="100"/>
      <c r="BA59" s="100"/>
      <c r="BB59" s="132">
        <v>40848</v>
      </c>
      <c r="BC59" s="100">
        <v>1450</v>
      </c>
      <c r="BD59" s="100" t="s">
        <v>1387</v>
      </c>
      <c r="BE59" s="98">
        <v>0.06</v>
      </c>
      <c r="BF59" s="100" t="s">
        <v>1386</v>
      </c>
      <c r="BG59" s="154">
        <f>6.4%-6%</f>
        <v>4.0000000000000036E-3</v>
      </c>
      <c r="BH59" s="100" t="s">
        <v>1389</v>
      </c>
      <c r="BI59" s="154">
        <f>9.5%-6.4%</f>
        <v>3.1E-2</v>
      </c>
      <c r="BJ59" s="100" t="s">
        <v>1393</v>
      </c>
      <c r="BK59" s="98">
        <f>18%-9.5%</f>
        <v>8.4999999999999992E-2</v>
      </c>
      <c r="BL59" s="103"/>
      <c r="BM59" s="143"/>
      <c r="BN59" s="143"/>
      <c r="BO59" s="143"/>
      <c r="BP59" s="143"/>
      <c r="BQ59" s="143"/>
      <c r="BR59" s="143"/>
      <c r="BS59" s="143"/>
      <c r="BT59" s="143"/>
      <c r="BU59" s="143"/>
      <c r="BV59" s="143"/>
      <c r="BW59" s="143"/>
      <c r="BX59" s="98">
        <v>0.18</v>
      </c>
      <c r="BY59" s="99">
        <v>10325</v>
      </c>
      <c r="BZ59" s="99">
        <v>1547</v>
      </c>
      <c r="CA59" s="99">
        <v>585</v>
      </c>
      <c r="CB59" s="99">
        <v>116</v>
      </c>
      <c r="CC59" s="98">
        <f t="shared" si="3"/>
        <v>0.18</v>
      </c>
      <c r="CD59" s="132">
        <v>40746</v>
      </c>
      <c r="CE59" s="100" t="b">
        <v>1</v>
      </c>
      <c r="CF59" s="100" t="b">
        <v>1</v>
      </c>
      <c r="CG59" s="100" t="s">
        <v>1422</v>
      </c>
      <c r="CH59" s="100">
        <v>1460</v>
      </c>
      <c r="CI59" s="100">
        <v>152</v>
      </c>
      <c r="CJ59" s="100" t="b">
        <v>1</v>
      </c>
      <c r="CK59" s="100">
        <v>1450</v>
      </c>
      <c r="CL59" s="103"/>
      <c r="CM59" s="103"/>
      <c r="CN59" s="100"/>
      <c r="CO59" s="100"/>
      <c r="CP59" s="100"/>
      <c r="CQ59" s="100"/>
      <c r="CR59" s="100"/>
      <c r="CS59" s="100"/>
      <c r="CT59" s="100"/>
      <c r="CU59" s="132">
        <v>40807</v>
      </c>
      <c r="CV59" s="100">
        <v>1375</v>
      </c>
      <c r="CW59" s="100">
        <v>69</v>
      </c>
      <c r="CX59" s="103"/>
      <c r="CY59" s="100"/>
      <c r="CZ59" s="100"/>
      <c r="DA59" s="100"/>
      <c r="DB59" s="100"/>
      <c r="DC59" s="100"/>
      <c r="DD59" s="100"/>
      <c r="DE59" s="100"/>
      <c r="DF59" s="155">
        <v>6200</v>
      </c>
      <c r="DG59" s="100">
        <v>1550</v>
      </c>
      <c r="DH59" s="100">
        <v>119</v>
      </c>
      <c r="DI59" s="100"/>
      <c r="DJ59" s="100" t="b">
        <v>0</v>
      </c>
      <c r="DK59" s="100" t="b">
        <v>0</v>
      </c>
      <c r="DL59" s="100">
        <v>1</v>
      </c>
      <c r="DM59" s="100"/>
      <c r="DN59" s="164" t="s">
        <v>1770</v>
      </c>
      <c r="DO59" s="103"/>
      <c r="DP59" s="100"/>
      <c r="DQ59" s="100"/>
      <c r="DR59" s="100"/>
      <c r="DS59" s="100"/>
      <c r="DT59" s="100"/>
      <c r="DU59" s="100"/>
      <c r="DV59" s="100">
        <v>1550</v>
      </c>
      <c r="DW59" s="100">
        <v>116</v>
      </c>
      <c r="DX59" s="100"/>
      <c r="DY59" s="100" t="b">
        <v>0</v>
      </c>
      <c r="DZ59" s="100" t="b">
        <v>0</v>
      </c>
      <c r="EA59" s="100">
        <v>0</v>
      </c>
      <c r="EB59" s="100"/>
      <c r="EC59" s="103"/>
      <c r="ED59" s="103"/>
      <c r="EM59" s="112"/>
      <c r="EN59" s="112"/>
      <c r="EO59" s="193" t="s">
        <v>1832</v>
      </c>
      <c r="EP59" s="193">
        <v>17.96</v>
      </c>
      <c r="EQ59" t="b">
        <f t="shared" si="4"/>
        <v>0</v>
      </c>
    </row>
    <row r="60" spans="1:147" ht="15.95" customHeight="1" x14ac:dyDescent="0.25">
      <c r="A60" s="102" t="s">
        <v>58</v>
      </c>
      <c r="B60" s="156">
        <v>0.14891767501831055</v>
      </c>
      <c r="C60" s="102" t="s">
        <v>1460</v>
      </c>
      <c r="D60" s="102" t="s">
        <v>1460</v>
      </c>
      <c r="E60" s="102" t="s">
        <v>114</v>
      </c>
      <c r="F60" s="156" t="b">
        <v>0</v>
      </c>
      <c r="G60" s="157"/>
      <c r="H60" s="102"/>
      <c r="I60" s="102" t="s">
        <v>141</v>
      </c>
      <c r="J60" s="102" t="s">
        <v>140</v>
      </c>
      <c r="K60" s="102" t="s">
        <v>104</v>
      </c>
      <c r="L60" s="102"/>
      <c r="M60" s="102"/>
      <c r="N60" s="157" t="s">
        <v>77</v>
      </c>
      <c r="O60" s="102" t="s">
        <v>1422</v>
      </c>
      <c r="P60" s="158">
        <v>40681</v>
      </c>
      <c r="Q60" s="158">
        <v>40794.765497685185</v>
      </c>
      <c r="R60" s="158">
        <v>40801.695347222223</v>
      </c>
      <c r="S60" s="158">
        <v>40837.59170138889</v>
      </c>
      <c r="T60" s="158">
        <v>40855.717499999999</v>
      </c>
      <c r="U60" s="158">
        <v>40876</v>
      </c>
      <c r="V60" s="156">
        <v>2235</v>
      </c>
      <c r="W60" s="102" t="s">
        <v>68</v>
      </c>
      <c r="X60" s="156">
        <v>1116</v>
      </c>
      <c r="Y60" s="159"/>
      <c r="Z60" s="156">
        <v>800</v>
      </c>
      <c r="AA60" s="156">
        <v>0</v>
      </c>
      <c r="AB60" s="159"/>
      <c r="AC60" s="156">
        <v>1183</v>
      </c>
      <c r="AD60" s="159"/>
      <c r="AE60" s="156">
        <v>835</v>
      </c>
      <c r="AF60" s="156">
        <v>4036</v>
      </c>
      <c r="AG60" s="156">
        <v>4000</v>
      </c>
      <c r="AH60" s="100"/>
      <c r="AI60" s="100"/>
      <c r="AJ60" s="100"/>
      <c r="AK60" s="100"/>
      <c r="AL60" s="132">
        <v>40794</v>
      </c>
      <c r="AM60" s="100">
        <v>2234</v>
      </c>
      <c r="AN60" s="98">
        <v>0.45700000000000002</v>
      </c>
      <c r="AO60" s="99">
        <v>8068</v>
      </c>
      <c r="AP60" s="100">
        <v>1117</v>
      </c>
      <c r="AQ60" s="100">
        <v>1560</v>
      </c>
      <c r="AR60" s="100">
        <v>800</v>
      </c>
      <c r="AS60" s="133">
        <f t="shared" si="5"/>
        <v>0.45700000000000002</v>
      </c>
      <c r="AT60" s="100"/>
      <c r="AU60" s="100"/>
      <c r="AV60" s="100"/>
      <c r="AW60" s="100"/>
      <c r="AX60" s="100"/>
      <c r="AY60" s="100"/>
      <c r="AZ60" s="100"/>
      <c r="BA60" s="100"/>
      <c r="BB60" s="132">
        <v>40837</v>
      </c>
      <c r="BC60" s="100">
        <v>2234</v>
      </c>
      <c r="BD60" s="100" t="s">
        <v>1387</v>
      </c>
      <c r="BE60" s="98">
        <v>1.7999999999999999E-2</v>
      </c>
      <c r="BF60" s="100" t="s">
        <v>1386</v>
      </c>
      <c r="BG60" s="154">
        <f>4.2%-1.8%</f>
        <v>2.4E-2</v>
      </c>
      <c r="BH60" s="100" t="s">
        <v>1389</v>
      </c>
      <c r="BI60" s="154">
        <f>7.7%-4.2%</f>
        <v>3.4999999999999996E-2</v>
      </c>
      <c r="BJ60" s="100" t="s">
        <v>1393</v>
      </c>
      <c r="BK60" s="98">
        <f>43.3%-7.7%</f>
        <v>0.35599999999999998</v>
      </c>
      <c r="BL60" s="100" t="s">
        <v>1394</v>
      </c>
      <c r="BM60" s="98">
        <f>47.7%-43.3%</f>
        <v>4.4000000000000039E-2</v>
      </c>
      <c r="BN60" s="143"/>
      <c r="BO60" s="143"/>
      <c r="BP60" s="143"/>
      <c r="BQ60" s="143"/>
      <c r="BR60" s="143"/>
      <c r="BS60" s="143"/>
      <c r="BT60" s="143"/>
      <c r="BU60" s="143"/>
      <c r="BV60" s="143"/>
      <c r="BW60" s="143"/>
      <c r="BX60" s="98">
        <v>0.47699999999999998</v>
      </c>
      <c r="BY60" s="99">
        <v>8068</v>
      </c>
      <c r="BZ60" s="99">
        <v>1184</v>
      </c>
      <c r="CA60" s="99">
        <v>1560</v>
      </c>
      <c r="CB60" s="99">
        <v>835</v>
      </c>
      <c r="CC60" s="98">
        <f t="shared" si="3"/>
        <v>0.47699999999999998</v>
      </c>
      <c r="CD60" s="132">
        <v>40681</v>
      </c>
      <c r="CE60" s="100" t="b">
        <v>1</v>
      </c>
      <c r="CF60" s="100" t="b">
        <v>1</v>
      </c>
      <c r="CG60" s="100" t="s">
        <v>1422</v>
      </c>
      <c r="CH60" s="100">
        <v>2761</v>
      </c>
      <c r="CI60" s="100">
        <v>317</v>
      </c>
      <c r="CJ60" s="103"/>
      <c r="CK60" s="100">
        <v>2234.5</v>
      </c>
      <c r="CL60" s="100">
        <v>8613</v>
      </c>
      <c r="CM60" s="100">
        <v>1072</v>
      </c>
      <c r="CN60" s="100"/>
      <c r="CO60" s="100"/>
      <c r="CP60" s="100"/>
      <c r="CQ60" s="100"/>
      <c r="CR60" s="100"/>
      <c r="CS60" s="100"/>
      <c r="CT60" s="100"/>
      <c r="CU60" s="132">
        <v>40764</v>
      </c>
      <c r="CV60" s="100">
        <v>2700</v>
      </c>
      <c r="CW60" s="100">
        <v>94</v>
      </c>
      <c r="CX60" s="103"/>
      <c r="CY60" s="100"/>
      <c r="CZ60" s="100"/>
      <c r="DA60" s="100"/>
      <c r="DB60" s="100"/>
      <c r="DC60" s="100"/>
      <c r="DD60" s="100"/>
      <c r="DE60" s="100"/>
      <c r="DF60" s="155">
        <v>15579</v>
      </c>
      <c r="DG60" s="100">
        <v>1120</v>
      </c>
      <c r="DH60" s="100">
        <v>800</v>
      </c>
      <c r="DI60" s="100"/>
      <c r="DJ60" s="100" t="b">
        <v>0</v>
      </c>
      <c r="DK60" s="100" t="b">
        <v>0</v>
      </c>
      <c r="DL60" s="100">
        <v>3</v>
      </c>
      <c r="DM60" s="100"/>
      <c r="DN60" s="100" t="s">
        <v>1837</v>
      </c>
      <c r="DO60" s="100" t="s">
        <v>1838</v>
      </c>
      <c r="DP60" s="100"/>
      <c r="DQ60" s="100"/>
      <c r="DR60" s="100"/>
      <c r="DS60" s="100"/>
      <c r="DT60" s="100"/>
      <c r="DU60" s="100"/>
      <c r="DV60" s="100">
        <v>1180</v>
      </c>
      <c r="DW60" s="100">
        <v>835</v>
      </c>
      <c r="DX60" s="100"/>
      <c r="DY60" s="100" t="b">
        <v>0</v>
      </c>
      <c r="DZ60" s="100" t="b">
        <v>0</v>
      </c>
      <c r="EA60" s="100">
        <v>0</v>
      </c>
      <c r="EB60" s="100"/>
      <c r="EC60" s="103"/>
      <c r="ED60" s="103"/>
      <c r="EM60" s="112"/>
      <c r="EN60" s="112"/>
      <c r="EO60" s="193" t="s">
        <v>1836</v>
      </c>
      <c r="EP60" s="193">
        <v>47.69</v>
      </c>
      <c r="EQ60" t="b">
        <f t="shared" si="4"/>
        <v>0</v>
      </c>
    </row>
    <row r="61" spans="1:147" ht="15.95" customHeight="1" x14ac:dyDescent="0.25">
      <c r="A61" s="102" t="s">
        <v>58</v>
      </c>
      <c r="B61" s="156">
        <v>0.2003098726272583</v>
      </c>
      <c r="C61" s="102" t="s">
        <v>1473</v>
      </c>
      <c r="D61" s="102" t="s">
        <v>1473</v>
      </c>
      <c r="E61" s="102" t="s">
        <v>114</v>
      </c>
      <c r="F61" s="156" t="b">
        <v>0</v>
      </c>
      <c r="G61" s="157"/>
      <c r="H61" s="102"/>
      <c r="I61" s="102" t="s">
        <v>84</v>
      </c>
      <c r="J61" s="102" t="s">
        <v>85</v>
      </c>
      <c r="K61" s="102" t="s">
        <v>146</v>
      </c>
      <c r="L61" s="102"/>
      <c r="M61" s="102"/>
      <c r="N61" s="157" t="s">
        <v>128</v>
      </c>
      <c r="O61" s="102" t="s">
        <v>1422</v>
      </c>
      <c r="P61" s="158">
        <v>40679</v>
      </c>
      <c r="Q61" s="158">
        <v>40795.591215277775</v>
      </c>
      <c r="R61" s="158">
        <v>40798.601030092592</v>
      </c>
      <c r="S61" s="158">
        <v>40882.519432870373</v>
      </c>
      <c r="T61" s="158">
        <v>40890.659004629626</v>
      </c>
      <c r="U61" s="158">
        <v>40933</v>
      </c>
      <c r="V61" s="156">
        <v>2400</v>
      </c>
      <c r="W61" s="102" t="s">
        <v>68</v>
      </c>
      <c r="X61" s="156">
        <v>4034</v>
      </c>
      <c r="Y61" s="159"/>
      <c r="Z61" s="156">
        <v>152</v>
      </c>
      <c r="AA61" s="156">
        <v>0</v>
      </c>
      <c r="AB61" s="159"/>
      <c r="AC61" s="156">
        <v>3869</v>
      </c>
      <c r="AD61" s="159"/>
      <c r="AE61" s="156">
        <v>191</v>
      </c>
      <c r="AF61" s="156">
        <v>13204</v>
      </c>
      <c r="AG61" s="156">
        <v>2000</v>
      </c>
      <c r="AH61" s="100"/>
      <c r="AI61" s="100"/>
      <c r="AJ61" s="100"/>
      <c r="AK61" s="100"/>
      <c r="AL61" s="132">
        <v>40752</v>
      </c>
      <c r="AM61" s="100">
        <v>2400</v>
      </c>
      <c r="AN61" s="133">
        <v>0</v>
      </c>
      <c r="AO61" s="100">
        <v>14162</v>
      </c>
      <c r="AP61" s="100">
        <v>4038</v>
      </c>
      <c r="AQ61" s="100">
        <v>989</v>
      </c>
      <c r="AR61" s="100">
        <v>152</v>
      </c>
      <c r="AS61" s="133">
        <f t="shared" si="5"/>
        <v>0</v>
      </c>
      <c r="AT61" s="100"/>
      <c r="AU61" s="100"/>
      <c r="AV61" s="100"/>
      <c r="AW61" s="100"/>
      <c r="AX61" s="100"/>
      <c r="AY61" s="100"/>
      <c r="AZ61" s="100"/>
      <c r="BA61" s="100"/>
      <c r="BB61" s="132">
        <v>40842</v>
      </c>
      <c r="BC61" s="100">
        <v>2400</v>
      </c>
      <c r="BD61" s="100" t="s">
        <v>1387</v>
      </c>
      <c r="BE61" s="98">
        <v>4.2000000000000003E-2</v>
      </c>
      <c r="BF61" s="100" t="s">
        <v>1396</v>
      </c>
      <c r="BG61" s="154">
        <f>13.1%-4.2%</f>
        <v>8.8999999999999996E-2</v>
      </c>
      <c r="BH61" s="100" t="s">
        <v>1386</v>
      </c>
      <c r="BI61" s="154">
        <f>21.8%-13.1%</f>
        <v>8.6999999999999994E-2</v>
      </c>
      <c r="BJ61" s="103"/>
      <c r="BK61" s="143"/>
      <c r="BL61" s="103"/>
      <c r="BM61" s="143"/>
      <c r="BN61" s="143"/>
      <c r="BO61" s="143"/>
      <c r="BP61" s="143"/>
      <c r="BQ61" s="143"/>
      <c r="BR61" s="143"/>
      <c r="BS61" s="143"/>
      <c r="BT61" s="143"/>
      <c r="BU61" s="143"/>
      <c r="BV61" s="143"/>
      <c r="BW61" s="143"/>
      <c r="BX61" s="98">
        <v>0.218</v>
      </c>
      <c r="BY61" s="99">
        <v>13602</v>
      </c>
      <c r="BZ61" s="99">
        <v>3872</v>
      </c>
      <c r="CA61" s="99">
        <v>1014</v>
      </c>
      <c r="CB61" s="99">
        <v>191</v>
      </c>
      <c r="CC61" s="98">
        <f t="shared" si="3"/>
        <v>0.218</v>
      </c>
      <c r="CD61" s="132">
        <v>40679</v>
      </c>
      <c r="CE61" s="100" t="b">
        <v>1</v>
      </c>
      <c r="CF61" s="100" t="b">
        <v>1</v>
      </c>
      <c r="CG61" s="100" t="s">
        <v>1422</v>
      </c>
      <c r="CH61" s="100">
        <v>4330</v>
      </c>
      <c r="CI61" s="100">
        <v>101</v>
      </c>
      <c r="CJ61" s="100" t="b">
        <v>1</v>
      </c>
      <c r="CK61" s="100">
        <v>2400</v>
      </c>
      <c r="CL61" s="103"/>
      <c r="CM61" s="103"/>
      <c r="CN61" s="100"/>
      <c r="CO61" s="100"/>
      <c r="CP61" s="100"/>
      <c r="CQ61" s="100"/>
      <c r="CR61" s="100"/>
      <c r="CS61" s="100"/>
      <c r="CT61" s="100"/>
      <c r="CU61" s="132">
        <v>40816</v>
      </c>
      <c r="CV61" s="100">
        <v>1886</v>
      </c>
      <c r="CW61" s="103"/>
      <c r="CX61" s="103"/>
      <c r="CY61" s="100"/>
      <c r="CZ61" s="100"/>
      <c r="DA61" s="100"/>
      <c r="DB61" s="100"/>
      <c r="DC61" s="100"/>
      <c r="DD61" s="100"/>
      <c r="DE61" s="100"/>
      <c r="DF61" s="155">
        <v>27538</v>
      </c>
      <c r="DG61" s="100">
        <v>4040</v>
      </c>
      <c r="DH61" s="100">
        <v>152</v>
      </c>
      <c r="DI61" s="100"/>
      <c r="DJ61" s="100" t="b">
        <v>0</v>
      </c>
      <c r="DK61" s="100" t="b">
        <v>0</v>
      </c>
      <c r="DL61" s="100">
        <v>1</v>
      </c>
      <c r="DM61" s="100"/>
      <c r="DN61" s="100" t="s">
        <v>1840</v>
      </c>
      <c r="DO61" s="103"/>
      <c r="DP61" s="100"/>
      <c r="DQ61" s="100"/>
      <c r="DR61" s="100"/>
      <c r="DS61" s="100"/>
      <c r="DT61" s="100"/>
      <c r="DU61" s="100"/>
      <c r="DV61" s="100">
        <v>3870</v>
      </c>
      <c r="DW61" s="100">
        <v>191</v>
      </c>
      <c r="DX61" s="100"/>
      <c r="DY61" s="100" t="b">
        <v>0</v>
      </c>
      <c r="DZ61" s="100" t="b">
        <v>0</v>
      </c>
      <c r="EA61" s="100">
        <v>1</v>
      </c>
      <c r="EB61" s="100"/>
      <c r="EC61" s="100"/>
      <c r="ED61" s="103"/>
      <c r="EE61" t="s">
        <v>1841</v>
      </c>
      <c r="EM61" s="112"/>
      <c r="EN61" s="112"/>
      <c r="EO61" s="193" t="s">
        <v>1839</v>
      </c>
      <c r="EP61" s="193">
        <v>21.84</v>
      </c>
      <c r="EQ61" t="b">
        <f t="shared" si="4"/>
        <v>0</v>
      </c>
    </row>
    <row r="62" spans="1:147" ht="15.95" customHeight="1" x14ac:dyDescent="0.25">
      <c r="A62" s="102" t="s">
        <v>58</v>
      </c>
      <c r="B62" s="156">
        <v>0.38235509395599365</v>
      </c>
      <c r="C62" s="102" t="s">
        <v>1449</v>
      </c>
      <c r="D62" s="102" t="s">
        <v>1449</v>
      </c>
      <c r="E62" s="102" t="s">
        <v>114</v>
      </c>
      <c r="F62" s="156" t="b">
        <v>0</v>
      </c>
      <c r="G62" s="157"/>
      <c r="H62" s="102"/>
      <c r="I62" s="102" t="s">
        <v>95</v>
      </c>
      <c r="J62" s="102" t="s">
        <v>96</v>
      </c>
      <c r="K62" s="102" t="s">
        <v>115</v>
      </c>
      <c r="L62" s="102"/>
      <c r="M62" s="102"/>
      <c r="N62" s="157" t="s">
        <v>154</v>
      </c>
      <c r="O62" s="102" t="s">
        <v>1422</v>
      </c>
      <c r="P62" s="158">
        <v>40852.375</v>
      </c>
      <c r="Q62" s="158">
        <v>40890.515868055554</v>
      </c>
      <c r="R62" s="158">
        <v>40891.366041666668</v>
      </c>
      <c r="S62" s="158">
        <v>40911.616701388892</v>
      </c>
      <c r="T62" s="158">
        <v>40914.553391203706</v>
      </c>
      <c r="U62" s="158">
        <v>40948</v>
      </c>
      <c r="V62" s="156">
        <v>1100</v>
      </c>
      <c r="W62" s="102" t="s">
        <v>68</v>
      </c>
      <c r="X62" s="156">
        <v>1402</v>
      </c>
      <c r="Y62" s="159"/>
      <c r="Z62" s="156">
        <v>288</v>
      </c>
      <c r="AA62" s="156">
        <v>0</v>
      </c>
      <c r="AB62" s="159"/>
      <c r="AC62" s="156">
        <v>1262</v>
      </c>
      <c r="AD62" s="159"/>
      <c r="AE62" s="156">
        <v>257</v>
      </c>
      <c r="AF62" s="156">
        <v>4307</v>
      </c>
      <c r="AG62" s="156">
        <v>3500</v>
      </c>
      <c r="AH62" s="100"/>
      <c r="AI62" s="100"/>
      <c r="AJ62" s="100"/>
      <c r="AK62" s="100"/>
      <c r="AL62" s="132">
        <v>40889</v>
      </c>
      <c r="AM62" s="100">
        <v>1080</v>
      </c>
      <c r="AN62" s="98">
        <v>0.40500000000000003</v>
      </c>
      <c r="AO62" s="99">
        <v>5851</v>
      </c>
      <c r="AP62" s="99">
        <v>1403</v>
      </c>
      <c r="AQ62" s="100">
        <v>631</v>
      </c>
      <c r="AR62" s="100">
        <v>288</v>
      </c>
      <c r="AS62" s="133">
        <f t="shared" si="5"/>
        <v>0.40500000000000003</v>
      </c>
      <c r="AT62" s="100"/>
      <c r="AU62" s="100"/>
      <c r="AV62" s="100"/>
      <c r="AW62" s="100"/>
      <c r="AX62" s="100"/>
      <c r="AY62" s="100"/>
      <c r="AZ62" s="100"/>
      <c r="BA62" s="100"/>
      <c r="BB62" s="132">
        <v>40905</v>
      </c>
      <c r="BC62" s="100">
        <v>1080</v>
      </c>
      <c r="BD62" s="100" t="s">
        <v>1387</v>
      </c>
      <c r="BE62" s="98">
        <v>4.8000000000000001E-2</v>
      </c>
      <c r="BF62" s="100" t="s">
        <v>1388</v>
      </c>
      <c r="BG62" s="154">
        <f>26.7%-4.8%</f>
        <v>0.21900000000000003</v>
      </c>
      <c r="BH62" s="100" t="s">
        <v>1395</v>
      </c>
      <c r="BI62" s="154">
        <f>36%-26.7%</f>
        <v>9.2999999999999972E-2</v>
      </c>
      <c r="BJ62" s="100" t="s">
        <v>1386</v>
      </c>
      <c r="BK62" s="98">
        <f>36.1%-36%</f>
        <v>1.0000000000000009E-3</v>
      </c>
      <c r="BL62" s="103"/>
      <c r="BM62" s="143"/>
      <c r="BN62" s="143"/>
      <c r="BO62" s="143"/>
      <c r="BP62" s="143"/>
      <c r="BQ62" s="143"/>
      <c r="BR62" s="143"/>
      <c r="BS62" s="143"/>
      <c r="BT62" s="143"/>
      <c r="BU62" s="143"/>
      <c r="BV62" s="143"/>
      <c r="BW62" s="143"/>
      <c r="BX62" s="98">
        <v>0.36099999999999999</v>
      </c>
      <c r="BY62" s="99">
        <v>5874</v>
      </c>
      <c r="BZ62" s="99">
        <v>1263</v>
      </c>
      <c r="CA62" s="99">
        <v>631</v>
      </c>
      <c r="CB62" s="99">
        <v>257</v>
      </c>
      <c r="CC62" s="98">
        <f t="shared" si="3"/>
        <v>0.36099999999999999</v>
      </c>
      <c r="CD62" s="132">
        <v>40852</v>
      </c>
      <c r="CE62" s="100" t="b">
        <v>1</v>
      </c>
      <c r="CF62" s="100" t="b">
        <v>1</v>
      </c>
      <c r="CG62" s="100" t="s">
        <v>1422</v>
      </c>
      <c r="CH62" s="100">
        <v>1462</v>
      </c>
      <c r="CI62" s="100">
        <v>304</v>
      </c>
      <c r="CJ62" s="103"/>
      <c r="CK62" s="100">
        <v>1100</v>
      </c>
      <c r="CL62" s="103"/>
      <c r="CM62" s="103"/>
      <c r="CN62" s="100"/>
      <c r="CO62" s="100"/>
      <c r="CP62" s="100"/>
      <c r="CQ62" s="100"/>
      <c r="CR62" s="100"/>
      <c r="CS62" s="100"/>
      <c r="CT62" s="100"/>
      <c r="CU62" s="132">
        <v>40900</v>
      </c>
      <c r="CV62" s="100">
        <v>1441</v>
      </c>
      <c r="CW62" s="100">
        <v>0</v>
      </c>
      <c r="CX62" s="103"/>
      <c r="CY62" s="100"/>
      <c r="CZ62" s="100"/>
      <c r="DA62" s="100"/>
      <c r="DB62" s="100"/>
      <c r="DC62" s="100"/>
      <c r="DD62" s="100"/>
      <c r="DE62" s="100"/>
      <c r="DF62" s="155">
        <v>6300</v>
      </c>
      <c r="DG62" s="100">
        <v>1400</v>
      </c>
      <c r="DH62" s="100">
        <v>288</v>
      </c>
      <c r="DI62" s="100"/>
      <c r="DJ62" s="100" t="b">
        <v>1</v>
      </c>
      <c r="DK62" s="100" t="b">
        <v>0</v>
      </c>
      <c r="DL62" s="100">
        <v>3</v>
      </c>
      <c r="DM62" s="100"/>
      <c r="DN62" s="100" t="s">
        <v>1843</v>
      </c>
      <c r="DO62" s="100" t="s">
        <v>1844</v>
      </c>
      <c r="DP62" s="100"/>
      <c r="DQ62" s="100"/>
      <c r="DR62" s="100"/>
      <c r="DS62" s="100"/>
      <c r="DT62" s="100"/>
      <c r="DU62" s="100"/>
      <c r="DV62" s="100">
        <v>1260</v>
      </c>
      <c r="DW62" s="100">
        <v>257</v>
      </c>
      <c r="DX62" s="100"/>
      <c r="DY62" s="100" t="b">
        <v>0</v>
      </c>
      <c r="DZ62" s="100" t="b">
        <v>0</v>
      </c>
      <c r="EA62" s="100">
        <v>1</v>
      </c>
      <c r="EB62" s="100"/>
      <c r="EC62" s="100" t="s">
        <v>1845</v>
      </c>
      <c r="ED62" s="103"/>
      <c r="EM62" s="112"/>
      <c r="EN62" s="112"/>
      <c r="EO62" s="193" t="s">
        <v>1842</v>
      </c>
      <c r="EP62" s="193">
        <v>36.14</v>
      </c>
      <c r="EQ62" t="b">
        <f t="shared" si="4"/>
        <v>0</v>
      </c>
    </row>
    <row r="63" spans="1:147" ht="15.95" customHeight="1" x14ac:dyDescent="0.25">
      <c r="A63" s="102" t="s">
        <v>58</v>
      </c>
      <c r="B63" s="156">
        <v>0.29777491092681885</v>
      </c>
      <c r="C63" s="102" t="s">
        <v>1440</v>
      </c>
      <c r="D63" s="102" t="s">
        <v>1440</v>
      </c>
      <c r="E63" s="102" t="s">
        <v>114</v>
      </c>
      <c r="F63" s="156" t="b">
        <v>0</v>
      </c>
      <c r="G63" s="157"/>
      <c r="H63" s="102"/>
      <c r="I63" s="102" t="s">
        <v>98</v>
      </c>
      <c r="J63" s="102" t="s">
        <v>99</v>
      </c>
      <c r="K63" s="102" t="s">
        <v>124</v>
      </c>
      <c r="L63" s="102"/>
      <c r="M63" s="102"/>
      <c r="N63" s="157" t="s">
        <v>77</v>
      </c>
      <c r="O63" s="102" t="s">
        <v>1422</v>
      </c>
      <c r="P63" s="158">
        <v>40749</v>
      </c>
      <c r="Q63" s="158">
        <v>40850.442025462966</v>
      </c>
      <c r="R63" s="158">
        <v>40858.543344907404</v>
      </c>
      <c r="S63" s="158">
        <v>40884.523842592593</v>
      </c>
      <c r="T63" s="158">
        <v>40898.548935185187</v>
      </c>
      <c r="U63" s="158">
        <v>40933</v>
      </c>
      <c r="V63" s="156">
        <v>1056</v>
      </c>
      <c r="W63" s="102" t="s">
        <v>68</v>
      </c>
      <c r="X63" s="156">
        <v>128</v>
      </c>
      <c r="Y63" s="159"/>
      <c r="Z63" s="156">
        <v>239</v>
      </c>
      <c r="AA63" s="156">
        <v>0</v>
      </c>
      <c r="AB63" s="159"/>
      <c r="AC63" s="156">
        <v>128</v>
      </c>
      <c r="AD63" s="159"/>
      <c r="AE63" s="156">
        <v>239</v>
      </c>
      <c r="AF63" s="156">
        <v>438</v>
      </c>
      <c r="AG63" s="156">
        <v>3000</v>
      </c>
      <c r="AH63" s="100"/>
      <c r="AI63" s="100"/>
      <c r="AJ63" s="100"/>
      <c r="AK63" s="100"/>
      <c r="AL63" s="132">
        <v>40795</v>
      </c>
      <c r="AM63" s="99">
        <v>1056</v>
      </c>
      <c r="AN63" s="98">
        <v>0.30299999999999999</v>
      </c>
      <c r="AO63" s="100">
        <v>4067</v>
      </c>
      <c r="AP63" s="100">
        <v>129</v>
      </c>
      <c r="AQ63" s="100">
        <v>665</v>
      </c>
      <c r="AR63" s="100">
        <v>239</v>
      </c>
      <c r="AS63" s="133">
        <f t="shared" si="5"/>
        <v>0.30299999999999999</v>
      </c>
      <c r="AT63" s="100"/>
      <c r="AU63" s="100"/>
      <c r="AV63" s="100"/>
      <c r="AW63" s="100"/>
      <c r="AX63" s="100"/>
      <c r="AY63" s="100"/>
      <c r="AZ63" s="100"/>
      <c r="BA63" s="100"/>
      <c r="BB63" s="132">
        <v>40795</v>
      </c>
      <c r="BC63" s="100">
        <v>1056</v>
      </c>
      <c r="BD63" s="100" t="s">
        <v>1387</v>
      </c>
      <c r="BE63" s="98">
        <v>0.13100000000000001</v>
      </c>
      <c r="BF63" s="100" t="s">
        <v>1388</v>
      </c>
      <c r="BG63" s="154">
        <f>29.2%-13.1%</f>
        <v>0.16099999999999998</v>
      </c>
      <c r="BH63" s="100" t="s">
        <v>1386</v>
      </c>
      <c r="BI63" s="154">
        <f>30.3%-29.2%</f>
        <v>1.100000000000001E-2</v>
      </c>
      <c r="BJ63" s="103"/>
      <c r="BK63" s="143"/>
      <c r="BL63" s="103"/>
      <c r="BM63" s="143"/>
      <c r="BN63" s="143"/>
      <c r="BO63" s="143"/>
      <c r="BP63" s="143"/>
      <c r="BQ63" s="143"/>
      <c r="BR63" s="143"/>
      <c r="BS63" s="143"/>
      <c r="BT63" s="143"/>
      <c r="BU63" s="143"/>
      <c r="BV63" s="143"/>
      <c r="BW63" s="143"/>
      <c r="BX63" s="98">
        <v>0.30299999999999999</v>
      </c>
      <c r="BY63" s="99">
        <v>4067</v>
      </c>
      <c r="BZ63" s="99">
        <v>129</v>
      </c>
      <c r="CA63" s="99">
        <v>665</v>
      </c>
      <c r="CB63" s="99">
        <v>239</v>
      </c>
      <c r="CC63" s="98">
        <f t="shared" si="3"/>
        <v>0.30299999999999999</v>
      </c>
      <c r="CD63" s="132">
        <v>40749</v>
      </c>
      <c r="CE63" s="100" t="b">
        <v>1</v>
      </c>
      <c r="CF63" s="100" t="b">
        <v>1</v>
      </c>
      <c r="CG63" s="100" t="s">
        <v>1422</v>
      </c>
      <c r="CH63" s="100">
        <v>1425</v>
      </c>
      <c r="CI63" s="103"/>
      <c r="CJ63" s="103"/>
      <c r="CK63" s="100">
        <v>1055.75</v>
      </c>
      <c r="CL63" s="103"/>
      <c r="CM63" s="103"/>
      <c r="CN63" s="100"/>
      <c r="CO63" s="100"/>
      <c r="CP63" s="100"/>
      <c r="CQ63" s="100"/>
      <c r="CR63" s="100"/>
      <c r="CS63" s="100"/>
      <c r="CT63" s="100"/>
      <c r="CU63" s="132">
        <v>40864</v>
      </c>
      <c r="CV63" s="100">
        <v>1162</v>
      </c>
      <c r="CW63" s="100">
        <v>0</v>
      </c>
      <c r="CX63" s="103"/>
      <c r="CY63" s="100"/>
      <c r="CZ63" s="100"/>
      <c r="DA63" s="100"/>
      <c r="DB63" s="100"/>
      <c r="DC63" s="100"/>
      <c r="DD63" s="100"/>
      <c r="DE63" s="100"/>
      <c r="DF63" s="155">
        <v>21592</v>
      </c>
      <c r="DG63" s="100">
        <v>128</v>
      </c>
      <c r="DH63" s="100">
        <v>239</v>
      </c>
      <c r="DI63" s="100"/>
      <c r="DJ63" s="100" t="b">
        <v>0</v>
      </c>
      <c r="DK63" s="100" t="b">
        <v>0</v>
      </c>
      <c r="DL63" s="100">
        <v>0</v>
      </c>
      <c r="DM63" s="100"/>
      <c r="DN63" s="103"/>
      <c r="DO63" s="103"/>
      <c r="DP63" s="100"/>
      <c r="DQ63" s="100"/>
      <c r="DR63" s="100"/>
      <c r="DS63" s="100"/>
      <c r="DT63" s="100"/>
      <c r="DU63" s="100"/>
      <c r="DV63" s="100">
        <v>128</v>
      </c>
      <c r="DW63" s="100">
        <v>239</v>
      </c>
      <c r="DX63" s="100"/>
      <c r="DY63" s="100" t="b">
        <v>0</v>
      </c>
      <c r="DZ63" s="100" t="b">
        <v>0</v>
      </c>
      <c r="EA63" s="100">
        <v>0</v>
      </c>
      <c r="EB63" s="100"/>
      <c r="EC63" s="103"/>
      <c r="ED63" s="103"/>
      <c r="EM63" s="112"/>
      <c r="EN63" s="112"/>
      <c r="EO63" s="193" t="s">
        <v>1846</v>
      </c>
      <c r="EP63" s="193">
        <v>30.3</v>
      </c>
      <c r="EQ63" t="b">
        <f t="shared" si="4"/>
        <v>0</v>
      </c>
    </row>
    <row r="64" spans="1:147" ht="15.95" customHeight="1" x14ac:dyDescent="0.25">
      <c r="A64" s="102" t="s">
        <v>58</v>
      </c>
      <c r="B64" s="156">
        <v>0.67332273721694946</v>
      </c>
      <c r="C64" s="102" t="s">
        <v>1468</v>
      </c>
      <c r="D64" s="102" t="s">
        <v>1468</v>
      </c>
      <c r="E64" s="102" t="s">
        <v>114</v>
      </c>
      <c r="F64" s="156" t="b">
        <v>0</v>
      </c>
      <c r="G64" s="157"/>
      <c r="H64" s="102"/>
      <c r="I64" s="102" t="s">
        <v>1848</v>
      </c>
      <c r="J64" s="102" t="s">
        <v>1849</v>
      </c>
      <c r="K64" s="102" t="s">
        <v>1819</v>
      </c>
      <c r="L64" s="102"/>
      <c r="M64" s="102"/>
      <c r="N64" s="157" t="s">
        <v>142</v>
      </c>
      <c r="O64" s="102" t="s">
        <v>1422</v>
      </c>
      <c r="P64" s="158">
        <v>40597</v>
      </c>
      <c r="Q64" s="158">
        <v>40752.573113425926</v>
      </c>
      <c r="R64" s="158">
        <v>40758.711527777778</v>
      </c>
      <c r="S64" s="158">
        <v>40842.680266203701</v>
      </c>
      <c r="T64" s="158">
        <v>40850.644062500003</v>
      </c>
      <c r="U64" s="158">
        <v>40897</v>
      </c>
      <c r="V64" s="156">
        <v>3594</v>
      </c>
      <c r="W64" s="102" t="s">
        <v>68</v>
      </c>
      <c r="X64" s="156">
        <v>273</v>
      </c>
      <c r="Y64" s="159"/>
      <c r="Z64" s="156">
        <v>181</v>
      </c>
      <c r="AA64" s="156">
        <v>0</v>
      </c>
      <c r="AB64" s="159"/>
      <c r="AC64" s="156">
        <v>276</v>
      </c>
      <c r="AD64" s="159"/>
      <c r="AE64" s="156">
        <v>183</v>
      </c>
      <c r="AF64" s="156">
        <v>943</v>
      </c>
      <c r="AG64" s="156">
        <v>1500</v>
      </c>
      <c r="AH64" s="100"/>
      <c r="AI64" s="100"/>
      <c r="AJ64" s="100"/>
      <c r="AK64" s="100"/>
      <c r="AL64" s="132">
        <v>40739</v>
      </c>
      <c r="AM64" s="99">
        <v>3594</v>
      </c>
      <c r="AN64" s="98">
        <v>0.151</v>
      </c>
      <c r="AO64" s="99">
        <v>11738</v>
      </c>
      <c r="AP64" s="100">
        <v>274</v>
      </c>
      <c r="AQ64" s="100">
        <v>858</v>
      </c>
      <c r="AR64" s="100">
        <v>181</v>
      </c>
      <c r="AS64" s="133">
        <f t="shared" si="5"/>
        <v>0.151</v>
      </c>
      <c r="AT64" s="100"/>
      <c r="AU64" s="100"/>
      <c r="AV64" s="100"/>
      <c r="AW64" s="100"/>
      <c r="AX64" s="100"/>
      <c r="AY64" s="100"/>
      <c r="AZ64" s="100"/>
      <c r="BA64" s="100"/>
      <c r="BB64" s="132">
        <v>40833</v>
      </c>
      <c r="BC64" s="100">
        <v>3594</v>
      </c>
      <c r="BD64" s="100" t="s">
        <v>1387</v>
      </c>
      <c r="BE64" s="98">
        <v>1.9E-2</v>
      </c>
      <c r="BF64" s="100" t="s">
        <v>1386</v>
      </c>
      <c r="BG64" s="154">
        <f>4.8%-1.9%</f>
        <v>2.9000000000000001E-2</v>
      </c>
      <c r="BH64" s="100" t="s">
        <v>1389</v>
      </c>
      <c r="BI64" s="154">
        <f>6.1%-4.8%</f>
        <v>1.2999999999999998E-2</v>
      </c>
      <c r="BJ64" s="100" t="s">
        <v>1393</v>
      </c>
      <c r="BK64" s="98">
        <f>10.4%-6.1%</f>
        <v>4.300000000000001E-2</v>
      </c>
      <c r="BL64" s="100" t="s">
        <v>1394</v>
      </c>
      <c r="BM64" s="98">
        <f>15.3%-10.4%</f>
        <v>4.8999999999999988E-2</v>
      </c>
      <c r="BN64" s="143"/>
      <c r="BO64" s="143"/>
      <c r="BP64" s="143"/>
      <c r="BQ64" s="143"/>
      <c r="BR64" s="143"/>
      <c r="BS64" s="143"/>
      <c r="BT64" s="143"/>
      <c r="BU64" s="143"/>
      <c r="BV64" s="143"/>
      <c r="BW64" s="143"/>
      <c r="BX64" s="98">
        <v>0.153</v>
      </c>
      <c r="BY64" s="99">
        <v>11738</v>
      </c>
      <c r="BZ64" s="99">
        <v>277</v>
      </c>
      <c r="CA64" s="99">
        <v>858</v>
      </c>
      <c r="CB64" s="99">
        <v>183</v>
      </c>
      <c r="CC64" s="98">
        <f t="shared" si="3"/>
        <v>0.153</v>
      </c>
      <c r="CD64" s="132">
        <v>40597</v>
      </c>
      <c r="CE64" s="100" t="b">
        <v>1</v>
      </c>
      <c r="CF64" s="100" t="b">
        <v>1</v>
      </c>
      <c r="CG64" s="100" t="s">
        <v>1422</v>
      </c>
      <c r="CH64" s="100" t="s">
        <v>1850</v>
      </c>
      <c r="CI64" s="100">
        <v>235</v>
      </c>
      <c r="CJ64" s="103"/>
      <c r="CK64" s="100">
        <v>3594</v>
      </c>
      <c r="CL64" s="100">
        <v>15691</v>
      </c>
      <c r="CM64" s="100">
        <v>1345</v>
      </c>
      <c r="CN64" s="100"/>
      <c r="CO64" s="100"/>
      <c r="CP64" s="100"/>
      <c r="CQ64" s="100"/>
      <c r="CR64" s="100"/>
      <c r="CS64" s="100"/>
      <c r="CT64" s="100"/>
      <c r="CU64" s="132">
        <v>40829</v>
      </c>
      <c r="CV64" s="100">
        <v>1946</v>
      </c>
      <c r="CW64" s="100">
        <v>152</v>
      </c>
      <c r="CX64" s="103"/>
      <c r="CY64" s="100"/>
      <c r="CZ64" s="100"/>
      <c r="DA64" s="100"/>
      <c r="DB64" s="100"/>
      <c r="DC64" s="100"/>
      <c r="DD64" s="100"/>
      <c r="DE64" s="100"/>
      <c r="DF64" s="155">
        <v>6100</v>
      </c>
      <c r="DG64" s="100">
        <v>274</v>
      </c>
      <c r="DH64" s="100">
        <v>181</v>
      </c>
      <c r="DI64" s="100"/>
      <c r="DJ64" s="100" t="b">
        <v>0</v>
      </c>
      <c r="DK64" s="100" t="b">
        <v>0</v>
      </c>
      <c r="DL64" s="100">
        <v>0</v>
      </c>
      <c r="DM64" s="100"/>
      <c r="DN64" s="103"/>
      <c r="DO64" s="103"/>
      <c r="DP64" s="100"/>
      <c r="DQ64" s="100"/>
      <c r="DR64" s="100"/>
      <c r="DS64" s="100"/>
      <c r="DT64" s="100"/>
      <c r="DU64" s="100"/>
      <c r="DV64" s="100">
        <v>276</v>
      </c>
      <c r="DW64" s="100">
        <v>183</v>
      </c>
      <c r="DX64" s="100"/>
      <c r="DY64" s="100" t="b">
        <v>0</v>
      </c>
      <c r="DZ64" s="100" t="b">
        <v>0</v>
      </c>
      <c r="EA64" s="100">
        <v>0</v>
      </c>
      <c r="EB64" s="100"/>
      <c r="EC64" s="103"/>
      <c r="ED64" s="103"/>
      <c r="EM64" s="112"/>
      <c r="EN64" s="112"/>
      <c r="EO64" s="193" t="s">
        <v>1847</v>
      </c>
      <c r="EP64" s="193">
        <v>15.27</v>
      </c>
      <c r="EQ64" t="b">
        <f t="shared" si="4"/>
        <v>0</v>
      </c>
    </row>
    <row r="65" spans="1:147" ht="15.95" customHeight="1" x14ac:dyDescent="0.25">
      <c r="A65" s="102" t="s">
        <v>58</v>
      </c>
      <c r="B65" s="156">
        <v>0.7090378999710083</v>
      </c>
      <c r="C65" s="102" t="s">
        <v>1463</v>
      </c>
      <c r="D65" s="102" t="s">
        <v>1463</v>
      </c>
      <c r="E65" s="102" t="s">
        <v>114</v>
      </c>
      <c r="F65" s="156" t="b">
        <v>0</v>
      </c>
      <c r="G65" s="157"/>
      <c r="H65" s="102"/>
      <c r="I65" s="102" t="s">
        <v>1852</v>
      </c>
      <c r="J65" s="102" t="s">
        <v>1853</v>
      </c>
      <c r="K65" s="102" t="s">
        <v>1712</v>
      </c>
      <c r="L65" s="102"/>
      <c r="M65" s="102"/>
      <c r="N65" s="157" t="s">
        <v>1713</v>
      </c>
      <c r="O65" s="102" t="s">
        <v>1422</v>
      </c>
      <c r="P65" s="158">
        <v>40648</v>
      </c>
      <c r="Q65" s="158">
        <v>40772.566979166666</v>
      </c>
      <c r="R65" s="158">
        <v>40787.577615740738</v>
      </c>
      <c r="S65" s="158">
        <v>40848.658819444441</v>
      </c>
      <c r="T65" s="158">
        <v>40851.434317129628</v>
      </c>
      <c r="U65" s="158">
        <v>40885</v>
      </c>
      <c r="V65" s="156">
        <v>1450</v>
      </c>
      <c r="W65" s="102" t="s">
        <v>68</v>
      </c>
      <c r="X65" s="156">
        <v>3056</v>
      </c>
      <c r="Y65" s="159"/>
      <c r="Z65" s="156">
        <v>234</v>
      </c>
      <c r="AA65" s="156">
        <v>0</v>
      </c>
      <c r="AB65" s="159"/>
      <c r="AC65" s="156">
        <v>2747</v>
      </c>
      <c r="AD65" s="159"/>
      <c r="AE65" s="156">
        <v>205</v>
      </c>
      <c r="AF65" s="156">
        <v>9374</v>
      </c>
      <c r="AG65" s="156">
        <v>2500</v>
      </c>
      <c r="AH65" s="100"/>
      <c r="AI65" s="100"/>
      <c r="AJ65" s="100"/>
      <c r="AK65" s="100"/>
      <c r="AL65" s="132">
        <v>40738</v>
      </c>
      <c r="AM65" s="100">
        <v>1450</v>
      </c>
      <c r="AN65" s="98">
        <v>0.29199999999999998</v>
      </c>
      <c r="AO65" s="99">
        <v>10134</v>
      </c>
      <c r="AP65" s="99">
        <v>3059</v>
      </c>
      <c r="AQ65" s="100">
        <v>816</v>
      </c>
      <c r="AR65" s="100">
        <v>235</v>
      </c>
      <c r="AS65" s="133">
        <f t="shared" si="5"/>
        <v>0.29199999999999998</v>
      </c>
      <c r="AT65" s="100"/>
      <c r="AU65" s="100"/>
      <c r="AV65" s="100"/>
      <c r="AW65" s="100"/>
      <c r="AX65" s="100"/>
      <c r="AY65" s="100"/>
      <c r="AZ65" s="100"/>
      <c r="BA65" s="100"/>
      <c r="BB65" s="132">
        <v>40848</v>
      </c>
      <c r="BC65" s="99">
        <v>1450</v>
      </c>
      <c r="BD65" s="100" t="s">
        <v>1387</v>
      </c>
      <c r="BE65" s="98">
        <v>4.5999999999999999E-2</v>
      </c>
      <c r="BF65" s="100" t="s">
        <v>1388</v>
      </c>
      <c r="BG65" s="154">
        <f>22.2%-4.6%</f>
        <v>0.17599999999999999</v>
      </c>
      <c r="BH65" s="100" t="s">
        <v>1389</v>
      </c>
      <c r="BI65" s="154">
        <f>22.6%-22.2%</f>
        <v>4.0000000000000036E-3</v>
      </c>
      <c r="BJ65" s="100" t="s">
        <v>1394</v>
      </c>
      <c r="BK65" s="98">
        <f>26.5%-22.6%</f>
        <v>3.9000000000000007E-2</v>
      </c>
      <c r="BL65" s="103"/>
      <c r="BM65" s="143"/>
      <c r="BN65" s="143"/>
      <c r="BO65" s="143"/>
      <c r="BP65" s="143"/>
      <c r="BQ65" s="143"/>
      <c r="BR65" s="143"/>
      <c r="BS65" s="143"/>
      <c r="BT65" s="143"/>
      <c r="BU65" s="143"/>
      <c r="BV65" s="143"/>
      <c r="BW65" s="143"/>
      <c r="BX65" s="98">
        <v>0.26500000000000001</v>
      </c>
      <c r="BY65" s="99">
        <v>9850</v>
      </c>
      <c r="BZ65" s="99">
        <v>2749</v>
      </c>
      <c r="CA65" s="99">
        <v>790</v>
      </c>
      <c r="CB65" s="99">
        <v>205</v>
      </c>
      <c r="CC65" s="98">
        <f t="shared" si="3"/>
        <v>0.26500000000000001</v>
      </c>
      <c r="CD65" s="132">
        <v>40648</v>
      </c>
      <c r="CE65" s="100" t="b">
        <v>1</v>
      </c>
      <c r="CF65" s="100" t="b">
        <v>1</v>
      </c>
      <c r="CG65" s="100" t="s">
        <v>1422</v>
      </c>
      <c r="CH65" s="100">
        <v>1500</v>
      </c>
      <c r="CI65" s="100"/>
      <c r="CJ65" s="100"/>
      <c r="CK65" s="100">
        <v>1450</v>
      </c>
      <c r="CL65" s="100">
        <v>6495</v>
      </c>
      <c r="CM65" s="103"/>
      <c r="CN65" s="100"/>
      <c r="CO65" s="100"/>
      <c r="CP65" s="100"/>
      <c r="CQ65" s="100"/>
      <c r="CR65" s="100"/>
      <c r="CS65" s="100"/>
      <c r="CT65" s="100"/>
      <c r="CU65" s="132">
        <v>40801</v>
      </c>
      <c r="CV65" s="103"/>
      <c r="CW65" s="100">
        <v>69</v>
      </c>
      <c r="CX65" s="103"/>
      <c r="CY65" s="100"/>
      <c r="CZ65" s="100"/>
      <c r="DA65" s="100"/>
      <c r="DB65" s="100"/>
      <c r="DC65" s="100"/>
      <c r="DD65" s="100"/>
      <c r="DE65" s="100"/>
      <c r="DF65" s="155">
        <v>9370</v>
      </c>
      <c r="DG65" s="100">
        <v>3060</v>
      </c>
      <c r="DH65" s="100">
        <v>235</v>
      </c>
      <c r="DI65" s="100"/>
      <c r="DJ65" s="100" t="b">
        <v>0</v>
      </c>
      <c r="DK65" s="100" t="b">
        <v>0</v>
      </c>
      <c r="DL65" s="100">
        <v>1</v>
      </c>
      <c r="DM65" s="100"/>
      <c r="DN65" s="100" t="s">
        <v>1770</v>
      </c>
      <c r="DO65" s="103"/>
      <c r="DP65" s="100"/>
      <c r="DQ65" s="100"/>
      <c r="DR65" s="100"/>
      <c r="DS65" s="100"/>
      <c r="DT65" s="100"/>
      <c r="DU65" s="100"/>
      <c r="DV65" s="100">
        <v>2750</v>
      </c>
      <c r="DW65" s="100">
        <v>205</v>
      </c>
      <c r="DX65" s="100"/>
      <c r="DY65" s="100" t="b">
        <v>0</v>
      </c>
      <c r="DZ65" s="100" t="b">
        <v>0</v>
      </c>
      <c r="EA65" s="100">
        <v>1</v>
      </c>
      <c r="EB65" s="100"/>
      <c r="EC65" s="100" t="s">
        <v>1854</v>
      </c>
      <c r="ED65" s="103"/>
      <c r="EM65" s="112"/>
      <c r="EN65" s="112"/>
      <c r="EO65" s="193" t="s">
        <v>1851</v>
      </c>
      <c r="EP65" s="193">
        <v>26.53</v>
      </c>
      <c r="EQ65" t="b">
        <f t="shared" si="4"/>
        <v>0</v>
      </c>
    </row>
    <row r="66" spans="1:147" ht="15.95" customHeight="1" x14ac:dyDescent="0.25">
      <c r="A66" s="104" t="s">
        <v>58</v>
      </c>
      <c r="B66" s="173">
        <v>0.99214404821395874</v>
      </c>
      <c r="C66" s="104" t="s">
        <v>1472</v>
      </c>
      <c r="D66" s="104" t="s">
        <v>1472</v>
      </c>
      <c r="E66" s="104" t="s">
        <v>114</v>
      </c>
      <c r="F66" s="173" t="b">
        <v>0</v>
      </c>
      <c r="G66" s="174"/>
      <c r="H66" s="104"/>
      <c r="I66" s="104" t="s">
        <v>1856</v>
      </c>
      <c r="J66" s="104" t="s">
        <v>1857</v>
      </c>
      <c r="K66" s="104" t="s">
        <v>146</v>
      </c>
      <c r="L66" s="104"/>
      <c r="M66" s="104"/>
      <c r="N66" s="174" t="s">
        <v>128</v>
      </c>
      <c r="O66" s="104" t="s">
        <v>1422</v>
      </c>
      <c r="P66" s="175">
        <v>40735</v>
      </c>
      <c r="Q66" s="175">
        <v>40778.602719907409</v>
      </c>
      <c r="R66" s="175">
        <v>40780.565821759257</v>
      </c>
      <c r="S66" s="175">
        <v>40829.604143518518</v>
      </c>
      <c r="T66" s="175">
        <v>40834.541956018518</v>
      </c>
      <c r="U66" s="175">
        <v>40869</v>
      </c>
      <c r="V66" s="173">
        <v>1608</v>
      </c>
      <c r="W66" s="104" t="s">
        <v>68</v>
      </c>
      <c r="X66" s="173">
        <v>4523</v>
      </c>
      <c r="Y66" s="176"/>
      <c r="Z66" s="173">
        <v>258</v>
      </c>
      <c r="AA66" s="173">
        <v>0</v>
      </c>
      <c r="AB66" s="176"/>
      <c r="AC66" s="173">
        <v>4367</v>
      </c>
      <c r="AD66" s="176"/>
      <c r="AE66" s="173">
        <v>275</v>
      </c>
      <c r="AF66" s="173">
        <v>14905</v>
      </c>
      <c r="AG66" s="173">
        <v>3000</v>
      </c>
      <c r="AH66" s="100"/>
      <c r="AI66" s="100"/>
      <c r="AJ66" s="100"/>
      <c r="AK66" s="100"/>
      <c r="AL66" s="132">
        <v>40752</v>
      </c>
      <c r="AM66" s="100">
        <v>1608</v>
      </c>
      <c r="AN66" s="133">
        <v>0</v>
      </c>
      <c r="AO66" s="99">
        <v>13551</v>
      </c>
      <c r="AP66" s="99">
        <v>4527</v>
      </c>
      <c r="AQ66" s="100">
        <v>940</v>
      </c>
      <c r="AR66" s="100">
        <v>258</v>
      </c>
      <c r="AS66" s="133">
        <f t="shared" si="5"/>
        <v>0</v>
      </c>
      <c r="AT66" s="100"/>
      <c r="AU66" s="100"/>
      <c r="AV66" s="100"/>
      <c r="AW66" s="100"/>
      <c r="AX66" s="100"/>
      <c r="AY66" s="100"/>
      <c r="AZ66" s="100"/>
      <c r="BA66" s="100"/>
      <c r="BB66" s="132">
        <v>40829</v>
      </c>
      <c r="BC66" s="100">
        <v>1608</v>
      </c>
      <c r="BD66" s="100" t="s">
        <v>1387</v>
      </c>
      <c r="BE66" s="98">
        <v>4.2999999999999997E-2</v>
      </c>
      <c r="BF66" s="100" t="s">
        <v>1396</v>
      </c>
      <c r="BG66" s="154">
        <f>19.3%-4.3%</f>
        <v>0.15000000000000002</v>
      </c>
      <c r="BH66" s="100" t="s">
        <v>1386</v>
      </c>
      <c r="BI66" s="154">
        <f>25.1%-19.3%</f>
        <v>5.7999999999999996E-2</v>
      </c>
      <c r="BJ66" s="100" t="s">
        <v>1389</v>
      </c>
      <c r="BK66" s="98">
        <f>30.3%-25.1%</f>
        <v>5.1999999999999991E-2</v>
      </c>
      <c r="BL66" s="103"/>
      <c r="BM66" s="143"/>
      <c r="BN66" s="143"/>
      <c r="BO66" s="143"/>
      <c r="BP66" s="143"/>
      <c r="BQ66" s="143"/>
      <c r="BR66" s="143"/>
      <c r="BS66" s="143"/>
      <c r="BT66" s="143"/>
      <c r="BU66" s="143"/>
      <c r="BV66" s="143"/>
      <c r="BW66" s="143"/>
      <c r="BX66" s="98">
        <v>0.30299999999999999</v>
      </c>
      <c r="BY66" s="99">
        <v>13130</v>
      </c>
      <c r="BZ66" s="99">
        <v>4371</v>
      </c>
      <c r="CA66" s="99">
        <v>952</v>
      </c>
      <c r="CB66" s="99">
        <v>275</v>
      </c>
      <c r="CC66" s="98">
        <f t="shared" si="3"/>
        <v>0.30299999999999999</v>
      </c>
      <c r="CD66" s="132">
        <v>40735</v>
      </c>
      <c r="CE66" s="100" t="b">
        <v>1</v>
      </c>
      <c r="CF66" s="100" t="b">
        <v>1</v>
      </c>
      <c r="CG66" s="100" t="s">
        <v>1422</v>
      </c>
      <c r="CH66" s="100">
        <v>2992</v>
      </c>
      <c r="CI66" s="100">
        <v>331</v>
      </c>
      <c r="CJ66" s="103"/>
      <c r="CK66" s="100">
        <v>1608</v>
      </c>
      <c r="CL66" s="103"/>
      <c r="CM66" s="103"/>
      <c r="CN66" s="100"/>
      <c r="CO66" s="100"/>
      <c r="CP66" s="100"/>
      <c r="CQ66" s="100"/>
      <c r="CR66" s="100"/>
      <c r="CS66" s="100"/>
      <c r="CT66" s="100"/>
      <c r="CU66" s="132">
        <v>40767</v>
      </c>
      <c r="CV66" s="100">
        <v>1613</v>
      </c>
      <c r="CW66" s="100">
        <v>160</v>
      </c>
      <c r="CX66" s="100" t="b">
        <v>1</v>
      </c>
      <c r="CY66" s="100"/>
      <c r="CZ66" s="100"/>
      <c r="DA66" s="100"/>
      <c r="DB66" s="100"/>
      <c r="DC66" s="100"/>
      <c r="DD66" s="100"/>
      <c r="DE66" s="100"/>
      <c r="DF66" s="155">
        <v>18148</v>
      </c>
      <c r="DG66" s="100">
        <v>4520</v>
      </c>
      <c r="DH66" s="100">
        <v>258</v>
      </c>
      <c r="DI66" s="100"/>
      <c r="DJ66" s="100" t="b">
        <v>0</v>
      </c>
      <c r="DK66" s="164" t="b">
        <v>0</v>
      </c>
      <c r="DL66" s="100">
        <v>1</v>
      </c>
      <c r="DM66" s="100"/>
      <c r="DN66" s="100" t="s">
        <v>1721</v>
      </c>
      <c r="DO66" s="103"/>
      <c r="DP66" s="100"/>
      <c r="DQ66" s="100"/>
      <c r="DR66" s="100"/>
      <c r="DS66" s="100"/>
      <c r="DT66" s="100"/>
      <c r="DU66" s="100"/>
      <c r="DV66" s="100">
        <v>4370</v>
      </c>
      <c r="DW66" s="100">
        <v>275</v>
      </c>
      <c r="DX66" s="100"/>
      <c r="DY66" s="100" t="b">
        <v>0</v>
      </c>
      <c r="DZ66" s="100" t="b">
        <v>0</v>
      </c>
      <c r="EA66" s="100">
        <v>2</v>
      </c>
      <c r="EB66" s="100"/>
      <c r="EC66" s="100" t="s">
        <v>1858</v>
      </c>
      <c r="ED66" s="100" t="s">
        <v>1859</v>
      </c>
      <c r="EM66" s="112"/>
      <c r="EN66" s="112"/>
      <c r="EO66" s="193" t="s">
        <v>1855</v>
      </c>
      <c r="EP66" s="193">
        <v>30.26</v>
      </c>
      <c r="EQ66" t="b">
        <f t="shared" si="4"/>
        <v>0</v>
      </c>
    </row>
    <row r="67" spans="1:147" ht="15.95" customHeight="1" x14ac:dyDescent="0.25">
      <c r="A67" s="104" t="s">
        <v>58</v>
      </c>
      <c r="B67" s="173">
        <v>0.92160546779632568</v>
      </c>
      <c r="C67" s="104" t="s">
        <v>1447</v>
      </c>
      <c r="D67" s="104" t="s">
        <v>1447</v>
      </c>
      <c r="E67" s="104" t="s">
        <v>114</v>
      </c>
      <c r="F67" s="173" t="b">
        <v>0</v>
      </c>
      <c r="G67" s="174"/>
      <c r="H67" s="104"/>
      <c r="I67" s="104" t="s">
        <v>80</v>
      </c>
      <c r="J67" s="104" t="s">
        <v>1715</v>
      </c>
      <c r="K67" s="104" t="s">
        <v>1705</v>
      </c>
      <c r="L67" s="104"/>
      <c r="M67" s="104"/>
      <c r="N67" s="174" t="s">
        <v>1737</v>
      </c>
      <c r="O67" s="104" t="s">
        <v>1422</v>
      </c>
      <c r="P67" s="175">
        <v>40771</v>
      </c>
      <c r="Q67" s="175">
        <v>40822.582974537036</v>
      </c>
      <c r="R67" s="175">
        <v>40822.732418981483</v>
      </c>
      <c r="S67" s="175">
        <v>40890.380266203705</v>
      </c>
      <c r="T67" s="175">
        <v>40899.572581018518</v>
      </c>
      <c r="U67" s="175">
        <v>40933</v>
      </c>
      <c r="V67" s="173">
        <v>1403</v>
      </c>
      <c r="W67" s="104" t="s">
        <v>68</v>
      </c>
      <c r="X67" s="173">
        <v>691</v>
      </c>
      <c r="Y67" s="176"/>
      <c r="Z67" s="173">
        <v>245</v>
      </c>
      <c r="AA67" s="173">
        <v>0</v>
      </c>
      <c r="AB67" s="176"/>
      <c r="AC67" s="173">
        <v>723</v>
      </c>
      <c r="AD67" s="176"/>
      <c r="AE67" s="173">
        <v>273</v>
      </c>
      <c r="AF67" s="173">
        <v>2468</v>
      </c>
      <c r="AG67" s="173">
        <v>2500</v>
      </c>
      <c r="AH67" s="100"/>
      <c r="AI67" s="100"/>
      <c r="AJ67" s="100"/>
      <c r="AK67" s="100"/>
      <c r="AL67" s="132">
        <v>40819</v>
      </c>
      <c r="AM67" s="100">
        <v>1403</v>
      </c>
      <c r="AN67" s="133">
        <v>0</v>
      </c>
      <c r="AO67" s="100">
        <v>5620</v>
      </c>
      <c r="AP67" s="100">
        <v>691</v>
      </c>
      <c r="AQ67" s="100">
        <v>866</v>
      </c>
      <c r="AR67" s="100">
        <v>245</v>
      </c>
      <c r="AS67" s="133">
        <f t="shared" si="5"/>
        <v>0</v>
      </c>
      <c r="AT67" s="100"/>
      <c r="AU67" s="100"/>
      <c r="AV67" s="100"/>
      <c r="AW67" s="100"/>
      <c r="AX67" s="100"/>
      <c r="AY67" s="100"/>
      <c r="AZ67" s="100"/>
      <c r="BA67" s="100"/>
      <c r="BB67" s="132">
        <v>40884</v>
      </c>
      <c r="BC67" s="100">
        <v>1403</v>
      </c>
      <c r="BD67" s="100" t="s">
        <v>1387</v>
      </c>
      <c r="BE67" s="98">
        <v>0.23400000000000001</v>
      </c>
      <c r="BF67" s="100" t="s">
        <v>1395</v>
      </c>
      <c r="BG67" s="154">
        <f>26.9%-23.4%</f>
        <v>3.4999999999999976E-2</v>
      </c>
      <c r="BH67" s="100" t="s">
        <v>1386</v>
      </c>
      <c r="BI67" s="154">
        <f>28.1%-26.9%</f>
        <v>1.2000000000000066E-2</v>
      </c>
      <c r="BJ67" s="103"/>
      <c r="BK67" s="143"/>
      <c r="BL67" s="103"/>
      <c r="BM67" s="143"/>
      <c r="BN67" s="143"/>
      <c r="BO67" s="143"/>
      <c r="BP67" s="143"/>
      <c r="BQ67" s="143"/>
      <c r="BR67" s="143"/>
      <c r="BS67" s="143"/>
      <c r="BT67" s="143"/>
      <c r="BU67" s="143"/>
      <c r="BV67" s="143"/>
      <c r="BW67" s="143"/>
      <c r="BX67" s="98">
        <v>0.28100000000000003</v>
      </c>
      <c r="BY67" s="99">
        <v>5620</v>
      </c>
      <c r="BZ67" s="99">
        <v>724</v>
      </c>
      <c r="CA67" s="99">
        <v>866</v>
      </c>
      <c r="CB67" s="99">
        <v>273</v>
      </c>
      <c r="CC67" s="98">
        <f t="shared" si="3"/>
        <v>0.28100000000000003</v>
      </c>
      <c r="CD67" s="132">
        <v>40771</v>
      </c>
      <c r="CE67" s="100" t="b">
        <v>1</v>
      </c>
      <c r="CF67" s="100" t="b">
        <v>1</v>
      </c>
      <c r="CG67" s="100" t="s">
        <v>1422</v>
      </c>
      <c r="CH67" s="100">
        <v>2085</v>
      </c>
      <c r="CI67" s="103"/>
      <c r="CJ67" s="164" t="b">
        <v>1</v>
      </c>
      <c r="CK67" s="100">
        <v>1402.5</v>
      </c>
      <c r="CL67" s="103"/>
      <c r="CM67" s="103"/>
      <c r="CN67" s="100"/>
      <c r="CO67" s="100"/>
      <c r="CP67" s="100"/>
      <c r="CQ67" s="100"/>
      <c r="CR67" s="100"/>
      <c r="CS67" s="100"/>
      <c r="CT67" s="100"/>
      <c r="CU67" s="132">
        <v>40856</v>
      </c>
      <c r="CV67" s="100">
        <v>1727</v>
      </c>
      <c r="CW67" s="103"/>
      <c r="CX67" s="103"/>
      <c r="CY67" s="100"/>
      <c r="CZ67" s="100"/>
      <c r="DA67" s="100"/>
      <c r="DB67" s="100"/>
      <c r="DC67" s="100"/>
      <c r="DD67" s="100"/>
      <c r="DE67" s="100"/>
      <c r="DF67" s="155">
        <v>6500</v>
      </c>
      <c r="DG67" s="100">
        <v>691</v>
      </c>
      <c r="DH67" s="100">
        <v>245</v>
      </c>
      <c r="DI67" s="100"/>
      <c r="DJ67" s="100" t="b">
        <v>0</v>
      </c>
      <c r="DK67" s="100" t="b">
        <v>1</v>
      </c>
      <c r="DL67" s="100">
        <v>3</v>
      </c>
      <c r="DM67" s="100"/>
      <c r="DN67" s="2" t="s">
        <v>1861</v>
      </c>
      <c r="DO67" s="100" t="s">
        <v>1862</v>
      </c>
      <c r="DP67" s="100"/>
      <c r="DQ67" s="100"/>
      <c r="DR67" s="100"/>
      <c r="DS67" s="100"/>
      <c r="DT67" s="100"/>
      <c r="DU67" s="100"/>
      <c r="DV67" s="100">
        <v>723</v>
      </c>
      <c r="DW67" s="100">
        <v>273</v>
      </c>
      <c r="DX67" s="100"/>
      <c r="DY67" s="100" t="b">
        <v>0</v>
      </c>
      <c r="DZ67" s="100" t="b">
        <v>1</v>
      </c>
      <c r="EA67" s="100">
        <v>0</v>
      </c>
      <c r="EB67" s="100"/>
      <c r="EC67" s="103"/>
      <c r="ED67" s="103"/>
      <c r="EM67" s="112"/>
      <c r="EN67" s="112"/>
      <c r="EO67" s="193" t="s">
        <v>1860</v>
      </c>
      <c r="EP67" s="193">
        <v>28.14</v>
      </c>
      <c r="EQ67" t="b">
        <f t="shared" si="4"/>
        <v>0</v>
      </c>
    </row>
    <row r="68" spans="1:147" ht="15.95" customHeight="1" x14ac:dyDescent="0.25">
      <c r="A68" s="104" t="s">
        <v>58</v>
      </c>
      <c r="B68" s="173">
        <v>0.85002297163009644</v>
      </c>
      <c r="C68" s="104" t="s">
        <v>1444</v>
      </c>
      <c r="D68" s="104" t="s">
        <v>1444</v>
      </c>
      <c r="E68" s="104" t="s">
        <v>114</v>
      </c>
      <c r="F68" s="173" t="b">
        <v>0</v>
      </c>
      <c r="G68" s="174"/>
      <c r="H68" s="104"/>
      <c r="I68" s="104" t="s">
        <v>138</v>
      </c>
      <c r="J68" s="104" t="s">
        <v>137</v>
      </c>
      <c r="K68" s="104" t="s">
        <v>104</v>
      </c>
      <c r="L68" s="104"/>
      <c r="M68" s="104"/>
      <c r="N68" s="174" t="s">
        <v>122</v>
      </c>
      <c r="O68" s="104" t="s">
        <v>1422</v>
      </c>
      <c r="P68" s="175">
        <v>40847</v>
      </c>
      <c r="Q68" s="175">
        <v>40863.906608796293</v>
      </c>
      <c r="R68" s="175">
        <v>40868.526273148149</v>
      </c>
      <c r="S68" s="175">
        <v>40892.958981481483</v>
      </c>
      <c r="T68" s="175">
        <v>40900.422939814816</v>
      </c>
      <c r="U68" s="175">
        <v>40932</v>
      </c>
      <c r="V68" s="173">
        <v>1600</v>
      </c>
      <c r="W68" s="104" t="s">
        <v>68</v>
      </c>
      <c r="X68" s="173">
        <v>518</v>
      </c>
      <c r="Y68" s="176"/>
      <c r="Z68" s="173">
        <v>360</v>
      </c>
      <c r="AA68" s="173">
        <v>0</v>
      </c>
      <c r="AB68" s="176"/>
      <c r="AC68" s="173">
        <v>502</v>
      </c>
      <c r="AD68" s="176"/>
      <c r="AE68" s="173">
        <v>348</v>
      </c>
      <c r="AF68" s="173">
        <v>1712</v>
      </c>
      <c r="AG68" s="173">
        <v>3500</v>
      </c>
      <c r="AH68" s="100"/>
      <c r="AI68" s="100"/>
      <c r="AJ68" s="100"/>
      <c r="AK68" s="100"/>
      <c r="AL68" s="132">
        <v>40863</v>
      </c>
      <c r="AM68" s="100">
        <v>1600</v>
      </c>
      <c r="AN68" s="98">
        <v>0.36499999999999999</v>
      </c>
      <c r="AO68" s="100">
        <v>5092</v>
      </c>
      <c r="AP68" s="100">
        <v>518</v>
      </c>
      <c r="AQ68" s="100">
        <v>861</v>
      </c>
      <c r="AR68" s="100">
        <v>360</v>
      </c>
      <c r="AS68" s="133">
        <f t="shared" si="5"/>
        <v>0.36499999999999999</v>
      </c>
      <c r="AT68" s="100"/>
      <c r="AU68" s="100"/>
      <c r="AV68" s="100"/>
      <c r="AW68" s="100"/>
      <c r="AX68" s="100"/>
      <c r="AY68" s="100"/>
      <c r="AZ68" s="100"/>
      <c r="BA68" s="100"/>
      <c r="BB68" s="132">
        <v>40886</v>
      </c>
      <c r="BC68" s="100">
        <v>1600</v>
      </c>
      <c r="BD68" s="100" t="s">
        <v>1388</v>
      </c>
      <c r="BE68" s="98">
        <v>0.105</v>
      </c>
      <c r="BF68" s="100" t="s">
        <v>1395</v>
      </c>
      <c r="BG68" s="154">
        <f>22.9%-10.5%</f>
        <v>0.12399999999999999</v>
      </c>
      <c r="BH68" s="100" t="s">
        <v>1386</v>
      </c>
      <c r="BI68" s="154">
        <f>25.2%-22.9%</f>
        <v>2.300000000000002E-2</v>
      </c>
      <c r="BJ68" s="100" t="s">
        <v>1389</v>
      </c>
      <c r="BK68" s="98">
        <f>28.6%-25.2%</f>
        <v>3.400000000000003E-2</v>
      </c>
      <c r="BL68" s="100" t="s">
        <v>1393</v>
      </c>
      <c r="BM68" s="98">
        <f>35.3%-28.6%</f>
        <v>6.6999999999999948E-2</v>
      </c>
      <c r="BN68" s="143"/>
      <c r="BO68" s="143"/>
      <c r="BP68" s="143"/>
      <c r="BQ68" s="143"/>
      <c r="BR68" s="143"/>
      <c r="BS68" s="143"/>
      <c r="BT68" s="143"/>
      <c r="BU68" s="143"/>
      <c r="BV68" s="143"/>
      <c r="BW68" s="143"/>
      <c r="BX68" s="98">
        <v>0.35299999999999998</v>
      </c>
      <c r="BY68" s="99">
        <v>5092</v>
      </c>
      <c r="BZ68" s="99">
        <v>502</v>
      </c>
      <c r="CA68" s="99">
        <v>861</v>
      </c>
      <c r="CB68" s="99">
        <v>348</v>
      </c>
      <c r="CC68" s="98">
        <f t="shared" si="3"/>
        <v>0.35299999999999998</v>
      </c>
      <c r="CD68" s="132">
        <v>40833</v>
      </c>
      <c r="CE68" s="100" t="b">
        <v>1</v>
      </c>
      <c r="CF68" s="100" t="b">
        <v>1</v>
      </c>
      <c r="CG68" s="100" t="s">
        <v>1422</v>
      </c>
      <c r="CH68" s="100">
        <v>2460</v>
      </c>
      <c r="CI68" s="100">
        <v>415</v>
      </c>
      <c r="CJ68" s="103"/>
      <c r="CK68" s="100">
        <v>1600</v>
      </c>
      <c r="CL68" s="103"/>
      <c r="CM68" s="103"/>
      <c r="CN68" s="100"/>
      <c r="CO68" s="100"/>
      <c r="CP68" s="100"/>
      <c r="CQ68" s="100"/>
      <c r="CR68" s="100"/>
      <c r="CS68" s="100"/>
      <c r="CT68" s="100"/>
      <c r="CU68" s="132">
        <v>40886</v>
      </c>
      <c r="CV68" s="100">
        <v>2060</v>
      </c>
      <c r="CW68" s="100">
        <v>190</v>
      </c>
      <c r="CX68" s="103"/>
      <c r="CY68" s="100"/>
      <c r="CZ68" s="100"/>
      <c r="DA68" s="100"/>
      <c r="DB68" s="100"/>
      <c r="DC68" s="100"/>
      <c r="DD68" s="100"/>
      <c r="DE68" s="100"/>
      <c r="DF68" s="155">
        <v>9000</v>
      </c>
      <c r="DG68" s="100">
        <v>518</v>
      </c>
      <c r="DH68" s="100">
        <v>360</v>
      </c>
      <c r="DI68" s="100"/>
      <c r="DJ68" s="100" t="b">
        <v>0</v>
      </c>
      <c r="DK68" s="100" t="b">
        <v>0</v>
      </c>
      <c r="DL68" s="100">
        <v>0</v>
      </c>
      <c r="DM68" s="100"/>
      <c r="DN68" s="103"/>
      <c r="DO68" s="103"/>
      <c r="DP68" s="100"/>
      <c r="DQ68" s="100"/>
      <c r="DR68" s="100"/>
      <c r="DS68" s="100"/>
      <c r="DT68" s="100"/>
      <c r="DU68" s="100"/>
      <c r="DV68" s="100">
        <v>502</v>
      </c>
      <c r="DW68" s="100">
        <v>348</v>
      </c>
      <c r="DX68" s="100"/>
      <c r="DY68" s="100" t="b">
        <v>0</v>
      </c>
      <c r="DZ68" s="100" t="b">
        <v>0</v>
      </c>
      <c r="EA68" s="100">
        <v>0</v>
      </c>
      <c r="EB68" s="100"/>
      <c r="EC68" s="103"/>
      <c r="ED68" s="103"/>
      <c r="EM68" s="112"/>
      <c r="EN68" s="112"/>
      <c r="EO68" s="193" t="s">
        <v>1863</v>
      </c>
      <c r="EP68" s="193">
        <v>35.29</v>
      </c>
      <c r="EQ68" t="b">
        <f t="shared" si="4"/>
        <v>0</v>
      </c>
    </row>
    <row r="69" spans="1:147" ht="15.95" customHeight="1" x14ac:dyDescent="0.25">
      <c r="A69" s="104" t="s">
        <v>58</v>
      </c>
      <c r="B69" s="173">
        <v>0.78848093748092651</v>
      </c>
      <c r="C69" s="104" t="s">
        <v>1466</v>
      </c>
      <c r="D69" s="104" t="s">
        <v>1466</v>
      </c>
      <c r="E69" s="104" t="s">
        <v>114</v>
      </c>
      <c r="F69" s="173" t="b">
        <v>0</v>
      </c>
      <c r="G69" s="174"/>
      <c r="H69" s="104"/>
      <c r="I69" s="104" t="s">
        <v>138</v>
      </c>
      <c r="J69" s="104" t="s">
        <v>137</v>
      </c>
      <c r="K69" s="104" t="s">
        <v>104</v>
      </c>
      <c r="L69" s="104"/>
      <c r="M69" s="104"/>
      <c r="N69" s="174" t="s">
        <v>119</v>
      </c>
      <c r="O69" s="104" t="s">
        <v>1422</v>
      </c>
      <c r="P69" s="175">
        <v>40799</v>
      </c>
      <c r="Q69" s="175">
        <v>40813.434108796297</v>
      </c>
      <c r="R69" s="175">
        <v>40814.331666666665</v>
      </c>
      <c r="S69" s="175">
        <v>40836.871689814812</v>
      </c>
      <c r="T69" s="175">
        <v>40855.717673611114</v>
      </c>
      <c r="U69" s="175">
        <v>40876</v>
      </c>
      <c r="V69" s="173">
        <v>2500</v>
      </c>
      <c r="W69" s="104" t="s">
        <v>68</v>
      </c>
      <c r="X69" s="173">
        <v>392</v>
      </c>
      <c r="Y69" s="176"/>
      <c r="Z69" s="173">
        <v>470</v>
      </c>
      <c r="AA69" s="173">
        <v>0</v>
      </c>
      <c r="AB69" s="176"/>
      <c r="AC69" s="173">
        <v>0</v>
      </c>
      <c r="AD69" s="176"/>
      <c r="AE69" s="173">
        <v>0</v>
      </c>
      <c r="AF69" s="173">
        <v>0</v>
      </c>
      <c r="AG69" s="173">
        <v>2500</v>
      </c>
      <c r="AH69" s="100"/>
      <c r="AI69" s="100"/>
      <c r="AJ69" s="100"/>
      <c r="AK69" s="100"/>
      <c r="AL69" s="132">
        <v>40813</v>
      </c>
      <c r="AM69" s="100">
        <v>3750</v>
      </c>
      <c r="AN69" s="98">
        <v>0.26300000000000001</v>
      </c>
      <c r="AO69" s="99">
        <v>10619</v>
      </c>
      <c r="AP69" s="100">
        <v>393</v>
      </c>
      <c r="AQ69" s="100">
        <v>1477</v>
      </c>
      <c r="AR69" s="100">
        <v>470</v>
      </c>
      <c r="AS69" s="133">
        <f t="shared" si="5"/>
        <v>0.26300000000000001</v>
      </c>
      <c r="AT69" s="100"/>
      <c r="AU69" s="100"/>
      <c r="AV69" s="100"/>
      <c r="AW69" s="100"/>
      <c r="AX69" s="100"/>
      <c r="AY69" s="100"/>
      <c r="AZ69" s="100"/>
      <c r="BA69" s="100"/>
      <c r="BB69" s="132">
        <v>40836</v>
      </c>
      <c r="BC69" s="100">
        <v>3750</v>
      </c>
      <c r="BD69" s="100" t="s">
        <v>1389</v>
      </c>
      <c r="BE69" s="98">
        <v>0.115</v>
      </c>
      <c r="BF69" s="100" t="s">
        <v>1393</v>
      </c>
      <c r="BG69" s="154">
        <f>16.3%-11.5%</f>
        <v>4.8000000000000001E-2</v>
      </c>
      <c r="BH69" s="100" t="s">
        <v>1394</v>
      </c>
      <c r="BI69" s="154">
        <f>26.5%-16.3%</f>
        <v>0.10200000000000001</v>
      </c>
      <c r="BJ69" s="103"/>
      <c r="BK69" s="143"/>
      <c r="BL69" s="103"/>
      <c r="BM69" s="143"/>
      <c r="BN69" s="143"/>
      <c r="BO69" s="143"/>
      <c r="BP69" s="143"/>
      <c r="BQ69" s="143"/>
      <c r="BR69" s="143"/>
      <c r="BS69" s="143"/>
      <c r="BT69" s="143"/>
      <c r="BU69" s="143"/>
      <c r="BV69" s="143"/>
      <c r="BW69" s="143"/>
      <c r="BX69" s="98">
        <v>0.26500000000000001</v>
      </c>
      <c r="BY69" s="99">
        <v>10619</v>
      </c>
      <c r="BZ69" s="99">
        <v>400</v>
      </c>
      <c r="CA69" s="99">
        <v>1477</v>
      </c>
      <c r="CB69" s="99">
        <v>474</v>
      </c>
      <c r="CC69" s="98">
        <f t="shared" si="3"/>
        <v>0.26500000000000001</v>
      </c>
      <c r="CD69" s="132">
        <v>40799</v>
      </c>
      <c r="CE69" s="100" t="b">
        <v>1</v>
      </c>
      <c r="CF69" s="100" t="b">
        <v>1</v>
      </c>
      <c r="CG69" s="100" t="s">
        <v>1422</v>
      </c>
      <c r="CH69" s="100">
        <v>4073</v>
      </c>
      <c r="CI69" s="100">
        <v>691</v>
      </c>
      <c r="CJ69" s="103"/>
      <c r="CK69" s="100">
        <v>2500</v>
      </c>
      <c r="CL69" s="103"/>
      <c r="CM69" s="103"/>
      <c r="CN69" s="100"/>
      <c r="CO69" s="100"/>
      <c r="CP69" s="100"/>
      <c r="CQ69" s="100"/>
      <c r="CR69" s="100"/>
      <c r="CS69" s="100"/>
      <c r="CT69" s="100"/>
      <c r="CU69" s="132">
        <v>40829</v>
      </c>
      <c r="CV69" s="100">
        <v>3405</v>
      </c>
      <c r="CW69" s="100">
        <v>108</v>
      </c>
      <c r="CX69" s="103"/>
      <c r="CY69" s="100"/>
      <c r="CZ69" s="100"/>
      <c r="DA69" s="100"/>
      <c r="DB69" s="100"/>
      <c r="DC69" s="100"/>
      <c r="DD69" s="100"/>
      <c r="DE69" s="100"/>
      <c r="DF69" s="155">
        <v>8214</v>
      </c>
      <c r="DG69" s="100">
        <v>392</v>
      </c>
      <c r="DH69" s="100">
        <v>470</v>
      </c>
      <c r="DI69" s="100"/>
      <c r="DJ69" s="100" t="b">
        <v>0</v>
      </c>
      <c r="DK69" s="100" t="b">
        <v>0</v>
      </c>
      <c r="DL69" s="100">
        <v>0</v>
      </c>
      <c r="DM69" s="100"/>
      <c r="DN69" s="103"/>
      <c r="DO69" s="103"/>
      <c r="DP69" s="100"/>
      <c r="DQ69" s="100"/>
      <c r="DR69" s="100"/>
      <c r="DS69" s="100"/>
      <c r="DT69" s="100"/>
      <c r="DU69" s="100"/>
      <c r="DV69" s="100">
        <v>400</v>
      </c>
      <c r="DW69" s="100">
        <v>474</v>
      </c>
      <c r="DX69" s="100"/>
      <c r="DY69" s="100" t="b">
        <v>0</v>
      </c>
      <c r="DZ69" s="100" t="b">
        <v>0</v>
      </c>
      <c r="EA69" s="100">
        <v>1</v>
      </c>
      <c r="EB69" s="100"/>
      <c r="EC69" s="100" t="s">
        <v>1865</v>
      </c>
      <c r="ED69" s="103"/>
      <c r="EM69" s="112"/>
      <c r="EN69" s="112"/>
      <c r="EO69" s="193" t="s">
        <v>1864</v>
      </c>
      <c r="EP69" s="193">
        <v>26.52</v>
      </c>
      <c r="EQ69" t="b">
        <f t="shared" si="4"/>
        <v>0</v>
      </c>
    </row>
    <row r="70" spans="1:147" ht="15.95" customHeight="1" x14ac:dyDescent="0.25">
      <c r="A70" s="104" t="s">
        <v>58</v>
      </c>
      <c r="B70" s="173">
        <v>0.76615375280380249</v>
      </c>
      <c r="C70" s="104" t="s">
        <v>1475</v>
      </c>
      <c r="D70" s="104" t="s">
        <v>1475</v>
      </c>
      <c r="E70" s="104" t="s">
        <v>114</v>
      </c>
      <c r="F70" s="173" t="b">
        <v>0</v>
      </c>
      <c r="G70" s="174"/>
      <c r="H70" s="104"/>
      <c r="I70" s="104" t="s">
        <v>1729</v>
      </c>
      <c r="J70" s="104" t="s">
        <v>1867</v>
      </c>
      <c r="K70" s="104" t="s">
        <v>1712</v>
      </c>
      <c r="L70" s="104"/>
      <c r="M70" s="104"/>
      <c r="N70" s="174" t="s">
        <v>1713</v>
      </c>
      <c r="O70" s="104" t="s">
        <v>1422</v>
      </c>
      <c r="P70" s="175">
        <v>40688</v>
      </c>
      <c r="Q70" s="175">
        <v>40772.710115740738</v>
      </c>
      <c r="R70" s="175">
        <v>40780.670555555553</v>
      </c>
      <c r="S70" s="175">
        <v>40889.911458333336</v>
      </c>
      <c r="T70" s="175">
        <v>40890.392511574071</v>
      </c>
      <c r="U70" s="175">
        <v>40933</v>
      </c>
      <c r="V70" s="173">
        <v>2477</v>
      </c>
      <c r="W70" s="104" t="s">
        <v>68</v>
      </c>
      <c r="X70" s="173">
        <v>5890</v>
      </c>
      <c r="Y70" s="176"/>
      <c r="Z70" s="173">
        <v>350</v>
      </c>
      <c r="AA70" s="173">
        <v>0</v>
      </c>
      <c r="AB70" s="176"/>
      <c r="AC70" s="173">
        <v>5461</v>
      </c>
      <c r="AD70" s="176"/>
      <c r="AE70" s="173">
        <v>254</v>
      </c>
      <c r="AF70" s="173">
        <v>18638</v>
      </c>
      <c r="AG70" s="173">
        <v>2000</v>
      </c>
      <c r="AH70" s="100"/>
      <c r="AI70" s="100"/>
      <c r="AJ70" s="100"/>
      <c r="AK70" s="100"/>
      <c r="AL70" s="132">
        <v>40714</v>
      </c>
      <c r="AM70" s="169">
        <v>2477</v>
      </c>
      <c r="AN70" s="98">
        <v>0.30299999999999999</v>
      </c>
      <c r="AO70" s="99">
        <v>14579</v>
      </c>
      <c r="AP70" s="99">
        <v>5896</v>
      </c>
      <c r="AQ70" s="99">
        <v>1323</v>
      </c>
      <c r="AR70" s="100">
        <v>350</v>
      </c>
      <c r="AS70" s="133">
        <f t="shared" si="5"/>
        <v>0.30299999999999999</v>
      </c>
      <c r="AT70" s="100"/>
      <c r="AU70" s="100"/>
      <c r="AV70" s="100"/>
      <c r="AW70" s="100"/>
      <c r="AX70" s="100"/>
      <c r="AY70" s="100"/>
      <c r="AZ70" s="100"/>
      <c r="BA70" s="100"/>
      <c r="BB70" s="132">
        <v>40870</v>
      </c>
      <c r="BC70" s="100">
        <v>2477</v>
      </c>
      <c r="BD70" s="100" t="s">
        <v>1387</v>
      </c>
      <c r="BE70" s="98">
        <v>1.2999999999999999E-2</v>
      </c>
      <c r="BF70" s="100" t="s">
        <v>1396</v>
      </c>
      <c r="BG70" s="154">
        <f>9.7%-1.3%</f>
        <v>8.3999999999999991E-2</v>
      </c>
      <c r="BH70" s="100" t="s">
        <v>1389</v>
      </c>
      <c r="BI70" s="154">
        <f>17.9%-9.7%</f>
        <v>8.2000000000000003E-2</v>
      </c>
      <c r="BJ70" s="100" t="s">
        <v>1394</v>
      </c>
      <c r="BK70" s="98">
        <f>23.2%-17.9%</f>
        <v>5.2999999999999992E-2</v>
      </c>
      <c r="BL70" s="100" t="s">
        <v>1397</v>
      </c>
      <c r="BM70" s="98">
        <f>24.2%-23.2%</f>
        <v>1.0000000000000009E-2</v>
      </c>
      <c r="BN70" s="143"/>
      <c r="BO70" s="143"/>
      <c r="BP70" s="143"/>
      <c r="BQ70" s="143"/>
      <c r="BR70" s="143"/>
      <c r="BS70" s="143"/>
      <c r="BT70" s="143"/>
      <c r="BU70" s="143"/>
      <c r="BV70" s="143"/>
      <c r="BW70" s="143"/>
      <c r="BX70" s="98">
        <v>0.24199999999999999</v>
      </c>
      <c r="BY70" s="99">
        <v>14579</v>
      </c>
      <c r="BZ70" s="99">
        <v>5466</v>
      </c>
      <c r="CA70" s="99">
        <v>1323</v>
      </c>
      <c r="CB70" s="99">
        <v>254</v>
      </c>
      <c r="CC70" s="98">
        <f t="shared" si="3"/>
        <v>0.24199999999999999</v>
      </c>
      <c r="CD70" s="132">
        <v>40688</v>
      </c>
      <c r="CE70" s="100" t="b">
        <v>1</v>
      </c>
      <c r="CF70" s="100" t="b">
        <v>1</v>
      </c>
      <c r="CG70" s="100" t="s">
        <v>1422</v>
      </c>
      <c r="CH70" s="100">
        <v>3400</v>
      </c>
      <c r="CI70" s="100">
        <v>1419</v>
      </c>
      <c r="CJ70" s="100" t="b">
        <v>1</v>
      </c>
      <c r="CK70" s="100">
        <v>2477</v>
      </c>
      <c r="CL70" s="103"/>
      <c r="CM70" s="103"/>
      <c r="CN70" s="100"/>
      <c r="CO70" s="100"/>
      <c r="CP70" s="100"/>
      <c r="CQ70" s="100"/>
      <c r="CR70" s="100"/>
      <c r="CS70" s="100"/>
      <c r="CT70" s="100"/>
      <c r="CU70" s="132">
        <v>40847</v>
      </c>
      <c r="CV70" s="100">
        <v>3845</v>
      </c>
      <c r="CW70" s="100">
        <v>780</v>
      </c>
      <c r="CX70" s="103"/>
      <c r="CY70" s="100"/>
      <c r="CZ70" s="100"/>
      <c r="DA70" s="100"/>
      <c r="DB70" s="100"/>
      <c r="DC70" s="100"/>
      <c r="DD70" s="100"/>
      <c r="DE70" s="100"/>
      <c r="DF70" s="155">
        <v>25005</v>
      </c>
      <c r="DG70" s="100">
        <v>5890</v>
      </c>
      <c r="DH70" s="100">
        <v>350</v>
      </c>
      <c r="DI70" s="100"/>
      <c r="DJ70" s="100" t="b">
        <v>1</v>
      </c>
      <c r="DK70" s="100" t="b">
        <v>0</v>
      </c>
      <c r="DL70" s="100">
        <v>1</v>
      </c>
      <c r="DM70" s="100"/>
      <c r="DN70" s="100" t="s">
        <v>1868</v>
      </c>
      <c r="DO70" s="103"/>
      <c r="DP70" s="100"/>
      <c r="DQ70" s="100"/>
      <c r="DR70" s="100"/>
      <c r="DS70" s="100"/>
      <c r="DT70" s="100"/>
      <c r="DU70" s="100"/>
      <c r="DV70" s="100">
        <v>5460</v>
      </c>
      <c r="DW70" s="100">
        <v>254</v>
      </c>
      <c r="DX70" s="100"/>
      <c r="DY70" s="100" t="b">
        <v>0</v>
      </c>
      <c r="DZ70" s="100" t="b">
        <v>0</v>
      </c>
      <c r="EA70" s="100">
        <v>0</v>
      </c>
      <c r="EB70" s="100"/>
      <c r="EC70" s="103"/>
      <c r="ED70" s="103"/>
      <c r="EM70" s="112"/>
      <c r="EN70" s="112"/>
      <c r="EO70" s="193" t="s">
        <v>1866</v>
      </c>
      <c r="EP70" s="193">
        <v>24.2</v>
      </c>
      <c r="EQ70" t="b">
        <f t="shared" si="4"/>
        <v>0</v>
      </c>
    </row>
    <row r="71" spans="1:147" ht="15.95" customHeight="1" x14ac:dyDescent="0.25">
      <c r="A71" s="104" t="s">
        <v>58</v>
      </c>
      <c r="B71" s="173">
        <v>0.61994946002960205</v>
      </c>
      <c r="C71" s="104" t="s">
        <v>1484</v>
      </c>
      <c r="D71" s="104" t="s">
        <v>1484</v>
      </c>
      <c r="E71" s="104" t="s">
        <v>114</v>
      </c>
      <c r="F71" s="173" t="b">
        <v>0</v>
      </c>
      <c r="G71" s="174"/>
      <c r="H71" s="104"/>
      <c r="I71" s="104" t="s">
        <v>1870</v>
      </c>
      <c r="J71" s="104" t="s">
        <v>1871</v>
      </c>
      <c r="K71" s="104" t="s">
        <v>1872</v>
      </c>
      <c r="L71" s="104"/>
      <c r="M71" s="104"/>
      <c r="N71" s="174" t="s">
        <v>1873</v>
      </c>
      <c r="O71" s="104" t="s">
        <v>1422</v>
      </c>
      <c r="P71" s="175">
        <v>40702</v>
      </c>
      <c r="Q71" s="175">
        <v>40772.473553240743</v>
      </c>
      <c r="R71" s="175">
        <v>40780.670370370368</v>
      </c>
      <c r="S71" s="175">
        <v>40840.693761574075</v>
      </c>
      <c r="T71" s="175">
        <v>40851.34275462963</v>
      </c>
      <c r="U71" s="175">
        <v>40876</v>
      </c>
      <c r="V71" s="173">
        <v>2700</v>
      </c>
      <c r="W71" s="104" t="s">
        <v>68</v>
      </c>
      <c r="X71" s="173">
        <v>0</v>
      </c>
      <c r="Y71" s="176"/>
      <c r="Z71" s="173">
        <v>0</v>
      </c>
      <c r="AA71" s="173">
        <v>0</v>
      </c>
      <c r="AB71" s="176"/>
      <c r="AC71" s="173">
        <v>3607</v>
      </c>
      <c r="AD71" s="176"/>
      <c r="AE71" s="173">
        <v>126</v>
      </c>
      <c r="AF71" s="173">
        <v>12310</v>
      </c>
      <c r="AG71" s="173">
        <v>1500</v>
      </c>
      <c r="AH71" s="100"/>
      <c r="AI71" s="100"/>
      <c r="AJ71" s="100"/>
      <c r="AK71" s="100"/>
      <c r="AL71" s="132">
        <v>40715</v>
      </c>
      <c r="AM71" s="100">
        <v>2700</v>
      </c>
      <c r="AN71" s="98">
        <v>0.154</v>
      </c>
      <c r="AO71" s="99">
        <v>18906</v>
      </c>
      <c r="AP71" s="99">
        <v>3610</v>
      </c>
      <c r="AQ71" s="100">
        <v>969</v>
      </c>
      <c r="AR71" s="100">
        <v>126</v>
      </c>
      <c r="AS71" s="133">
        <f t="shared" si="5"/>
        <v>0.154</v>
      </c>
      <c r="AT71" s="100"/>
      <c r="AU71" s="100"/>
      <c r="AV71" s="100"/>
      <c r="AW71" s="100"/>
      <c r="AX71" s="100"/>
      <c r="AY71" s="100"/>
      <c r="AZ71" s="100"/>
      <c r="BA71" s="100"/>
      <c r="BB71" s="132">
        <v>40806</v>
      </c>
      <c r="BC71" s="100">
        <v>2700</v>
      </c>
      <c r="BD71" s="100" t="s">
        <v>1387</v>
      </c>
      <c r="BE71" s="98">
        <v>1.2999999999999999E-2</v>
      </c>
      <c r="BF71" s="100" t="s">
        <v>1386</v>
      </c>
      <c r="BG71" s="154">
        <f>3%-1.3%</f>
        <v>1.6999999999999998E-2</v>
      </c>
      <c r="BH71" s="100" t="s">
        <v>1389</v>
      </c>
      <c r="BI71" s="154">
        <f>10.6%-3%</f>
        <v>7.5999999999999998E-2</v>
      </c>
      <c r="BJ71" s="100" t="s">
        <v>1394</v>
      </c>
      <c r="BK71" s="98">
        <f>15.4%-10.6%</f>
        <v>4.8000000000000001E-2</v>
      </c>
      <c r="BL71" s="103"/>
      <c r="BM71" s="143"/>
      <c r="BN71" s="143"/>
      <c r="BO71" s="143"/>
      <c r="BP71" s="143"/>
      <c r="BQ71" s="143"/>
      <c r="BR71" s="143"/>
      <c r="BS71" s="143"/>
      <c r="BT71" s="143"/>
      <c r="BU71" s="143"/>
      <c r="BV71" s="143"/>
      <c r="BW71" s="143"/>
      <c r="BX71" s="98">
        <v>0.154</v>
      </c>
      <c r="BY71" s="99">
        <v>19370</v>
      </c>
      <c r="BZ71" s="99">
        <v>3698</v>
      </c>
      <c r="CA71" s="99">
        <v>917</v>
      </c>
      <c r="CB71" s="99">
        <v>117</v>
      </c>
      <c r="CC71" s="98">
        <f t="shared" si="3"/>
        <v>0.154</v>
      </c>
      <c r="CD71" s="132">
        <v>40702</v>
      </c>
      <c r="CE71" s="100" t="b">
        <v>1</v>
      </c>
      <c r="CF71" s="100" t="b">
        <v>0</v>
      </c>
      <c r="CG71" s="100" t="s">
        <v>1422</v>
      </c>
      <c r="CH71" s="100" t="s">
        <v>1874</v>
      </c>
      <c r="CI71" s="100">
        <v>740</v>
      </c>
      <c r="CJ71" s="100" t="b">
        <v>1</v>
      </c>
      <c r="CK71" s="100">
        <v>2700</v>
      </c>
      <c r="CL71" s="103"/>
      <c r="CM71" s="103"/>
      <c r="CN71" s="100"/>
      <c r="CO71" s="100"/>
      <c r="CP71" s="100"/>
      <c r="CQ71" s="100"/>
      <c r="CR71" s="100"/>
      <c r="CS71" s="100"/>
      <c r="CT71" s="100"/>
      <c r="CU71" s="132">
        <v>40805</v>
      </c>
      <c r="CV71" s="100">
        <v>3240</v>
      </c>
      <c r="CW71" s="100">
        <v>321</v>
      </c>
      <c r="CX71" s="103"/>
      <c r="CY71" s="100"/>
      <c r="CZ71" s="100"/>
      <c r="DA71" s="100"/>
      <c r="DB71" s="100"/>
      <c r="DC71" s="100"/>
      <c r="DD71" s="100"/>
      <c r="DE71" s="100"/>
      <c r="DF71" s="155">
        <v>12927</v>
      </c>
      <c r="DG71" s="103"/>
      <c r="DH71" s="103"/>
      <c r="DI71" s="100"/>
      <c r="DJ71" s="100" t="b">
        <v>0</v>
      </c>
      <c r="DK71" s="100" t="b">
        <v>0</v>
      </c>
      <c r="DL71" s="100">
        <v>1</v>
      </c>
      <c r="DM71" s="100"/>
      <c r="DN71" s="100" t="s">
        <v>1875</v>
      </c>
      <c r="DO71" s="103"/>
      <c r="DP71" s="100"/>
      <c r="DQ71" s="100"/>
      <c r="DR71" s="100"/>
      <c r="DS71" s="100"/>
      <c r="DT71" s="100"/>
      <c r="DU71" s="100"/>
      <c r="DV71" s="100">
        <v>3610</v>
      </c>
      <c r="DW71" s="100">
        <v>126</v>
      </c>
      <c r="DX71" s="100"/>
      <c r="DY71" s="100" t="b">
        <v>0</v>
      </c>
      <c r="DZ71" s="100" t="b">
        <v>0</v>
      </c>
      <c r="EA71" s="100">
        <v>2</v>
      </c>
      <c r="EB71" s="100"/>
      <c r="EC71" s="100" t="s">
        <v>1876</v>
      </c>
      <c r="ED71" s="100" t="s">
        <v>1877</v>
      </c>
      <c r="EM71" s="112"/>
      <c r="EN71" s="112"/>
      <c r="EO71" s="193" t="s">
        <v>1869</v>
      </c>
      <c r="EP71" s="193">
        <v>15.41</v>
      </c>
      <c r="EQ71" t="b">
        <f t="shared" si="4"/>
        <v>0</v>
      </c>
    </row>
    <row r="72" spans="1:147" s="214" customFormat="1" ht="15.95" customHeight="1" x14ac:dyDescent="0.25">
      <c r="A72" s="232" t="s">
        <v>58</v>
      </c>
      <c r="B72" s="233">
        <v>0.59726119041442871</v>
      </c>
      <c r="C72" s="232" t="s">
        <v>1445</v>
      </c>
      <c r="D72" s="232" t="s">
        <v>1445</v>
      </c>
      <c r="E72" s="232" t="s">
        <v>114</v>
      </c>
      <c r="F72" s="233" t="b">
        <v>0</v>
      </c>
      <c r="G72" s="232"/>
      <c r="H72" s="232"/>
      <c r="I72" s="232" t="s">
        <v>89</v>
      </c>
      <c r="J72" s="232" t="s">
        <v>1879</v>
      </c>
      <c r="K72" s="232" t="s">
        <v>1755</v>
      </c>
      <c r="L72" s="232"/>
      <c r="M72" s="232"/>
      <c r="N72" s="232" t="s">
        <v>122</v>
      </c>
      <c r="O72" s="232" t="s">
        <v>1422</v>
      </c>
      <c r="P72" s="234">
        <v>40400</v>
      </c>
      <c r="Q72" s="234">
        <v>40816.491296296299</v>
      </c>
      <c r="R72" s="234">
        <v>40821.718472222223</v>
      </c>
      <c r="S72" s="234">
        <v>40863.398148148146</v>
      </c>
      <c r="T72" s="234">
        <v>40876.390243055554</v>
      </c>
      <c r="U72" s="234">
        <v>40897</v>
      </c>
      <c r="V72" s="233">
        <v>1600</v>
      </c>
      <c r="W72" s="232" t="s">
        <v>68</v>
      </c>
      <c r="X72" s="233">
        <v>682</v>
      </c>
      <c r="Y72" s="235"/>
      <c r="Z72" s="233">
        <v>392</v>
      </c>
      <c r="AA72" s="233">
        <v>0</v>
      </c>
      <c r="AB72" s="235"/>
      <c r="AC72" s="233">
        <v>675</v>
      </c>
      <c r="AD72" s="235"/>
      <c r="AE72" s="233">
        <v>466</v>
      </c>
      <c r="AF72" s="233">
        <v>2304</v>
      </c>
      <c r="AG72" s="233">
        <v>4000</v>
      </c>
      <c r="AH72" s="209"/>
      <c r="AI72" s="209"/>
      <c r="AJ72" s="209"/>
      <c r="AK72" s="209"/>
      <c r="AL72" s="210">
        <v>40816</v>
      </c>
      <c r="AM72" s="209">
        <v>1600</v>
      </c>
      <c r="AN72" s="212">
        <v>0.40200000000000002</v>
      </c>
      <c r="AO72" s="213">
        <v>5167</v>
      </c>
      <c r="AP72" s="209">
        <v>682</v>
      </c>
      <c r="AQ72" s="209">
        <v>857</v>
      </c>
      <c r="AR72" s="209">
        <v>392</v>
      </c>
      <c r="AS72" s="211">
        <f t="shared" si="5"/>
        <v>0.40200000000000002</v>
      </c>
      <c r="AT72" s="209"/>
      <c r="AU72" s="209"/>
      <c r="AV72" s="209"/>
      <c r="AW72" s="209"/>
      <c r="AX72" s="209"/>
      <c r="AY72" s="209"/>
      <c r="AZ72" s="209"/>
      <c r="BA72" s="209"/>
      <c r="BB72" s="210">
        <v>40861</v>
      </c>
      <c r="BC72" s="209">
        <v>1600</v>
      </c>
      <c r="BD72" s="209" t="s">
        <v>1387</v>
      </c>
      <c r="BE72" s="212">
        <v>0.03</v>
      </c>
      <c r="BF72" s="209" t="s">
        <v>1388</v>
      </c>
      <c r="BG72" s="228">
        <f>20.3%-3%</f>
        <v>0.17300000000000001</v>
      </c>
      <c r="BH72" s="209" t="s">
        <v>1395</v>
      </c>
      <c r="BI72" s="228">
        <f>29.3%-20.3%</f>
        <v>8.9999999999999969E-2</v>
      </c>
      <c r="BJ72" s="209" t="s">
        <v>1386</v>
      </c>
      <c r="BK72" s="212">
        <f>32.9%-29.3%</f>
        <v>3.5999999999999976E-2</v>
      </c>
      <c r="BL72" s="209" t="s">
        <v>1389</v>
      </c>
      <c r="BM72" s="212">
        <f>37.1%-32.9%</f>
        <v>4.2000000000000037E-2</v>
      </c>
      <c r="BN72" s="212" t="s">
        <v>1393</v>
      </c>
      <c r="BO72" s="212">
        <f>39.9%-37.1%</f>
        <v>2.7999999999999969E-2</v>
      </c>
      <c r="BP72" s="212" t="s">
        <v>1397</v>
      </c>
      <c r="BQ72" s="212">
        <f>47.4%-39.9%</f>
        <v>7.5000000000000011E-2</v>
      </c>
      <c r="BR72" s="212"/>
      <c r="BS72" s="212"/>
      <c r="BT72" s="212"/>
      <c r="BU72" s="212"/>
      <c r="BV72" s="212"/>
      <c r="BW72" s="212"/>
      <c r="BX72" s="212">
        <v>0.47399999999999998</v>
      </c>
      <c r="BY72" s="213">
        <v>5170</v>
      </c>
      <c r="BZ72" s="213">
        <v>676</v>
      </c>
      <c r="CA72" s="213">
        <v>857</v>
      </c>
      <c r="CB72" s="213">
        <v>466</v>
      </c>
      <c r="CC72" s="212">
        <f t="shared" si="3"/>
        <v>0.47399999999999998</v>
      </c>
      <c r="CD72" s="210">
        <v>40278</v>
      </c>
      <c r="CE72" s="209" t="b">
        <v>1</v>
      </c>
      <c r="CF72" s="209" t="b">
        <v>1</v>
      </c>
      <c r="CG72" s="209" t="s">
        <v>1422</v>
      </c>
      <c r="CH72" s="209">
        <v>3150</v>
      </c>
      <c r="CI72" s="209">
        <v>420</v>
      </c>
      <c r="CJ72" s="209" t="b">
        <v>1</v>
      </c>
      <c r="CK72" s="209">
        <v>1566</v>
      </c>
      <c r="CL72" s="209">
        <v>2735</v>
      </c>
      <c r="CM72" s="209">
        <v>633</v>
      </c>
      <c r="CN72" s="209"/>
      <c r="CO72" s="209"/>
      <c r="CP72" s="209"/>
      <c r="CQ72" s="209"/>
      <c r="CR72" s="209"/>
      <c r="CS72" s="209"/>
      <c r="CT72" s="209"/>
      <c r="CU72" s="210">
        <v>40843</v>
      </c>
      <c r="CV72" s="209">
        <v>2200</v>
      </c>
      <c r="CW72" s="209">
        <v>140</v>
      </c>
      <c r="CX72" s="209"/>
      <c r="CY72" s="209"/>
      <c r="CZ72" s="209"/>
      <c r="DA72" s="209"/>
      <c r="DB72" s="209"/>
      <c r="DC72" s="209"/>
      <c r="DD72" s="209"/>
      <c r="DE72" s="209"/>
      <c r="DF72" s="229">
        <v>9555</v>
      </c>
      <c r="DG72" s="209">
        <v>682</v>
      </c>
      <c r="DH72" s="209">
        <v>392</v>
      </c>
      <c r="DI72" s="209"/>
      <c r="DJ72" s="209" t="b">
        <v>1</v>
      </c>
      <c r="DK72" s="209" t="b">
        <v>0</v>
      </c>
      <c r="DL72" s="209">
        <v>7</v>
      </c>
      <c r="DM72" s="209"/>
      <c r="DN72" s="209" t="s">
        <v>1880</v>
      </c>
      <c r="DO72" s="209" t="s">
        <v>1881</v>
      </c>
      <c r="DP72" s="209"/>
      <c r="DQ72" s="209"/>
      <c r="DR72" s="209"/>
      <c r="DS72" s="209"/>
      <c r="DT72" s="209"/>
      <c r="DU72" s="209"/>
      <c r="DV72" s="209">
        <v>675</v>
      </c>
      <c r="DW72" s="209">
        <v>466</v>
      </c>
      <c r="DX72" s="209"/>
      <c r="DY72" s="209" t="b">
        <v>0</v>
      </c>
      <c r="DZ72" s="209" t="b">
        <v>0</v>
      </c>
      <c r="EA72" s="209">
        <v>0</v>
      </c>
      <c r="EB72" s="209"/>
      <c r="EC72" s="209"/>
      <c r="ED72" s="209"/>
      <c r="EM72" s="230"/>
      <c r="EN72" s="230"/>
      <c r="EO72" s="231" t="s">
        <v>1878</v>
      </c>
      <c r="EP72" s="231">
        <v>47.37</v>
      </c>
      <c r="EQ72" s="214" t="b">
        <f t="shared" si="4"/>
        <v>0</v>
      </c>
    </row>
    <row r="73" spans="1:147" ht="15.95" customHeight="1" x14ac:dyDescent="0.25">
      <c r="A73" s="104" t="s">
        <v>58</v>
      </c>
      <c r="B73" s="173">
        <v>0.59404021501541138</v>
      </c>
      <c r="C73" s="104" t="s">
        <v>1467</v>
      </c>
      <c r="D73" s="104" t="s">
        <v>1467</v>
      </c>
      <c r="E73" s="104" t="s">
        <v>114</v>
      </c>
      <c r="F73" s="173" t="b">
        <v>0</v>
      </c>
      <c r="G73" s="174"/>
      <c r="H73" s="104"/>
      <c r="I73" s="104" t="s">
        <v>1883</v>
      </c>
      <c r="J73" s="104" t="s">
        <v>1884</v>
      </c>
      <c r="K73" s="104" t="s">
        <v>1712</v>
      </c>
      <c r="L73" s="104"/>
      <c r="M73" s="104"/>
      <c r="N73" s="174" t="s">
        <v>1713</v>
      </c>
      <c r="O73" s="104" t="s">
        <v>1422</v>
      </c>
      <c r="P73" s="175">
        <v>40808</v>
      </c>
      <c r="Q73" s="175">
        <v>40858.296099537038</v>
      </c>
      <c r="R73" s="175">
        <v>40862.364537037036</v>
      </c>
      <c r="S73" s="175">
        <v>40917.566863425927</v>
      </c>
      <c r="T73" s="175">
        <v>40921.45144675926</v>
      </c>
      <c r="U73" s="175">
        <v>40948</v>
      </c>
      <c r="V73" s="173">
        <v>1410</v>
      </c>
      <c r="W73" s="104" t="s">
        <v>68</v>
      </c>
      <c r="X73" s="173">
        <v>2789</v>
      </c>
      <c r="Y73" s="176"/>
      <c r="Z73" s="173">
        <v>133</v>
      </c>
      <c r="AA73" s="173">
        <v>0</v>
      </c>
      <c r="AB73" s="176"/>
      <c r="AC73" s="173">
        <v>2895</v>
      </c>
      <c r="AD73" s="176"/>
      <c r="AE73" s="173">
        <v>145</v>
      </c>
      <c r="AF73" s="173">
        <v>9881</v>
      </c>
      <c r="AG73" s="173">
        <v>2000</v>
      </c>
      <c r="AH73" s="100"/>
      <c r="AI73" s="100"/>
      <c r="AJ73" s="100"/>
      <c r="AK73" s="100"/>
      <c r="AL73" s="132">
        <v>40856</v>
      </c>
      <c r="AM73" s="100">
        <v>1410</v>
      </c>
      <c r="AN73" s="98">
        <v>0.193</v>
      </c>
      <c r="AO73" s="99">
        <v>11163</v>
      </c>
      <c r="AP73" s="99">
        <v>2792</v>
      </c>
      <c r="AQ73" s="100">
        <v>805</v>
      </c>
      <c r="AR73" s="100">
        <v>133</v>
      </c>
      <c r="AS73" s="133">
        <f t="shared" si="5"/>
        <v>0.193</v>
      </c>
      <c r="AT73" s="100"/>
      <c r="AU73" s="100"/>
      <c r="AV73" s="100"/>
      <c r="AW73" s="100"/>
      <c r="AX73" s="100"/>
      <c r="AY73" s="100"/>
      <c r="AZ73" s="100"/>
      <c r="BA73" s="100"/>
      <c r="BB73" s="132">
        <v>40906</v>
      </c>
      <c r="BC73" s="100">
        <v>1410</v>
      </c>
      <c r="BD73" s="100" t="s">
        <v>1387</v>
      </c>
      <c r="BE73" s="98">
        <v>6.8000000000000005E-2</v>
      </c>
      <c r="BF73" s="100" t="s">
        <v>1396</v>
      </c>
      <c r="BG73" s="154">
        <f>13.7%-6.8%</f>
        <v>6.8999999999999978E-2</v>
      </c>
      <c r="BH73" s="100" t="s">
        <v>1386</v>
      </c>
      <c r="BI73" s="154">
        <f>14.9%-13.7%</f>
        <v>1.2000000000000011E-2</v>
      </c>
      <c r="BJ73" s="100" t="s">
        <v>1389</v>
      </c>
      <c r="BK73" s="98">
        <f>20.6%-14.9%</f>
        <v>5.7000000000000023E-2</v>
      </c>
      <c r="BL73" s="103"/>
      <c r="BM73" s="143"/>
      <c r="BN73" s="143"/>
      <c r="BO73" s="143"/>
      <c r="BP73" s="143"/>
      <c r="BQ73" s="143"/>
      <c r="BR73" s="143"/>
      <c r="BS73" s="143"/>
      <c r="BT73" s="143"/>
      <c r="BU73" s="143"/>
      <c r="BV73" s="143"/>
      <c r="BW73" s="143"/>
      <c r="BX73" s="98">
        <v>0.20599999999999999</v>
      </c>
      <c r="BY73" s="99">
        <v>11163</v>
      </c>
      <c r="BZ73" s="99">
        <v>2898</v>
      </c>
      <c r="CA73" s="99">
        <v>805</v>
      </c>
      <c r="CB73" s="99">
        <v>145</v>
      </c>
      <c r="CC73" s="98">
        <f t="shared" si="3"/>
        <v>0.20599999999999999</v>
      </c>
      <c r="CD73" s="132">
        <v>40808</v>
      </c>
      <c r="CE73" s="100" t="b">
        <v>1</v>
      </c>
      <c r="CF73" s="100" t="b">
        <v>1</v>
      </c>
      <c r="CG73" s="100" t="s">
        <v>1422</v>
      </c>
      <c r="CH73" s="100">
        <v>1950</v>
      </c>
      <c r="CI73" s="100">
        <v>279</v>
      </c>
      <c r="CJ73" s="103"/>
      <c r="CK73" s="100">
        <v>1410</v>
      </c>
      <c r="CL73" s="103"/>
      <c r="CM73" s="103"/>
      <c r="CN73" s="100"/>
      <c r="CO73" s="100"/>
      <c r="CP73" s="100"/>
      <c r="CQ73" s="100"/>
      <c r="CR73" s="100"/>
      <c r="CS73" s="100"/>
      <c r="CT73" s="100"/>
      <c r="CU73" s="132">
        <v>40891</v>
      </c>
      <c r="CV73" s="100">
        <v>1655</v>
      </c>
      <c r="CW73" s="100">
        <v>106</v>
      </c>
      <c r="CX73" s="103"/>
      <c r="CY73" s="100"/>
      <c r="CZ73" s="100"/>
      <c r="DA73" s="100"/>
      <c r="DB73" s="100"/>
      <c r="DC73" s="100"/>
      <c r="DD73" s="100"/>
      <c r="DE73" s="100"/>
      <c r="DF73" s="155">
        <v>14250</v>
      </c>
      <c r="DG73" s="100">
        <v>2790</v>
      </c>
      <c r="DH73" s="100">
        <v>133</v>
      </c>
      <c r="DI73" s="100"/>
      <c r="DJ73" s="100" t="b">
        <v>0</v>
      </c>
      <c r="DK73" s="100" t="b">
        <v>0</v>
      </c>
      <c r="DL73" s="100">
        <v>2</v>
      </c>
      <c r="DM73" s="100"/>
      <c r="DN73" s="100" t="s">
        <v>1885</v>
      </c>
      <c r="DO73" s="100" t="s">
        <v>1886</v>
      </c>
      <c r="DP73" s="100"/>
      <c r="DQ73" s="100"/>
      <c r="DR73" s="100"/>
      <c r="DS73" s="100"/>
      <c r="DT73" s="100"/>
      <c r="DU73" s="100"/>
      <c r="DV73" s="100">
        <v>2900</v>
      </c>
      <c r="DW73" s="100">
        <v>145</v>
      </c>
      <c r="DX73" s="100"/>
      <c r="DY73" s="100" t="b">
        <v>0</v>
      </c>
      <c r="DZ73" s="100" t="b">
        <v>0</v>
      </c>
      <c r="EA73" s="100">
        <v>0</v>
      </c>
      <c r="EB73" s="100"/>
      <c r="EC73" s="103"/>
      <c r="ED73" s="103"/>
      <c r="EM73" s="112"/>
      <c r="EN73" s="112"/>
      <c r="EO73" s="193" t="s">
        <v>1882</v>
      </c>
      <c r="EP73" s="193">
        <v>20.6</v>
      </c>
      <c r="EQ73" t="b">
        <f t="shared" si="4"/>
        <v>0</v>
      </c>
    </row>
    <row r="74" spans="1:147" ht="15.95" customHeight="1" x14ac:dyDescent="0.25">
      <c r="A74" s="104" t="s">
        <v>58</v>
      </c>
      <c r="B74" s="173">
        <v>0.50674146413803101</v>
      </c>
      <c r="C74" s="104" t="s">
        <v>1442</v>
      </c>
      <c r="D74" s="104" t="s">
        <v>1442</v>
      </c>
      <c r="E74" s="104" t="s">
        <v>114</v>
      </c>
      <c r="F74" s="173" t="b">
        <v>0</v>
      </c>
      <c r="G74" s="174"/>
      <c r="H74" s="104"/>
      <c r="I74" s="104" t="s">
        <v>78</v>
      </c>
      <c r="J74" s="104" t="s">
        <v>151</v>
      </c>
      <c r="K74" s="104" t="s">
        <v>124</v>
      </c>
      <c r="L74" s="104"/>
      <c r="M74" s="104"/>
      <c r="N74" s="174" t="s">
        <v>77</v>
      </c>
      <c r="O74" s="104" t="s">
        <v>1422</v>
      </c>
      <c r="P74" s="175">
        <v>40752</v>
      </c>
      <c r="Q74" s="175">
        <v>40842.757152777776</v>
      </c>
      <c r="R74" s="175">
        <v>40865.456793981481</v>
      </c>
      <c r="S74" s="175">
        <v>40865.637881944444</v>
      </c>
      <c r="T74" s="175">
        <v>40870.430162037039</v>
      </c>
      <c r="U74" s="175">
        <v>40927</v>
      </c>
      <c r="V74" s="173">
        <v>1017</v>
      </c>
      <c r="W74" s="104" t="s">
        <v>68</v>
      </c>
      <c r="X74" s="173">
        <v>0</v>
      </c>
      <c r="Y74" s="176"/>
      <c r="Z74" s="173">
        <v>0</v>
      </c>
      <c r="AA74" s="173">
        <v>0</v>
      </c>
      <c r="AB74" s="176"/>
      <c r="AC74" s="173">
        <v>442</v>
      </c>
      <c r="AD74" s="176"/>
      <c r="AE74" s="173">
        <v>222</v>
      </c>
      <c r="AF74" s="173">
        <v>1509</v>
      </c>
      <c r="AG74" s="173">
        <v>2500</v>
      </c>
      <c r="AH74" s="100"/>
      <c r="AI74" s="100"/>
      <c r="AJ74" s="100"/>
      <c r="AK74" s="100"/>
      <c r="AL74" s="132">
        <v>40826</v>
      </c>
      <c r="AM74" s="100">
        <v>1018</v>
      </c>
      <c r="AN74" s="98">
        <v>0.25800000000000001</v>
      </c>
      <c r="AO74" s="99">
        <v>4809</v>
      </c>
      <c r="AP74" s="100">
        <v>424</v>
      </c>
      <c r="AQ74" s="100">
        <v>704</v>
      </c>
      <c r="AR74" s="100">
        <v>209</v>
      </c>
      <c r="AS74" s="133">
        <f t="shared" si="5"/>
        <v>0.25800000000000001</v>
      </c>
      <c r="AT74" s="100"/>
      <c r="AU74" s="100"/>
      <c r="AV74" s="100"/>
      <c r="AW74" s="100"/>
      <c r="AX74" s="100"/>
      <c r="AY74" s="100"/>
      <c r="AZ74" s="100"/>
      <c r="BA74" s="100"/>
      <c r="BB74" s="132">
        <v>40865</v>
      </c>
      <c r="BC74" s="100">
        <v>1018</v>
      </c>
      <c r="BD74" s="100" t="s">
        <v>1387</v>
      </c>
      <c r="BE74" s="98">
        <v>1.4999999999999999E-2</v>
      </c>
      <c r="BF74" s="100" t="s">
        <v>1388</v>
      </c>
      <c r="BG74" s="154">
        <f>14.5%-1.5%</f>
        <v>0.13</v>
      </c>
      <c r="BH74" s="100" t="s">
        <v>1386</v>
      </c>
      <c r="BI74" s="154">
        <f>18.7%-14.5%</f>
        <v>4.200000000000001E-2</v>
      </c>
      <c r="BJ74" s="100" t="s">
        <v>1389</v>
      </c>
      <c r="BK74" s="98">
        <f>26%-18.7%</f>
        <v>7.3000000000000009E-2</v>
      </c>
      <c r="BL74" s="100" t="s">
        <v>1393</v>
      </c>
      <c r="BM74" s="98">
        <f>27.3%-26%</f>
        <v>1.3000000000000012E-2</v>
      </c>
      <c r="BN74" s="143"/>
      <c r="BO74" s="143"/>
      <c r="BP74" s="143"/>
      <c r="BQ74" s="143"/>
      <c r="BR74" s="143"/>
      <c r="BS74" s="143"/>
      <c r="BT74" s="143"/>
      <c r="BU74" s="143"/>
      <c r="BV74" s="143"/>
      <c r="BW74" s="143"/>
      <c r="BX74" s="98">
        <v>0.27300000000000002</v>
      </c>
      <c r="BY74" s="99">
        <v>4809</v>
      </c>
      <c r="BZ74" s="99">
        <v>443</v>
      </c>
      <c r="CA74" s="99">
        <v>704</v>
      </c>
      <c r="CB74" s="99">
        <v>222</v>
      </c>
      <c r="CC74" s="98">
        <f t="shared" si="3"/>
        <v>0.27300000000000002</v>
      </c>
      <c r="CD74" s="132">
        <v>40752</v>
      </c>
      <c r="CE74" s="100" t="b">
        <v>1</v>
      </c>
      <c r="CF74" s="100" t="b">
        <v>1</v>
      </c>
      <c r="CG74" s="100" t="s">
        <v>1422</v>
      </c>
      <c r="CH74" s="100">
        <v>3199</v>
      </c>
      <c r="CI74" s="100">
        <v>311</v>
      </c>
      <c r="CJ74" s="103"/>
      <c r="CK74" s="100">
        <v>1017.5</v>
      </c>
      <c r="CL74" s="103"/>
      <c r="CM74" s="103"/>
      <c r="CN74" s="100"/>
      <c r="CO74" s="100"/>
      <c r="CP74" s="100"/>
      <c r="CQ74" s="100"/>
      <c r="CR74" s="100"/>
      <c r="CS74" s="100"/>
      <c r="CT74" s="100"/>
      <c r="CU74" s="132">
        <v>40836</v>
      </c>
      <c r="CV74" s="100">
        <v>2102</v>
      </c>
      <c r="CW74" s="100">
        <v>180</v>
      </c>
      <c r="CX74" s="103"/>
      <c r="CY74" s="100"/>
      <c r="CZ74" s="100"/>
      <c r="DA74" s="100"/>
      <c r="DB74" s="100"/>
      <c r="DC74" s="100"/>
      <c r="DD74" s="100"/>
      <c r="DE74" s="100"/>
      <c r="DF74" s="155">
        <v>10929</v>
      </c>
      <c r="DG74" s="100">
        <v>424</v>
      </c>
      <c r="DH74" s="100">
        <v>209</v>
      </c>
      <c r="DI74" s="100"/>
      <c r="DJ74" s="100" t="b">
        <v>1</v>
      </c>
      <c r="DK74" s="100" t="b">
        <v>0</v>
      </c>
      <c r="DL74" s="100">
        <v>2</v>
      </c>
      <c r="DM74" s="100"/>
      <c r="DN74" s="100" t="s">
        <v>1888</v>
      </c>
      <c r="DO74" s="100" t="s">
        <v>1889</v>
      </c>
      <c r="DP74" s="100" t="s">
        <v>1890</v>
      </c>
      <c r="DQ74" s="100"/>
      <c r="DR74" s="100"/>
      <c r="DS74" s="100"/>
      <c r="DT74" s="100"/>
      <c r="DU74" s="100"/>
      <c r="DV74" s="100">
        <v>442</v>
      </c>
      <c r="DW74" s="100">
        <v>222</v>
      </c>
      <c r="DX74" s="100"/>
      <c r="DY74" s="100" t="b">
        <v>0</v>
      </c>
      <c r="DZ74" s="100" t="b">
        <v>0</v>
      </c>
      <c r="EA74" s="100">
        <v>0</v>
      </c>
      <c r="EB74" s="100"/>
      <c r="EC74" s="103"/>
      <c r="ED74" s="103"/>
      <c r="EM74" s="112"/>
      <c r="EN74" s="112"/>
      <c r="EO74" s="193" t="s">
        <v>1887</v>
      </c>
      <c r="EP74" s="193">
        <v>27.32</v>
      </c>
      <c r="EQ74" t="b">
        <f t="shared" si="4"/>
        <v>0</v>
      </c>
    </row>
    <row r="75" spans="1:147" ht="15.95" customHeight="1" x14ac:dyDescent="0.25">
      <c r="A75" s="104" t="s">
        <v>58</v>
      </c>
      <c r="B75" s="173">
        <v>0.49452096223831177</v>
      </c>
      <c r="C75" s="104" t="s">
        <v>1446</v>
      </c>
      <c r="D75" s="104" t="s">
        <v>1446</v>
      </c>
      <c r="E75" s="104" t="s">
        <v>114</v>
      </c>
      <c r="F75" s="173" t="b">
        <v>0</v>
      </c>
      <c r="G75" s="174"/>
      <c r="H75" s="104"/>
      <c r="I75" s="104" t="s">
        <v>93</v>
      </c>
      <c r="J75" s="104" t="s">
        <v>1892</v>
      </c>
      <c r="K75" s="104" t="s">
        <v>124</v>
      </c>
      <c r="L75" s="104"/>
      <c r="M75" s="104"/>
      <c r="N75" s="174" t="s">
        <v>120</v>
      </c>
      <c r="O75" s="104" t="s">
        <v>1422</v>
      </c>
      <c r="P75" s="175">
        <v>40757</v>
      </c>
      <c r="Q75" s="175">
        <v>40813.425324074073</v>
      </c>
      <c r="R75" s="175">
        <v>40813.670543981483</v>
      </c>
      <c r="S75" s="175">
        <v>40858.412893518522</v>
      </c>
      <c r="T75" s="175">
        <v>40940.691296296296</v>
      </c>
      <c r="U75" s="175">
        <v>40933</v>
      </c>
      <c r="V75" s="173">
        <v>1183</v>
      </c>
      <c r="W75" s="104" t="s">
        <v>68</v>
      </c>
      <c r="X75" s="173">
        <v>-1279</v>
      </c>
      <c r="Y75" s="176"/>
      <c r="Z75" s="173">
        <v>296</v>
      </c>
      <c r="AA75" s="173">
        <v>0</v>
      </c>
      <c r="AB75" s="176"/>
      <c r="AC75" s="173">
        <v>-1124</v>
      </c>
      <c r="AD75" s="176"/>
      <c r="AE75" s="173">
        <v>305</v>
      </c>
      <c r="AF75" s="173">
        <v>-3835</v>
      </c>
      <c r="AG75" s="173">
        <v>3000</v>
      </c>
      <c r="AH75" s="100"/>
      <c r="AI75" s="100"/>
      <c r="AJ75" s="100"/>
      <c r="AK75" s="100"/>
      <c r="AL75" s="132">
        <v>40805</v>
      </c>
      <c r="AM75" s="100">
        <v>1183</v>
      </c>
      <c r="AN75" s="98">
        <v>0.30399999999999999</v>
      </c>
      <c r="AO75" s="99">
        <v>5225</v>
      </c>
      <c r="AP75" s="100">
        <v>-1280</v>
      </c>
      <c r="AQ75" s="100">
        <v>651</v>
      </c>
      <c r="AR75" s="100">
        <v>296</v>
      </c>
      <c r="AS75" s="133">
        <f t="shared" si="5"/>
        <v>0.30399999999999999</v>
      </c>
      <c r="AT75" s="100"/>
      <c r="AU75" s="100"/>
      <c r="AV75" s="100"/>
      <c r="AW75" s="100"/>
      <c r="AX75" s="100"/>
      <c r="AY75" s="100"/>
      <c r="AZ75" s="100"/>
      <c r="BA75" s="100"/>
      <c r="BB75" s="132">
        <v>40858</v>
      </c>
      <c r="BC75" s="100">
        <v>1183</v>
      </c>
      <c r="BD75" s="100" t="s">
        <v>1387</v>
      </c>
      <c r="BE75" s="98">
        <v>4.7E-2</v>
      </c>
      <c r="BF75" s="100" t="s">
        <v>1388</v>
      </c>
      <c r="BG75" s="154">
        <f>26%-4.7%</f>
        <v>0.21300000000000002</v>
      </c>
      <c r="BH75" s="100" t="s">
        <v>1386</v>
      </c>
      <c r="BI75" s="154">
        <f>29.9%-26%</f>
        <v>3.8999999999999979E-2</v>
      </c>
      <c r="BJ75" s="100" t="s">
        <v>1389</v>
      </c>
      <c r="BK75" s="98">
        <f>29.9%-29.9%</f>
        <v>0</v>
      </c>
      <c r="BL75" s="100" t="s">
        <v>1393</v>
      </c>
      <c r="BM75" s="98">
        <f>29.9%-29.9%</f>
        <v>0</v>
      </c>
      <c r="BN75" s="98" t="s">
        <v>1394</v>
      </c>
      <c r="BO75" s="98">
        <f>31.9%-29.9%</f>
        <v>2.0000000000000018E-2</v>
      </c>
      <c r="BP75" s="143"/>
      <c r="BQ75" s="143"/>
      <c r="BR75" s="143"/>
      <c r="BS75" s="143"/>
      <c r="BT75" s="143"/>
      <c r="BU75" s="143"/>
      <c r="BV75" s="143"/>
      <c r="BW75" s="143"/>
      <c r="BX75" s="98">
        <v>0.31900000000000001</v>
      </c>
      <c r="BY75" s="99">
        <v>5365</v>
      </c>
      <c r="BZ75" s="99">
        <v>-1125</v>
      </c>
      <c r="CA75" s="99">
        <v>651</v>
      </c>
      <c r="CB75" s="99">
        <v>305</v>
      </c>
      <c r="CC75" s="98">
        <f t="shared" si="3"/>
        <v>0.31900000000000001</v>
      </c>
      <c r="CD75" s="132">
        <v>40757</v>
      </c>
      <c r="CE75" s="100" t="b">
        <v>1</v>
      </c>
      <c r="CF75" s="100" t="b">
        <v>1</v>
      </c>
      <c r="CG75" s="100" t="s">
        <v>1422</v>
      </c>
      <c r="CH75" s="100">
        <v>2115</v>
      </c>
      <c r="CI75" s="100">
        <v>0</v>
      </c>
      <c r="CJ75" s="103"/>
      <c r="CK75" s="100">
        <v>1183.3599999999999</v>
      </c>
      <c r="CL75" s="100">
        <v>3527</v>
      </c>
      <c r="CM75" s="100">
        <v>583</v>
      </c>
      <c r="CN75" s="100"/>
      <c r="CO75" s="100"/>
      <c r="CP75" s="100"/>
      <c r="CQ75" s="100"/>
      <c r="CR75" s="100"/>
      <c r="CS75" s="100"/>
      <c r="CT75" s="100"/>
      <c r="CU75" s="132">
        <v>40829</v>
      </c>
      <c r="CV75" s="100">
        <v>1260</v>
      </c>
      <c r="CW75" s="100">
        <v>68</v>
      </c>
      <c r="CX75" s="103"/>
      <c r="CY75" s="100"/>
      <c r="CZ75" s="100"/>
      <c r="DA75" s="100"/>
      <c r="DB75" s="100"/>
      <c r="DC75" s="100"/>
      <c r="DD75" s="100"/>
      <c r="DE75" s="100"/>
      <c r="DF75" s="155">
        <v>19497</v>
      </c>
      <c r="DG75" s="100">
        <v>-1280</v>
      </c>
      <c r="DH75" s="100">
        <v>296</v>
      </c>
      <c r="DI75" s="100"/>
      <c r="DJ75" s="100" t="b">
        <v>0</v>
      </c>
      <c r="DK75" s="100" t="b">
        <v>0</v>
      </c>
      <c r="DL75" s="100">
        <v>2</v>
      </c>
      <c r="DM75" s="100"/>
      <c r="DN75" s="100" t="s">
        <v>1893</v>
      </c>
      <c r="DO75" s="100" t="s">
        <v>1894</v>
      </c>
      <c r="DP75" s="100"/>
      <c r="DQ75" s="100"/>
      <c r="DR75" s="100"/>
      <c r="DS75" s="100"/>
      <c r="DT75" s="100"/>
      <c r="DU75" s="100"/>
      <c r="DV75" s="100">
        <v>-1120</v>
      </c>
      <c r="DW75" s="100">
        <v>305</v>
      </c>
      <c r="DX75" s="100"/>
      <c r="DY75" s="100" t="b">
        <v>0</v>
      </c>
      <c r="DZ75" s="100" t="b">
        <v>0</v>
      </c>
      <c r="EA75" s="100">
        <v>0</v>
      </c>
      <c r="EB75" s="100"/>
      <c r="EC75" s="103"/>
      <c r="ED75" s="103"/>
      <c r="EM75" s="112"/>
      <c r="EN75" s="112"/>
      <c r="EO75" s="193" t="s">
        <v>1891</v>
      </c>
      <c r="EP75" s="193">
        <v>31.92</v>
      </c>
      <c r="EQ75" t="b">
        <f t="shared" si="4"/>
        <v>0</v>
      </c>
    </row>
  </sheetData>
  <autoFilter ref="A1:EN75"/>
  <customSheetViews>
    <customSheetView guid="{679A3195-3DEA-4AC2-A535-82AAF5B552BC}" showAutoFilter="1" state="hidden">
      <pane xSplit="3" ySplit="1" topLeftCell="J2" activePane="bottomRight" state="frozen"/>
      <selection pane="bottomRight" activeCell="U2" sqref="U2"/>
      <pageMargins left="0.7" right="0.7" top="0.75" bottom="0.75" header="0.3" footer="0.3"/>
      <autoFilter ref="A1:EN75"/>
    </customSheetView>
    <customSheetView guid="{7378B641-E8D1-4C14-8151-CF4CE159D121}" showAutoFilter="1" state="hidden">
      <pane xSplit="3" ySplit="1" topLeftCell="J2" activePane="bottomRight" state="frozen"/>
      <selection pane="bottomRight" activeCell="U2" sqref="U2"/>
      <pageMargins left="0.7" right="0.7" top="0.75" bottom="0.75" header="0.3" footer="0.3"/>
      <autoFilter ref="A1:EN75"/>
    </customSheetView>
    <customSheetView guid="{6D63B10B-E1E6-452A-80EB-4B2C7D61CF66}" showAutoFilter="1" state="hidden">
      <pane xSplit="3" ySplit="1" topLeftCell="J2" activePane="bottomRight" state="frozen"/>
      <selection pane="bottomRight" activeCell="U2" sqref="U2"/>
      <pageMargins left="0.7" right="0.7" top="0.75" bottom="0.75" header="0.3" footer="0.3"/>
      <autoFilter ref="A1:EN75"/>
    </customSheetView>
  </customSheetViews>
  <dataValidations count="2">
    <dataValidation type="list" allowBlank="1" showInputMessage="1" showErrorMessage="1" sqref="BN2 BP2 BR2 BT2 BV2 BD2:BD75 BF2:BF75 BH2:BH75 BJ2:BJ75 BL2:BL75 BN24:BN75 BP24:BP75 BR24:BR75 BT24:BT75 BV24:BV75">
      <formula1>MeasureNames</formula1>
    </dataValidation>
    <dataValidation type="list" allowBlank="1" showInputMessage="1" showErrorMessage="1" sqref="CG2:CG75">
      <formula1>ListUpgradeType</formula1>
    </dataValidation>
  </dataValidation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1:AA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7.42578125" style="3" customWidth="1"/>
    <col min="4" max="5" width="9.140625" style="3"/>
    <col min="6" max="6" width="14" style="3" customWidth="1"/>
    <col min="7" max="15" width="9.140625" style="3"/>
    <col min="16" max="16" width="3.28515625" style="47" customWidth="1"/>
    <col min="17" max="16384" width="9.140625" style="3"/>
  </cols>
  <sheetData>
    <row r="1" spans="1:27" ht="18.75" customHeight="1" x14ac:dyDescent="0.25">
      <c r="A1" s="3" t="s">
        <v>26</v>
      </c>
      <c r="B1" s="4" t="s">
        <v>3103</v>
      </c>
      <c r="C1" s="535" t="s">
        <v>3058</v>
      </c>
      <c r="D1" s="37" t="str">
        <f>B1</f>
        <v>BPI Professional Certifications by Type of Certification: January 1, 2010 and November 1, 2011</v>
      </c>
    </row>
    <row r="2" spans="1:27" ht="14.25" customHeight="1" x14ac:dyDescent="0.25">
      <c r="A2" s="3" t="s">
        <v>20</v>
      </c>
      <c r="B2" s="4" t="s">
        <v>60</v>
      </c>
      <c r="C2" s="536" t="s">
        <v>3059</v>
      </c>
    </row>
    <row r="3" spans="1:27" x14ac:dyDescent="0.25">
      <c r="A3" s="3" t="s">
        <v>1184</v>
      </c>
      <c r="B3" s="4" t="s">
        <v>2361</v>
      </c>
      <c r="C3" s="536" t="s">
        <v>1193</v>
      </c>
      <c r="D3" s="733"/>
      <c r="E3" s="733"/>
      <c r="F3" s="733"/>
      <c r="G3" s="733"/>
      <c r="H3" s="733"/>
      <c r="I3" s="733"/>
      <c r="J3" s="733"/>
      <c r="K3" s="733"/>
      <c r="L3" s="733"/>
      <c r="M3" s="733"/>
      <c r="N3" s="733"/>
      <c r="O3" s="733"/>
    </row>
    <row r="4" spans="1:27" ht="15" customHeight="1" x14ac:dyDescent="0.25">
      <c r="A4" s="3" t="s">
        <v>3136</v>
      </c>
      <c r="B4" s="4" t="s">
        <v>3104</v>
      </c>
      <c r="C4" s="4"/>
      <c r="D4" s="3" t="s">
        <v>61</v>
      </c>
      <c r="P4" s="592"/>
      <c r="Q4" s="48"/>
      <c r="R4" s="48"/>
      <c r="S4" s="48"/>
      <c r="T4" s="48"/>
      <c r="U4" s="48"/>
      <c r="V4" s="48"/>
      <c r="W4" s="48"/>
      <c r="X4" s="48"/>
      <c r="Y4" s="48"/>
      <c r="Z4" s="48"/>
      <c r="AA4" s="48"/>
    </row>
    <row r="5" spans="1:27" x14ac:dyDescent="0.25">
      <c r="B5" s="4"/>
      <c r="C5" s="4"/>
      <c r="P5" s="592"/>
    </row>
    <row r="6" spans="1:27" x14ac:dyDescent="0.25">
      <c r="P6" s="592"/>
    </row>
    <row r="7" spans="1:27" x14ac:dyDescent="0.25">
      <c r="P7" s="592"/>
    </row>
    <row r="8" spans="1:27" x14ac:dyDescent="0.25">
      <c r="P8" s="592"/>
    </row>
    <row r="9" spans="1:27" x14ac:dyDescent="0.25">
      <c r="P9" s="592"/>
    </row>
    <row r="10" spans="1:27" x14ac:dyDescent="0.25">
      <c r="P10" s="592"/>
    </row>
    <row r="11" spans="1:27" x14ac:dyDescent="0.25">
      <c r="P11" s="592"/>
    </row>
    <row r="12" spans="1:27" x14ac:dyDescent="0.25">
      <c r="P12" s="592"/>
    </row>
    <row r="13" spans="1:27" x14ac:dyDescent="0.25">
      <c r="P13" s="592"/>
    </row>
    <row r="14" spans="1:27" x14ac:dyDescent="0.25">
      <c r="P14" s="592"/>
    </row>
    <row r="15" spans="1:27" x14ac:dyDescent="0.25">
      <c r="P15" s="592"/>
    </row>
    <row r="16" spans="1:27" x14ac:dyDescent="0.25">
      <c r="P16" s="592"/>
    </row>
    <row r="17" spans="16:16" x14ac:dyDescent="0.25">
      <c r="P17" s="592"/>
    </row>
    <row r="18" spans="16:16" x14ac:dyDescent="0.25">
      <c r="P18" s="592"/>
    </row>
    <row r="19" spans="16:16" x14ac:dyDescent="0.25">
      <c r="P19" s="592"/>
    </row>
    <row r="20" spans="16:16" x14ac:dyDescent="0.25">
      <c r="P20" s="592"/>
    </row>
    <row r="21" spans="16:16" x14ac:dyDescent="0.25">
      <c r="P21" s="592"/>
    </row>
    <row r="22" spans="16:16" x14ac:dyDescent="0.25">
      <c r="P22" s="592"/>
    </row>
    <row r="23" spans="16:16" x14ac:dyDescent="0.25">
      <c r="P23" s="592"/>
    </row>
    <row r="24" spans="16:16" x14ac:dyDescent="0.25">
      <c r="P24" s="592"/>
    </row>
    <row r="25" spans="16:16" x14ac:dyDescent="0.25">
      <c r="P25" s="592"/>
    </row>
    <row r="26" spans="16:16" x14ac:dyDescent="0.25">
      <c r="P26" s="592"/>
    </row>
    <row r="27" spans="16:16" x14ac:dyDescent="0.25">
      <c r="P27" s="592"/>
    </row>
    <row r="28" spans="16:16" x14ac:dyDescent="0.25">
      <c r="P28" s="592"/>
    </row>
    <row r="29" spans="16:16" x14ac:dyDescent="0.25">
      <c r="P29" s="592"/>
    </row>
    <row r="30" spans="16:16" x14ac:dyDescent="0.25">
      <c r="P30" s="592"/>
    </row>
    <row r="31" spans="16:16" x14ac:dyDescent="0.25">
      <c r="P31" s="592"/>
    </row>
    <row r="33" spans="4:4" x14ac:dyDescent="0.25">
      <c r="D33" s="37" t="s">
        <v>1209</v>
      </c>
    </row>
  </sheetData>
  <customSheetViews>
    <customSheetView guid="{679A3195-3DEA-4AC2-A535-82AAF5B552BC}" fitToPage="1" hiddenColumns="1" topLeftCell="C1">
      <selection activeCell="C3" sqref="C3"/>
      <pageMargins left="0.7" right="0.7" top="0.75" bottom="0.75" header="0.3" footer="0.3"/>
      <pageSetup scale="67" orientation="landscape" horizontalDpi="4294967293" verticalDpi="4294967293" r:id="rId1"/>
    </customSheetView>
    <customSheetView guid="{7378B641-E8D1-4C14-8151-CF4CE159D121}" fitToPage="1" hiddenColumns="1" topLeftCell="C1">
      <selection activeCell="C3" sqref="C3"/>
      <pageMargins left="0.7" right="0.7" top="0.75" bottom="0.75" header="0.3" footer="0.3"/>
      <pageSetup scale="67" orientation="landscape" horizontalDpi="4294967293" verticalDpi="4294967293" r:id="rId2"/>
    </customSheetView>
    <customSheetView guid="{6D63B10B-E1E6-452A-80EB-4B2C7D61CF66}" fitToPage="1" hiddenColumns="1" topLeftCell="C1">
      <selection activeCell="C3" sqref="C3"/>
      <pageMargins left="0.7" right="0.7" top="0.75" bottom="0.75" header="0.3" footer="0.3"/>
      <pageSetup scale="67" orientation="landscape" horizontalDpi="4294967293" verticalDpi="4294967293" r:id="rId3"/>
    </customSheetView>
  </customSheetViews>
  <mergeCells count="1">
    <mergeCell ref="D3:O3"/>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scale="67" orientation="landscape" horizontalDpi="4294967293" verticalDpi="4294967293" r:id="rId4"/>
  <drawing r:id="rId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M25"/>
  <sheetViews>
    <sheetView workbookViewId="0">
      <selection activeCell="C3" sqref="C3"/>
    </sheetView>
  </sheetViews>
  <sheetFormatPr defaultRowHeight="15" x14ac:dyDescent="0.25"/>
  <cols>
    <col min="1" max="1" width="44.42578125" style="3" customWidth="1"/>
    <col min="2" max="3" width="10.140625" style="3" bestFit="1" customWidth="1"/>
    <col min="4" max="4" width="48.42578125" style="3" customWidth="1"/>
    <col min="5" max="10" width="9.140625" style="3"/>
    <col min="11" max="11" width="42.7109375" style="3" customWidth="1"/>
    <col min="12" max="12" width="9.140625" style="3"/>
    <col min="13" max="13" width="14" style="3" customWidth="1"/>
    <col min="14" max="240" width="9.140625" style="3"/>
    <col min="241" max="241" width="17.85546875" style="3" customWidth="1"/>
    <col min="242" max="496" width="9.140625" style="3"/>
    <col min="497" max="497" width="17.85546875" style="3" customWidth="1"/>
    <col min="498" max="752" width="9.140625" style="3"/>
    <col min="753" max="753" width="17.85546875" style="3" customWidth="1"/>
    <col min="754" max="1008" width="9.140625" style="3"/>
    <col min="1009" max="1009" width="17.85546875" style="3" customWidth="1"/>
    <col min="1010" max="1264" width="9.140625" style="3"/>
    <col min="1265" max="1265" width="17.85546875" style="3" customWidth="1"/>
    <col min="1266" max="1520" width="9.140625" style="3"/>
    <col min="1521" max="1521" width="17.85546875" style="3" customWidth="1"/>
    <col min="1522" max="1776" width="9.140625" style="3"/>
    <col min="1777" max="1777" width="17.85546875" style="3" customWidth="1"/>
    <col min="1778" max="2032" width="9.140625" style="3"/>
    <col min="2033" max="2033" width="17.85546875" style="3" customWidth="1"/>
    <col min="2034" max="2288" width="9.140625" style="3"/>
    <col min="2289" max="2289" width="17.85546875" style="3" customWidth="1"/>
    <col min="2290" max="2544" width="9.140625" style="3"/>
    <col min="2545" max="2545" width="17.85546875" style="3" customWidth="1"/>
    <col min="2546" max="2800" width="9.140625" style="3"/>
    <col min="2801" max="2801" width="17.85546875" style="3" customWidth="1"/>
    <col min="2802" max="3056" width="9.140625" style="3"/>
    <col min="3057" max="3057" width="17.85546875" style="3" customWidth="1"/>
    <col min="3058" max="3312" width="9.140625" style="3"/>
    <col min="3313" max="3313" width="17.85546875" style="3" customWidth="1"/>
    <col min="3314" max="3568" width="9.140625" style="3"/>
    <col min="3569" max="3569" width="17.85546875" style="3" customWidth="1"/>
    <col min="3570" max="3824" width="9.140625" style="3"/>
    <col min="3825" max="3825" width="17.85546875" style="3" customWidth="1"/>
    <col min="3826" max="4080" width="9.140625" style="3"/>
    <col min="4081" max="4081" width="17.85546875" style="3" customWidth="1"/>
    <col min="4082" max="4336" width="9.140625" style="3"/>
    <col min="4337" max="4337" width="17.85546875" style="3" customWidth="1"/>
    <col min="4338" max="4592" width="9.140625" style="3"/>
    <col min="4593" max="4593" width="17.85546875" style="3" customWidth="1"/>
    <col min="4594" max="4848" width="9.140625" style="3"/>
    <col min="4849" max="4849" width="17.85546875" style="3" customWidth="1"/>
    <col min="4850" max="5104" width="9.140625" style="3"/>
    <col min="5105" max="5105" width="17.85546875" style="3" customWidth="1"/>
    <col min="5106" max="5360" width="9.140625" style="3"/>
    <col min="5361" max="5361" width="17.85546875" style="3" customWidth="1"/>
    <col min="5362" max="5616" width="9.140625" style="3"/>
    <col min="5617" max="5617" width="17.85546875" style="3" customWidth="1"/>
    <col min="5618" max="5872" width="9.140625" style="3"/>
    <col min="5873" max="5873" width="17.85546875" style="3" customWidth="1"/>
    <col min="5874" max="6128" width="9.140625" style="3"/>
    <col min="6129" max="6129" width="17.85546875" style="3" customWidth="1"/>
    <col min="6130" max="6384" width="9.140625" style="3"/>
    <col min="6385" max="6385" width="17.85546875" style="3" customWidth="1"/>
    <col min="6386" max="6640" width="9.140625" style="3"/>
    <col min="6641" max="6641" width="17.85546875" style="3" customWidth="1"/>
    <col min="6642" max="6896" width="9.140625" style="3"/>
    <col min="6897" max="6897" width="17.85546875" style="3" customWidth="1"/>
    <col min="6898" max="7152" width="9.140625" style="3"/>
    <col min="7153" max="7153" width="17.85546875" style="3" customWidth="1"/>
    <col min="7154" max="7408" width="9.140625" style="3"/>
    <col min="7409" max="7409" width="17.85546875" style="3" customWidth="1"/>
    <col min="7410" max="7664" width="9.140625" style="3"/>
    <col min="7665" max="7665" width="17.85546875" style="3" customWidth="1"/>
    <col min="7666" max="7920" width="9.140625" style="3"/>
    <col min="7921" max="7921" width="17.85546875" style="3" customWidth="1"/>
    <col min="7922" max="8176" width="9.140625" style="3"/>
    <col min="8177" max="8177" width="17.85546875" style="3" customWidth="1"/>
    <col min="8178" max="8432" width="9.140625" style="3"/>
    <col min="8433" max="8433" width="17.85546875" style="3" customWidth="1"/>
    <col min="8434" max="8688" width="9.140625" style="3"/>
    <col min="8689" max="8689" width="17.85546875" style="3" customWidth="1"/>
    <col min="8690" max="8944" width="9.140625" style="3"/>
    <col min="8945" max="8945" width="17.85546875" style="3" customWidth="1"/>
    <col min="8946" max="9200" width="9.140625" style="3"/>
    <col min="9201" max="9201" width="17.85546875" style="3" customWidth="1"/>
    <col min="9202" max="9456" width="9.140625" style="3"/>
    <col min="9457" max="9457" width="17.85546875" style="3" customWidth="1"/>
    <col min="9458" max="9712" width="9.140625" style="3"/>
    <col min="9713" max="9713" width="17.85546875" style="3" customWidth="1"/>
    <col min="9714" max="9968" width="9.140625" style="3"/>
    <col min="9969" max="9969" width="17.85546875" style="3" customWidth="1"/>
    <col min="9970" max="10224" width="9.140625" style="3"/>
    <col min="10225" max="10225" width="17.85546875" style="3" customWidth="1"/>
    <col min="10226" max="10480" width="9.140625" style="3"/>
    <col min="10481" max="10481" width="17.85546875" style="3" customWidth="1"/>
    <col min="10482" max="10736" width="9.140625" style="3"/>
    <col min="10737" max="10737" width="17.85546875" style="3" customWidth="1"/>
    <col min="10738" max="10992" width="9.140625" style="3"/>
    <col min="10993" max="10993" width="17.85546875" style="3" customWidth="1"/>
    <col min="10994" max="11248" width="9.140625" style="3"/>
    <col min="11249" max="11249" width="17.85546875" style="3" customWidth="1"/>
    <col min="11250" max="11504" width="9.140625" style="3"/>
    <col min="11505" max="11505" width="17.85546875" style="3" customWidth="1"/>
    <col min="11506" max="11760" width="9.140625" style="3"/>
    <col min="11761" max="11761" width="17.85546875" style="3" customWidth="1"/>
    <col min="11762" max="12016" width="9.140625" style="3"/>
    <col min="12017" max="12017" width="17.85546875" style="3" customWidth="1"/>
    <col min="12018" max="12272" width="9.140625" style="3"/>
    <col min="12273" max="12273" width="17.85546875" style="3" customWidth="1"/>
    <col min="12274" max="12528" width="9.140625" style="3"/>
    <col min="12529" max="12529" width="17.85546875" style="3" customWidth="1"/>
    <col min="12530" max="12784" width="9.140625" style="3"/>
    <col min="12785" max="12785" width="17.85546875" style="3" customWidth="1"/>
    <col min="12786" max="13040" width="9.140625" style="3"/>
    <col min="13041" max="13041" width="17.85546875" style="3" customWidth="1"/>
    <col min="13042" max="13296" width="9.140625" style="3"/>
    <col min="13297" max="13297" width="17.85546875" style="3" customWidth="1"/>
    <col min="13298" max="13552" width="9.140625" style="3"/>
    <col min="13553" max="13553" width="17.85546875" style="3" customWidth="1"/>
    <col min="13554" max="13808" width="9.140625" style="3"/>
    <col min="13809" max="13809" width="17.85546875" style="3" customWidth="1"/>
    <col min="13810" max="14064" width="9.140625" style="3"/>
    <col min="14065" max="14065" width="17.85546875" style="3" customWidth="1"/>
    <col min="14066" max="14320" width="9.140625" style="3"/>
    <col min="14321" max="14321" width="17.85546875" style="3" customWidth="1"/>
    <col min="14322" max="14576" width="9.140625" style="3"/>
    <col min="14577" max="14577" width="17.85546875" style="3" customWidth="1"/>
    <col min="14578" max="14832" width="9.140625" style="3"/>
    <col min="14833" max="14833" width="17.85546875" style="3" customWidth="1"/>
    <col min="14834" max="15088" width="9.140625" style="3"/>
    <col min="15089" max="15089" width="17.85546875" style="3" customWidth="1"/>
    <col min="15090" max="15344" width="9.140625" style="3"/>
    <col min="15345" max="15345" width="17.85546875" style="3" customWidth="1"/>
    <col min="15346" max="15600" width="9.140625" style="3"/>
    <col min="15601" max="15601" width="17.85546875" style="3" customWidth="1"/>
    <col min="15602" max="15856" width="9.140625" style="3"/>
    <col min="15857" max="15857" width="17.85546875" style="3" customWidth="1"/>
    <col min="15858" max="16112" width="9.140625" style="3"/>
    <col min="16113" max="16113" width="17.85546875" style="3" customWidth="1"/>
    <col min="16114" max="16384" width="9.140625" style="3"/>
  </cols>
  <sheetData>
    <row r="1" spans="1:13" s="43" customFormat="1" ht="14.25" x14ac:dyDescent="0.25">
      <c r="B1" s="559" t="s">
        <v>3105</v>
      </c>
      <c r="C1" s="559" t="s">
        <v>3106</v>
      </c>
    </row>
    <row r="2" spans="1:13" x14ac:dyDescent="0.25">
      <c r="A2" s="49" t="str">
        <f>K10</f>
        <v>Res WH Air Leakage Control Installer</v>
      </c>
      <c r="B2" s="52">
        <v>0</v>
      </c>
      <c r="C2" s="52">
        <f>L10</f>
        <v>51</v>
      </c>
    </row>
    <row r="3" spans="1:13" x14ac:dyDescent="0.25">
      <c r="A3" s="49" t="str">
        <f t="shared" ref="A3:A7" si="0">K11</f>
        <v>Envelope Professional</v>
      </c>
      <c r="B3" s="52">
        <f>L20</f>
        <v>18</v>
      </c>
      <c r="C3" s="52">
        <f t="shared" ref="C3:C7" si="1">L11</f>
        <v>663</v>
      </c>
    </row>
    <row r="4" spans="1:13" x14ac:dyDescent="0.25">
      <c r="A4" s="49" t="str">
        <f t="shared" si="0"/>
        <v>Heating Professional</v>
      </c>
      <c r="B4" s="52">
        <f>L21</f>
        <v>3</v>
      </c>
      <c r="C4" s="52">
        <f t="shared" si="1"/>
        <v>23</v>
      </c>
    </row>
    <row r="5" spans="1:13" x14ac:dyDescent="0.25">
      <c r="A5" s="49" t="str">
        <f t="shared" si="0"/>
        <v>Building Analyst Professional</v>
      </c>
      <c r="B5" s="52">
        <f>L22</f>
        <v>63</v>
      </c>
      <c r="C5" s="52">
        <f t="shared" si="1"/>
        <v>1540</v>
      </c>
    </row>
    <row r="6" spans="1:13" x14ac:dyDescent="0.25">
      <c r="A6" s="49" t="str">
        <f t="shared" si="0"/>
        <v>AC and Heat Pump Professional</v>
      </c>
      <c r="B6" s="52">
        <f>L23</f>
        <v>4</v>
      </c>
      <c r="C6" s="52">
        <f t="shared" si="1"/>
        <v>16</v>
      </c>
    </row>
    <row r="7" spans="1:13" x14ac:dyDescent="0.25">
      <c r="A7" s="49" t="str">
        <f t="shared" si="0"/>
        <v>Multifamily Building Analyst Professional</v>
      </c>
      <c r="B7" s="52">
        <v>0</v>
      </c>
      <c r="C7" s="52">
        <f t="shared" si="1"/>
        <v>56</v>
      </c>
    </row>
    <row r="8" spans="1:13" ht="90" x14ac:dyDescent="0.25">
      <c r="D8" s="46" t="s">
        <v>1221</v>
      </c>
    </row>
    <row r="9" spans="1:13" x14ac:dyDescent="0.25">
      <c r="J9" s="560" t="s">
        <v>3107</v>
      </c>
      <c r="K9" s="561" t="s">
        <v>3108</v>
      </c>
      <c r="L9" s="560" t="s">
        <v>3109</v>
      </c>
      <c r="M9" s="562" t="s">
        <v>3110</v>
      </c>
    </row>
    <row r="10" spans="1:13" x14ac:dyDescent="0.25">
      <c r="J10" s="563" t="s">
        <v>383</v>
      </c>
      <c r="K10" s="564" t="s">
        <v>3111</v>
      </c>
      <c r="L10" s="565">
        <v>51</v>
      </c>
      <c r="M10" s="168">
        <v>40848</v>
      </c>
    </row>
    <row r="11" spans="1:13" x14ac:dyDescent="0.25">
      <c r="J11" s="563"/>
      <c r="K11" s="564" t="s">
        <v>3112</v>
      </c>
      <c r="L11" s="565">
        <v>663</v>
      </c>
      <c r="M11" s="168">
        <v>40848</v>
      </c>
    </row>
    <row r="12" spans="1:13" x14ac:dyDescent="0.25">
      <c r="J12" s="563"/>
      <c r="K12" s="564" t="s">
        <v>3113</v>
      </c>
      <c r="L12" s="565">
        <v>23</v>
      </c>
      <c r="M12" s="168">
        <v>40848</v>
      </c>
    </row>
    <row r="13" spans="1:13" x14ac:dyDescent="0.25">
      <c r="J13" s="563"/>
      <c r="K13" s="564" t="s">
        <v>3114</v>
      </c>
      <c r="L13" s="565">
        <v>1540</v>
      </c>
      <c r="M13" s="168">
        <v>40848</v>
      </c>
    </row>
    <row r="14" spans="1:13" x14ac:dyDescent="0.25">
      <c r="J14" s="563"/>
      <c r="K14" s="564" t="s">
        <v>3115</v>
      </c>
      <c r="L14" s="565">
        <v>16</v>
      </c>
      <c r="M14" s="168">
        <v>40848</v>
      </c>
    </row>
    <row r="15" spans="1:13" x14ac:dyDescent="0.25">
      <c r="J15" s="563"/>
      <c r="K15" s="564" t="s">
        <v>3116</v>
      </c>
      <c r="L15" s="565">
        <v>56</v>
      </c>
      <c r="M15" s="168">
        <v>40848</v>
      </c>
    </row>
    <row r="16" spans="1:13" x14ac:dyDescent="0.25">
      <c r="J16" s="566" t="s">
        <v>3117</v>
      </c>
      <c r="K16" s="567"/>
      <c r="L16" s="568"/>
      <c r="M16" s="168">
        <v>40848</v>
      </c>
    </row>
    <row r="17" spans="10:13" x14ac:dyDescent="0.25">
      <c r="J17" s="566" t="s">
        <v>3118</v>
      </c>
      <c r="K17" s="267"/>
      <c r="L17" s="267"/>
      <c r="M17" s="168">
        <v>40848</v>
      </c>
    </row>
    <row r="18" spans="10:13" x14ac:dyDescent="0.25">
      <c r="J18"/>
      <c r="K18"/>
      <c r="L18"/>
      <c r="M18"/>
    </row>
    <row r="19" spans="10:13" x14ac:dyDescent="0.25">
      <c r="J19" s="560" t="s">
        <v>3107</v>
      </c>
      <c r="K19" s="561" t="s">
        <v>3108</v>
      </c>
      <c r="L19" s="560" t="s">
        <v>3109</v>
      </c>
      <c r="M19" s="168">
        <v>40179</v>
      </c>
    </row>
    <row r="20" spans="10:13" x14ac:dyDescent="0.25">
      <c r="J20" s="563" t="s">
        <v>383</v>
      </c>
      <c r="K20" s="564" t="s">
        <v>3112</v>
      </c>
      <c r="L20" s="563">
        <v>18</v>
      </c>
      <c r="M20" s="168">
        <v>40179</v>
      </c>
    </row>
    <row r="21" spans="10:13" x14ac:dyDescent="0.25">
      <c r="J21" s="563"/>
      <c r="K21" s="564" t="s">
        <v>3113</v>
      </c>
      <c r="L21" s="563">
        <v>3</v>
      </c>
      <c r="M21" s="168">
        <v>40179</v>
      </c>
    </row>
    <row r="22" spans="10:13" x14ac:dyDescent="0.25">
      <c r="J22" s="563"/>
      <c r="K22" s="564" t="s">
        <v>3114</v>
      </c>
      <c r="L22" s="563">
        <v>63</v>
      </c>
      <c r="M22" s="168">
        <v>40179</v>
      </c>
    </row>
    <row r="23" spans="10:13" x14ac:dyDescent="0.25">
      <c r="J23" s="563"/>
      <c r="K23" s="564" t="s">
        <v>3115</v>
      </c>
      <c r="L23" s="563">
        <v>4</v>
      </c>
      <c r="M23" s="168">
        <v>40179</v>
      </c>
    </row>
    <row r="24" spans="10:13" x14ac:dyDescent="0.25">
      <c r="J24" s="566" t="s">
        <v>3119</v>
      </c>
      <c r="K24" s="567"/>
      <c r="L24" s="568"/>
      <c r="M24" s="168">
        <v>40179</v>
      </c>
    </row>
    <row r="25" spans="10:13" x14ac:dyDescent="0.25">
      <c r="J25" s="566" t="s">
        <v>3120</v>
      </c>
      <c r="K25" s="267"/>
      <c r="L25" s="267"/>
      <c r="M25" s="168">
        <v>40179</v>
      </c>
    </row>
  </sheetData>
  <customSheetViews>
    <customSheetView guid="{679A3195-3DEA-4AC2-A535-82AAF5B552BC}" state="hidden">
      <selection activeCell="C3" sqref="C3"/>
      <pageMargins left="0.75" right="0.75" top="1" bottom="1" header="0.5" footer="0.5"/>
      <pageSetup orientation="portrait" horizontalDpi="1200" verticalDpi="1200" r:id="rId1"/>
      <headerFooter alignWithMargins="0"/>
    </customSheetView>
    <customSheetView guid="{7378B641-E8D1-4C14-8151-CF4CE159D121}">
      <selection activeCell="A32" sqref="A32"/>
      <pageMargins left="0.75" right="0.75" top="1" bottom="1" header="0.5" footer="0.5"/>
      <pageSetup orientation="portrait" horizontalDpi="1200" verticalDpi="1200" r:id="rId2"/>
      <headerFooter alignWithMargins="0"/>
    </customSheetView>
    <customSheetView guid="{6D63B10B-E1E6-452A-80EB-4B2C7D61CF66}" state="hidden">
      <selection activeCell="C3" sqref="C3"/>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N40"/>
  <sheetViews>
    <sheetView topLeftCell="D1" workbookViewId="0">
      <selection activeCell="I9" sqref="I9"/>
    </sheetView>
  </sheetViews>
  <sheetFormatPr defaultRowHeight="15" x14ac:dyDescent="0.25"/>
  <cols>
    <col min="1" max="1" width="23" customWidth="1"/>
    <col min="2" max="2" width="28.7109375" customWidth="1"/>
    <col min="3" max="3" width="61.5703125" style="2" customWidth="1"/>
    <col min="4" max="6" width="26.5703125" style="1" customWidth="1"/>
    <col min="7" max="7" width="33" customWidth="1"/>
    <col min="8" max="8" width="13.7109375" customWidth="1"/>
    <col min="9" max="9" width="15.140625" customWidth="1"/>
    <col min="11" max="11" width="29" style="2" customWidth="1"/>
    <col min="12" max="12" width="24.140625" customWidth="1"/>
  </cols>
  <sheetData>
    <row r="1" spans="1:14" x14ac:dyDescent="0.25">
      <c r="A1" s="5" t="s">
        <v>1170</v>
      </c>
      <c r="B1" s="5" t="s">
        <v>27</v>
      </c>
      <c r="C1" s="6" t="s">
        <v>20</v>
      </c>
      <c r="D1" s="7" t="s">
        <v>28</v>
      </c>
      <c r="E1" s="7" t="s">
        <v>37</v>
      </c>
      <c r="F1" s="7" t="s">
        <v>1172</v>
      </c>
      <c r="G1" s="5" t="s">
        <v>29</v>
      </c>
      <c r="H1" t="s">
        <v>51</v>
      </c>
      <c r="I1" t="s">
        <v>50</v>
      </c>
      <c r="J1" t="s">
        <v>20</v>
      </c>
      <c r="K1" s="2" t="s">
        <v>1165</v>
      </c>
      <c r="L1" t="s">
        <v>1194</v>
      </c>
      <c r="M1" t="s">
        <v>3122</v>
      </c>
      <c r="N1" t="s">
        <v>3123</v>
      </c>
    </row>
    <row r="2" spans="1:14" ht="60" x14ac:dyDescent="0.25">
      <c r="A2" t="s">
        <v>1176</v>
      </c>
      <c r="B2" s="3" t="s">
        <v>12</v>
      </c>
      <c r="C2" s="4" t="s">
        <v>19</v>
      </c>
      <c r="D2" s="1" t="s">
        <v>12</v>
      </c>
      <c r="E2" s="1" t="s">
        <v>38</v>
      </c>
      <c r="F2" s="1" t="s">
        <v>1173</v>
      </c>
      <c r="G2" t="s">
        <v>0</v>
      </c>
      <c r="H2" t="s">
        <v>55</v>
      </c>
      <c r="I2" t="s">
        <v>52</v>
      </c>
      <c r="J2" t="s">
        <v>58</v>
      </c>
      <c r="K2" s="2" t="s">
        <v>1185</v>
      </c>
      <c r="L2" t="s">
        <v>1195</v>
      </c>
      <c r="M2" t="s">
        <v>2529</v>
      </c>
      <c r="N2" t="s">
        <v>2529</v>
      </c>
    </row>
    <row r="3" spans="1:14" ht="45" x14ac:dyDescent="0.25">
      <c r="A3" t="s">
        <v>1171</v>
      </c>
      <c r="B3" s="3" t="s">
        <v>15</v>
      </c>
      <c r="C3" s="4" t="s">
        <v>17</v>
      </c>
      <c r="D3" s="1" t="s">
        <v>22</v>
      </c>
      <c r="E3" s="1" t="s">
        <v>41</v>
      </c>
      <c r="F3" s="1" t="s">
        <v>1174</v>
      </c>
      <c r="G3" t="s">
        <v>1</v>
      </c>
      <c r="H3" t="s">
        <v>56</v>
      </c>
      <c r="I3" t="s">
        <v>53</v>
      </c>
      <c r="J3" t="s">
        <v>59</v>
      </c>
      <c r="K3" s="2" t="s">
        <v>1186</v>
      </c>
      <c r="L3" t="s">
        <v>1196</v>
      </c>
      <c r="M3" t="s">
        <v>2533</v>
      </c>
      <c r="N3" t="s">
        <v>3124</v>
      </c>
    </row>
    <row r="4" spans="1:14" ht="45" x14ac:dyDescent="0.25">
      <c r="B4" s="3" t="s">
        <v>13</v>
      </c>
      <c r="C4" s="4" t="s">
        <v>18</v>
      </c>
      <c r="D4" s="1" t="s">
        <v>23</v>
      </c>
      <c r="E4" s="1" t="s">
        <v>39</v>
      </c>
      <c r="F4" s="1" t="s">
        <v>1174</v>
      </c>
      <c r="G4" t="s">
        <v>2</v>
      </c>
      <c r="H4" t="s">
        <v>57</v>
      </c>
      <c r="I4" t="s">
        <v>54</v>
      </c>
      <c r="J4" t="s">
        <v>60</v>
      </c>
      <c r="K4" s="2" t="s">
        <v>1187</v>
      </c>
      <c r="L4" t="s">
        <v>1197</v>
      </c>
      <c r="M4" t="s">
        <v>3125</v>
      </c>
      <c r="N4" t="s">
        <v>3126</v>
      </c>
    </row>
    <row r="5" spans="1:14" ht="75" x14ac:dyDescent="0.25">
      <c r="B5" s="3" t="s">
        <v>14</v>
      </c>
      <c r="C5" s="4" t="s">
        <v>16</v>
      </c>
      <c r="D5" s="1" t="s">
        <v>21</v>
      </c>
      <c r="E5" s="1" t="s">
        <v>40</v>
      </c>
      <c r="F5" s="1" t="s">
        <v>1173</v>
      </c>
      <c r="G5" t="s">
        <v>3</v>
      </c>
      <c r="K5" s="2" t="s">
        <v>1188</v>
      </c>
      <c r="L5" t="s">
        <v>46</v>
      </c>
      <c r="M5" t="s">
        <v>2371</v>
      </c>
      <c r="N5" t="s">
        <v>2534</v>
      </c>
    </row>
    <row r="6" spans="1:14" ht="30" x14ac:dyDescent="0.25">
      <c r="D6" s="1" t="s">
        <v>1192</v>
      </c>
      <c r="E6" s="1" t="s">
        <v>47</v>
      </c>
      <c r="F6" s="1" t="s">
        <v>1173</v>
      </c>
      <c r="G6" t="s">
        <v>4</v>
      </c>
      <c r="K6" s="2" t="s">
        <v>1189</v>
      </c>
      <c r="L6" t="s">
        <v>1198</v>
      </c>
      <c r="M6" t="s">
        <v>3127</v>
      </c>
      <c r="N6" t="s">
        <v>2371</v>
      </c>
    </row>
    <row r="7" spans="1:14" ht="30" x14ac:dyDescent="0.25">
      <c r="D7" s="1" t="s">
        <v>1191</v>
      </c>
      <c r="E7" s="1" t="s">
        <v>48</v>
      </c>
      <c r="F7" s="1" t="s">
        <v>1173</v>
      </c>
      <c r="G7" t="s">
        <v>5</v>
      </c>
      <c r="K7" s="2" t="s">
        <v>1166</v>
      </c>
      <c r="L7" t="s">
        <v>1199</v>
      </c>
      <c r="M7" t="s">
        <v>3128</v>
      </c>
      <c r="N7" t="s">
        <v>3127</v>
      </c>
    </row>
    <row r="8" spans="1:14" ht="45" x14ac:dyDescent="0.25">
      <c r="D8" s="1" t="s">
        <v>24</v>
      </c>
      <c r="E8" s="1" t="s">
        <v>42</v>
      </c>
      <c r="F8" s="1" t="s">
        <v>1174</v>
      </c>
      <c r="G8" t="s">
        <v>6</v>
      </c>
      <c r="K8" s="2" t="s">
        <v>1167</v>
      </c>
      <c r="L8" t="s">
        <v>1200</v>
      </c>
      <c r="M8" t="s">
        <v>1201</v>
      </c>
      <c r="N8" t="s">
        <v>3128</v>
      </c>
    </row>
    <row r="9" spans="1:14" ht="30" x14ac:dyDescent="0.25">
      <c r="E9" s="1" t="s">
        <v>43</v>
      </c>
      <c r="F9" s="1" t="s">
        <v>1174</v>
      </c>
      <c r="G9" t="s">
        <v>7</v>
      </c>
      <c r="K9" s="2" t="s">
        <v>1168</v>
      </c>
      <c r="L9" t="s">
        <v>44</v>
      </c>
      <c r="N9" t="s">
        <v>1201</v>
      </c>
    </row>
    <row r="10" spans="1:14" ht="45" x14ac:dyDescent="0.25">
      <c r="D10"/>
      <c r="E10" s="1" t="s">
        <v>44</v>
      </c>
      <c r="F10" s="1" t="s">
        <v>1173</v>
      </c>
      <c r="G10" t="s">
        <v>8</v>
      </c>
      <c r="K10" s="2" t="s">
        <v>1169</v>
      </c>
      <c r="L10" t="s">
        <v>1201</v>
      </c>
    </row>
    <row r="11" spans="1:14" x14ac:dyDescent="0.25">
      <c r="D11"/>
      <c r="E11" s="1" t="s">
        <v>45</v>
      </c>
      <c r="F11" s="1" t="s">
        <v>1173</v>
      </c>
      <c r="G11" t="s">
        <v>9</v>
      </c>
    </row>
    <row r="12" spans="1:14" x14ac:dyDescent="0.25">
      <c r="D12"/>
      <c r="E12" s="1" t="s">
        <v>46</v>
      </c>
      <c r="F12" s="1" t="s">
        <v>1173</v>
      </c>
      <c r="G12" t="s">
        <v>10</v>
      </c>
    </row>
    <row r="13" spans="1:14" x14ac:dyDescent="0.25">
      <c r="D13"/>
      <c r="E13" s="1" t="s">
        <v>49</v>
      </c>
      <c r="F13" s="1" t="s">
        <v>1173</v>
      </c>
      <c r="G13" t="s">
        <v>11</v>
      </c>
    </row>
    <row r="14" spans="1:14" x14ac:dyDescent="0.25">
      <c r="D14"/>
      <c r="E14"/>
      <c r="F14"/>
    </row>
    <row r="15" spans="1:14" x14ac:dyDescent="0.25">
      <c r="D15"/>
      <c r="E15"/>
      <c r="F15"/>
    </row>
    <row r="16" spans="1:14" x14ac:dyDescent="0.25">
      <c r="D16"/>
      <c r="E16"/>
      <c r="F16"/>
    </row>
    <row r="17" spans="4:6" x14ac:dyDescent="0.25">
      <c r="D17"/>
      <c r="E17"/>
      <c r="F17"/>
    </row>
    <row r="18" spans="4:6" x14ac:dyDescent="0.25">
      <c r="D18"/>
      <c r="E18"/>
      <c r="F18"/>
    </row>
    <row r="19" spans="4:6" x14ac:dyDescent="0.25">
      <c r="D19"/>
      <c r="E19"/>
      <c r="F19"/>
    </row>
    <row r="20" spans="4:6" x14ac:dyDescent="0.25">
      <c r="D20"/>
      <c r="E20"/>
      <c r="F20"/>
    </row>
    <row r="21" spans="4:6" x14ac:dyDescent="0.25">
      <c r="D21"/>
      <c r="E21"/>
      <c r="F21"/>
    </row>
    <row r="22" spans="4:6" x14ac:dyDescent="0.25">
      <c r="D22"/>
      <c r="E22"/>
      <c r="F22"/>
    </row>
    <row r="23" spans="4:6" x14ac:dyDescent="0.25">
      <c r="D23"/>
      <c r="E23"/>
      <c r="F23"/>
    </row>
    <row r="24" spans="4:6" x14ac:dyDescent="0.25">
      <c r="D24"/>
      <c r="E24"/>
      <c r="F24"/>
    </row>
    <row r="25" spans="4:6" x14ac:dyDescent="0.25">
      <c r="D25"/>
      <c r="E25"/>
      <c r="F25"/>
    </row>
    <row r="26" spans="4:6" x14ac:dyDescent="0.25">
      <c r="D26"/>
      <c r="E26"/>
      <c r="F26"/>
    </row>
    <row r="27" spans="4:6" x14ac:dyDescent="0.25">
      <c r="D27"/>
      <c r="E27"/>
      <c r="F27"/>
    </row>
    <row r="28" spans="4:6" x14ac:dyDescent="0.25">
      <c r="D28"/>
      <c r="E28"/>
      <c r="F28"/>
    </row>
    <row r="29" spans="4:6" x14ac:dyDescent="0.25">
      <c r="D29"/>
      <c r="E29"/>
      <c r="F29"/>
    </row>
    <row r="30" spans="4:6" x14ac:dyDescent="0.25">
      <c r="D30"/>
      <c r="E30"/>
      <c r="F30"/>
    </row>
    <row r="31" spans="4:6" x14ac:dyDescent="0.25">
      <c r="D31"/>
      <c r="E31"/>
      <c r="F31"/>
    </row>
    <row r="32" spans="4:6" x14ac:dyDescent="0.25">
      <c r="D32"/>
      <c r="E32"/>
      <c r="F32"/>
    </row>
    <row r="33" spans="4:6" x14ac:dyDescent="0.25">
      <c r="D33"/>
      <c r="E33"/>
      <c r="F33"/>
    </row>
    <row r="34" spans="4:6" x14ac:dyDescent="0.25">
      <c r="D34"/>
      <c r="E34"/>
      <c r="F34"/>
    </row>
    <row r="35" spans="4:6" x14ac:dyDescent="0.25">
      <c r="D35"/>
      <c r="E35"/>
      <c r="F35"/>
    </row>
    <row r="36" spans="4:6" x14ac:dyDescent="0.25">
      <c r="D36"/>
      <c r="E36"/>
      <c r="F36"/>
    </row>
    <row r="37" spans="4:6" x14ac:dyDescent="0.25">
      <c r="D37"/>
      <c r="E37"/>
      <c r="F37"/>
    </row>
    <row r="38" spans="4:6" x14ac:dyDescent="0.25">
      <c r="D38"/>
      <c r="E38"/>
      <c r="F38"/>
    </row>
    <row r="39" spans="4:6" x14ac:dyDescent="0.25">
      <c r="D39"/>
      <c r="E39"/>
      <c r="F39"/>
    </row>
    <row r="40" spans="4:6" x14ac:dyDescent="0.25">
      <c r="D40"/>
      <c r="E40"/>
      <c r="F40"/>
    </row>
  </sheetData>
  <customSheetViews>
    <customSheetView guid="{679A3195-3DEA-4AC2-A535-82AAF5B552BC}" state="hidden" topLeftCell="D1">
      <selection activeCell="I9" sqref="I9"/>
      <pageMargins left="0.7" right="0.7" top="0.75" bottom="0.75" header="0.3" footer="0.3"/>
      <pageSetup orientation="portrait" horizontalDpi="4294967293" verticalDpi="4294967293" r:id="rId1"/>
    </customSheetView>
    <customSheetView guid="{7378B641-E8D1-4C14-8151-CF4CE159D121}" state="hidden" topLeftCell="D1">
      <selection activeCell="I9" sqref="I9"/>
      <pageMargins left="0.7" right="0.7" top="0.75" bottom="0.75" header="0.3" footer="0.3"/>
      <pageSetup orientation="portrait" horizontalDpi="4294967293" verticalDpi="4294967293" r:id="rId2"/>
    </customSheetView>
    <customSheetView guid="{6D63B10B-E1E6-452A-80EB-4B2C7D61CF66}" state="hidden" topLeftCell="D1">
      <selection activeCell="I9" sqref="I9"/>
      <pageMargins left="0.7" right="0.7" top="0.75" bottom="0.75" header="0.3" footer="0.3"/>
      <pageSetup orientation="portrait" horizontalDpi="4294967293" verticalDpi="4294967293" r:id="rId3"/>
    </customSheetView>
  </customSheetViews>
  <pageMargins left="0.7" right="0.7" top="0.75" bottom="0.75" header="0.3" footer="0.3"/>
  <pageSetup orientation="portrait" horizontalDpi="4294967293" verticalDpi="4294967293"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37"/>
  <sheetViews>
    <sheetView workbookViewId="0">
      <selection activeCell="A7" sqref="A7"/>
    </sheetView>
  </sheetViews>
  <sheetFormatPr defaultRowHeight="15" x14ac:dyDescent="0.25"/>
  <cols>
    <col min="1" max="8" width="16.7109375" customWidth="1"/>
  </cols>
  <sheetData>
    <row r="1" spans="1:9" x14ac:dyDescent="0.25">
      <c r="A1" s="701" t="s">
        <v>1895</v>
      </c>
      <c r="B1" s="701" t="s">
        <v>3344</v>
      </c>
      <c r="C1" s="701" t="s">
        <v>3090</v>
      </c>
      <c r="D1" s="701" t="s">
        <v>2221</v>
      </c>
      <c r="F1" s="86" t="s">
        <v>1895</v>
      </c>
      <c r="G1" s="86" t="s">
        <v>1904</v>
      </c>
      <c r="H1" s="86" t="s">
        <v>3318</v>
      </c>
      <c r="I1" s="86" t="s">
        <v>3196</v>
      </c>
    </row>
    <row r="2" spans="1:9" x14ac:dyDescent="0.25">
      <c r="F2" s="87" t="str">
        <f>A6</f>
        <v>PG&amp;E</v>
      </c>
      <c r="G2" t="str">
        <f>D3</f>
        <v>Advanced</v>
      </c>
      <c r="H2" s="112">
        <f>A9+A11</f>
        <v>936</v>
      </c>
      <c r="I2" s="161">
        <f>(A9*B9/100+A11*B11)/(A9+A11)</f>
        <v>0.31154198717948717</v>
      </c>
    </row>
    <row r="3" spans="1:9" x14ac:dyDescent="0.25">
      <c r="A3" s="703" t="s">
        <v>59</v>
      </c>
      <c r="B3" s="702">
        <v>0.26509433962264151</v>
      </c>
      <c r="C3" s="702">
        <v>106</v>
      </c>
      <c r="D3" s="703" t="s">
        <v>1422</v>
      </c>
      <c r="F3" s="87" t="str">
        <f>A4</f>
        <v>SCE</v>
      </c>
      <c r="G3" t="str">
        <f>D3</f>
        <v>Advanced</v>
      </c>
      <c r="H3" s="112">
        <f>C3</f>
        <v>106</v>
      </c>
      <c r="I3" s="161">
        <f>B3</f>
        <v>0.26509433962264151</v>
      </c>
    </row>
    <row r="4" spans="1:9" x14ac:dyDescent="0.25">
      <c r="A4" s="703" t="s">
        <v>59</v>
      </c>
      <c r="B4" s="702">
        <v>0.10000000000000002</v>
      </c>
      <c r="C4" s="702">
        <v>15</v>
      </c>
      <c r="D4" s="703" t="s">
        <v>1491</v>
      </c>
      <c r="F4" s="87" t="str">
        <f>A4</f>
        <v>SCE</v>
      </c>
      <c r="G4" t="str">
        <f>D4</f>
        <v>Basic</v>
      </c>
      <c r="H4" s="112">
        <f>C4</f>
        <v>15</v>
      </c>
      <c r="I4" s="161">
        <f>B4</f>
        <v>0.10000000000000002</v>
      </c>
    </row>
    <row r="5" spans="1:9" x14ac:dyDescent="0.25">
      <c r="A5" s="185" t="s">
        <v>1895</v>
      </c>
      <c r="B5" s="185" t="s">
        <v>1922</v>
      </c>
      <c r="C5" s="185" t="s">
        <v>1923</v>
      </c>
      <c r="F5" s="87"/>
      <c r="H5" s="90"/>
    </row>
    <row r="6" spans="1:9" x14ac:dyDescent="0.25">
      <c r="A6" s="186" t="s">
        <v>58</v>
      </c>
      <c r="B6" s="187">
        <v>300</v>
      </c>
      <c r="C6" s="187">
        <v>31.660966666666695</v>
      </c>
      <c r="F6" s="87"/>
      <c r="H6" s="90"/>
    </row>
    <row r="7" spans="1:9" x14ac:dyDescent="0.25">
      <c r="A7" s="96"/>
      <c r="B7" s="97"/>
      <c r="C7" s="97"/>
      <c r="F7" s="87"/>
      <c r="H7" s="90"/>
    </row>
    <row r="8" spans="1:9" x14ac:dyDescent="0.25">
      <c r="A8" s="701" t="s">
        <v>3339</v>
      </c>
      <c r="B8" s="701" t="s">
        <v>1923</v>
      </c>
      <c r="C8" s="701" t="s">
        <v>3340</v>
      </c>
      <c r="F8" s="87"/>
      <c r="H8" s="90"/>
    </row>
    <row r="9" spans="1:9" x14ac:dyDescent="0.25">
      <c r="A9" s="702">
        <v>467</v>
      </c>
      <c r="B9" s="702">
        <v>32.281220556745204</v>
      </c>
      <c r="C9" s="703" t="s">
        <v>1422</v>
      </c>
      <c r="F9" s="87"/>
      <c r="H9" s="90"/>
    </row>
    <row r="10" spans="1:9" x14ac:dyDescent="0.25">
      <c r="A10" s="702">
        <v>1</v>
      </c>
      <c r="B10" s="702">
        <v>16.25</v>
      </c>
      <c r="C10" s="703" t="s">
        <v>1491</v>
      </c>
      <c r="F10" s="87"/>
      <c r="H10" s="90"/>
    </row>
    <row r="11" spans="1:9" ht="30" x14ac:dyDescent="0.25">
      <c r="A11" s="702">
        <v>469</v>
      </c>
      <c r="B11" s="702">
        <v>0.30031982942430674</v>
      </c>
      <c r="C11" s="703" t="s">
        <v>3341</v>
      </c>
      <c r="F11" s="88"/>
      <c r="G11" s="92"/>
      <c r="H11" s="90"/>
    </row>
    <row r="12" spans="1:9" ht="30" x14ac:dyDescent="0.25">
      <c r="A12" s="702">
        <v>1</v>
      </c>
      <c r="B12" s="702">
        <v>0.15</v>
      </c>
      <c r="C12" s="703" t="s">
        <v>3342</v>
      </c>
      <c r="G12" s="93"/>
    </row>
    <row r="13" spans="1:9" x14ac:dyDescent="0.25">
      <c r="A13" s="95"/>
      <c r="B13" s="95"/>
      <c r="C13" s="95"/>
    </row>
    <row r="14" spans="1:9" x14ac:dyDescent="0.25">
      <c r="A14" s="96"/>
      <c r="B14" s="97"/>
      <c r="C14" s="97"/>
    </row>
    <row r="15" spans="1:9" x14ac:dyDescent="0.25">
      <c r="A15" s="96"/>
      <c r="B15" s="97"/>
      <c r="C15" s="97"/>
    </row>
    <row r="16" spans="1:9" x14ac:dyDescent="0.25">
      <c r="A16" s="96"/>
      <c r="B16" s="97"/>
      <c r="C16" s="97"/>
    </row>
    <row r="17" spans="1:3" x14ac:dyDescent="0.25">
      <c r="A17" s="96"/>
      <c r="B17" s="97"/>
      <c r="C17" s="97"/>
    </row>
    <row r="18" spans="1:3" x14ac:dyDescent="0.25">
      <c r="A18" s="96"/>
      <c r="B18" s="97"/>
      <c r="C18" s="97"/>
    </row>
    <row r="19" spans="1:3" x14ac:dyDescent="0.25">
      <c r="A19" s="96"/>
      <c r="B19" s="97"/>
      <c r="C19" s="97"/>
    </row>
    <row r="20" spans="1:3" x14ac:dyDescent="0.25">
      <c r="A20" s="95"/>
      <c r="B20" s="95"/>
      <c r="C20" s="95"/>
    </row>
    <row r="21" spans="1:3" x14ac:dyDescent="0.25">
      <c r="A21" s="97"/>
      <c r="B21" s="97"/>
      <c r="C21" s="97"/>
    </row>
    <row r="22" spans="1:3" x14ac:dyDescent="0.25">
      <c r="A22" s="97"/>
      <c r="B22" s="97"/>
      <c r="C22" s="97"/>
    </row>
    <row r="23" spans="1:3" x14ac:dyDescent="0.25">
      <c r="A23" s="97"/>
      <c r="B23" s="97"/>
      <c r="C23" s="97"/>
    </row>
    <row r="24" spans="1:3" x14ac:dyDescent="0.25">
      <c r="A24" s="97"/>
      <c r="B24" s="97"/>
      <c r="C24" s="97"/>
    </row>
    <row r="25" spans="1:3" x14ac:dyDescent="0.25">
      <c r="A25" s="97"/>
      <c r="B25" s="97"/>
      <c r="C25" s="97"/>
    </row>
    <row r="26" spans="1:3" x14ac:dyDescent="0.25">
      <c r="A26" s="95"/>
      <c r="B26" s="95"/>
      <c r="C26" s="95"/>
    </row>
    <row r="27" spans="1:3" x14ac:dyDescent="0.25">
      <c r="A27" s="96"/>
      <c r="B27" s="97"/>
      <c r="C27" s="97"/>
    </row>
    <row r="28" spans="1:3" x14ac:dyDescent="0.25">
      <c r="A28" s="96"/>
      <c r="B28" s="97"/>
      <c r="C28" s="97"/>
    </row>
    <row r="29" spans="1:3" x14ac:dyDescent="0.25">
      <c r="A29" s="96"/>
      <c r="B29" s="97"/>
      <c r="C29" s="97"/>
    </row>
    <row r="30" spans="1:3" x14ac:dyDescent="0.25">
      <c r="A30" s="96"/>
      <c r="B30" s="97"/>
      <c r="C30" s="97"/>
    </row>
    <row r="31" spans="1:3" x14ac:dyDescent="0.25">
      <c r="A31" s="95"/>
      <c r="B31" s="95"/>
      <c r="C31" s="95"/>
    </row>
    <row r="32" spans="1:3" x14ac:dyDescent="0.25">
      <c r="A32" s="97"/>
      <c r="B32" s="97"/>
      <c r="C32" s="97"/>
    </row>
    <row r="33" spans="1:3" x14ac:dyDescent="0.25">
      <c r="A33" s="97"/>
      <c r="B33" s="97"/>
      <c r="C33" s="97"/>
    </row>
    <row r="34" spans="1:3" x14ac:dyDescent="0.25">
      <c r="A34" s="97"/>
      <c r="B34" s="97"/>
      <c r="C34" s="97"/>
    </row>
    <row r="35" spans="1:3" x14ac:dyDescent="0.25">
      <c r="A35" s="95"/>
      <c r="B35" s="95"/>
      <c r="C35" s="95"/>
    </row>
    <row r="36" spans="1:3" x14ac:dyDescent="0.25">
      <c r="A36" s="98"/>
      <c r="B36" s="97"/>
      <c r="C36" s="97"/>
    </row>
    <row r="37" spans="1:3" x14ac:dyDescent="0.25">
      <c r="A37" s="88"/>
      <c r="B37" s="88"/>
      <c r="C37" s="88"/>
    </row>
  </sheetData>
  <customSheetViews>
    <customSheetView guid="{679A3195-3DEA-4AC2-A535-82AAF5B552BC}" state="hidden">
      <selection activeCell="A7" sqref="A7"/>
      <pageMargins left="0.7" right="0.7" top="0.75" bottom="0.75" header="0.3" footer="0.3"/>
    </customSheetView>
    <customSheetView guid="{7378B641-E8D1-4C14-8151-CF4CE159D121}">
      <selection activeCell="I5" sqref="I5"/>
      <pageMargins left="0.7" right="0.7" top="0.75" bottom="0.75" header="0.3" footer="0.3"/>
    </customSheetView>
    <customSheetView guid="{6D63B10B-E1E6-452A-80EB-4B2C7D61CF66}" state="hidden">
      <selection activeCell="A7" sqref="A7"/>
      <pageMargins left="0.7" right="0.7" top="0.75" bottom="0.75" header="0.3" footer="0.3"/>
    </customSheetView>
  </customSheetViews>
  <dataValidations disablePrompts="1" count="1">
    <dataValidation type="list" allowBlank="1" showInputMessage="1" showErrorMessage="1" sqref="A36">
      <formula1>MeasureNames</formula1>
    </dataValidation>
  </dataValidation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topLeftCell="C1" workbookViewId="0">
      <selection activeCell="C3" sqref="C3"/>
    </sheetView>
  </sheetViews>
  <sheetFormatPr defaultRowHeight="15" x14ac:dyDescent="0.25"/>
  <cols>
    <col min="1" max="1" width="16.42578125" style="696" hidden="1" customWidth="1"/>
    <col min="2" max="2" width="40.7109375" style="696" hidden="1" customWidth="1"/>
    <col min="3" max="3" width="19.5703125" style="696" customWidth="1"/>
    <col min="4" max="6" width="53.28515625" customWidth="1"/>
  </cols>
  <sheetData>
    <row r="1" spans="1:6" s="696" customFormat="1" x14ac:dyDescent="0.25">
      <c r="A1" s="697" t="s">
        <v>26</v>
      </c>
      <c r="B1" s="696" t="s">
        <v>3311</v>
      </c>
      <c r="C1" s="535" t="s">
        <v>3058</v>
      </c>
      <c r="D1" s="558" t="str">
        <f>B1</f>
        <v>Performance Gaps Observed in SCE Whole House Training</v>
      </c>
    </row>
    <row r="2" spans="1:6" s="696" customFormat="1" ht="15.75" customHeight="1" x14ac:dyDescent="0.25">
      <c r="A2" s="697" t="s">
        <v>20</v>
      </c>
      <c r="B2" s="696" t="s">
        <v>59</v>
      </c>
      <c r="C2" s="536" t="s">
        <v>3059</v>
      </c>
    </row>
    <row r="3" spans="1:6" s="696" customFormat="1" x14ac:dyDescent="0.25">
      <c r="A3" s="697" t="s">
        <v>1184</v>
      </c>
      <c r="B3" s="696" t="s">
        <v>3310</v>
      </c>
      <c r="C3" s="536" t="s">
        <v>1193</v>
      </c>
    </row>
    <row r="4" spans="1:6" x14ac:dyDescent="0.25">
      <c r="A4" s="697" t="s">
        <v>3136</v>
      </c>
      <c r="D4" s="687" t="s">
        <v>3261</v>
      </c>
      <c r="E4" s="687" t="s">
        <v>3262</v>
      </c>
      <c r="F4" s="687" t="s">
        <v>31</v>
      </c>
    </row>
    <row r="5" spans="1:6" ht="63.75" x14ac:dyDescent="0.25">
      <c r="D5" s="698" t="s">
        <v>3263</v>
      </c>
      <c r="E5" s="699" t="s">
        <v>3264</v>
      </c>
      <c r="F5" s="699" t="s">
        <v>3265</v>
      </c>
    </row>
    <row r="6" spans="1:6" ht="63.75" x14ac:dyDescent="0.25">
      <c r="D6" s="698" t="s">
        <v>3266</v>
      </c>
      <c r="E6" s="699" t="s">
        <v>3267</v>
      </c>
      <c r="F6" s="699" t="s">
        <v>3268</v>
      </c>
    </row>
    <row r="7" spans="1:6" ht="127.5" x14ac:dyDescent="0.25">
      <c r="D7" s="698" t="s">
        <v>3269</v>
      </c>
      <c r="E7" s="699" t="s">
        <v>3270</v>
      </c>
      <c r="F7" s="699" t="s">
        <v>3271</v>
      </c>
    </row>
    <row r="8" spans="1:6" ht="76.5" x14ac:dyDescent="0.25">
      <c r="D8" s="698" t="s">
        <v>3272</v>
      </c>
      <c r="E8" s="699" t="s">
        <v>3273</v>
      </c>
      <c r="F8" s="699" t="s">
        <v>3274</v>
      </c>
    </row>
    <row r="9" spans="1:6" ht="89.25" x14ac:dyDescent="0.25">
      <c r="D9" s="698" t="s">
        <v>3275</v>
      </c>
      <c r="E9" s="699" t="s">
        <v>3276</v>
      </c>
      <c r="F9" s="699" t="s">
        <v>3277</v>
      </c>
    </row>
    <row r="10" spans="1:6" ht="76.5" x14ac:dyDescent="0.25">
      <c r="D10" s="698" t="s">
        <v>3278</v>
      </c>
      <c r="E10" s="699" t="s">
        <v>3279</v>
      </c>
      <c r="F10" s="699" t="s">
        <v>3280</v>
      </c>
    </row>
    <row r="11" spans="1:6" ht="127.5" x14ac:dyDescent="0.25">
      <c r="D11" s="698" t="s">
        <v>3281</v>
      </c>
      <c r="E11" s="699" t="s">
        <v>3282</v>
      </c>
      <c r="F11" s="699" t="s">
        <v>3283</v>
      </c>
    </row>
    <row r="12" spans="1:6" ht="76.5" x14ac:dyDescent="0.25">
      <c r="D12" s="698" t="s">
        <v>3284</v>
      </c>
      <c r="E12" s="699" t="s">
        <v>3285</v>
      </c>
      <c r="F12" s="699" t="s">
        <v>3286</v>
      </c>
    </row>
    <row r="13" spans="1:6" ht="76.5" x14ac:dyDescent="0.25">
      <c r="D13" s="698" t="s">
        <v>3287</v>
      </c>
      <c r="E13" s="699" t="s">
        <v>3288</v>
      </c>
      <c r="F13" s="699" t="s">
        <v>3289</v>
      </c>
    </row>
    <row r="14" spans="1:6" ht="76.5" x14ac:dyDescent="0.25">
      <c r="D14" s="698" t="s">
        <v>3290</v>
      </c>
      <c r="E14" s="699" t="s">
        <v>3291</v>
      </c>
      <c r="F14" s="699" t="s">
        <v>3292</v>
      </c>
    </row>
    <row r="15" spans="1:6" ht="76.5" x14ac:dyDescent="0.25">
      <c r="D15" s="698" t="s">
        <v>3293</v>
      </c>
      <c r="E15" s="699" t="s">
        <v>3279</v>
      </c>
      <c r="F15" s="699" t="s">
        <v>3294</v>
      </c>
    </row>
    <row r="16" spans="1:6" ht="51" x14ac:dyDescent="0.25">
      <c r="D16" s="698" t="s">
        <v>3295</v>
      </c>
      <c r="E16" s="699" t="s">
        <v>3296</v>
      </c>
      <c r="F16" s="699" t="s">
        <v>3297</v>
      </c>
    </row>
    <row r="17" spans="4:6" ht="102" x14ac:dyDescent="0.25">
      <c r="D17" s="698" t="s">
        <v>3298</v>
      </c>
      <c r="E17" s="699" t="s">
        <v>3299</v>
      </c>
      <c r="F17" s="699" t="s">
        <v>3300</v>
      </c>
    </row>
    <row r="18" spans="4:6" ht="51" x14ac:dyDescent="0.25">
      <c r="D18" s="698" t="s">
        <v>3301</v>
      </c>
      <c r="E18" s="699" t="s">
        <v>3302</v>
      </c>
      <c r="F18" s="699" t="s">
        <v>3303</v>
      </c>
    </row>
    <row r="19" spans="4:6" ht="63.75" x14ac:dyDescent="0.25">
      <c r="D19" s="698" t="s">
        <v>3304</v>
      </c>
      <c r="E19" s="699" t="s">
        <v>3305</v>
      </c>
      <c r="F19" s="699" t="s">
        <v>3306</v>
      </c>
    </row>
    <row r="20" spans="4:6" ht="38.25" x14ac:dyDescent="0.25">
      <c r="D20" s="698" t="s">
        <v>3307</v>
      </c>
      <c r="E20" s="699" t="s">
        <v>3308</v>
      </c>
      <c r="F20" s="699" t="s">
        <v>3309</v>
      </c>
    </row>
  </sheetData>
  <customSheetViews>
    <customSheetView guid="{679A3195-3DEA-4AC2-A535-82AAF5B552BC}" hiddenColumns="1" topLeftCell="C1">
      <selection activeCell="C3" sqref="C3"/>
      <pageMargins left="0.7" right="0.7" top="0.75" bottom="0.75" header="0.3" footer="0.3"/>
      <pageSetup orientation="portrait" r:id="rId1"/>
    </customSheetView>
    <customSheetView guid="{7378B641-E8D1-4C14-8151-CF4CE159D121}">
      <selection activeCell="C3" sqref="C3"/>
      <pageMargins left="0.7" right="0.7" top="0.75" bottom="0.75" header="0.3" footer="0.3"/>
      <pageSetup orientation="portrait" r:id="rId2"/>
    </customSheetView>
    <customSheetView guid="{6D63B10B-E1E6-452A-80EB-4B2C7D61CF66}" hiddenColumns="1" topLeftCell="C1">
      <selection activeCell="C3" sqref="C3"/>
      <pageMargins left="0.7" right="0.7" top="0.75" bottom="0.75" header="0.3" footer="0.3"/>
      <pageSetup orientation="portrait" r:id="rId3"/>
    </customSheetView>
  </customSheetViews>
  <dataValidations count="1">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Q33"/>
  <sheetViews>
    <sheetView topLeftCell="C1" zoomScaleNormal="100" workbookViewId="0">
      <selection activeCell="C3" sqref="C3"/>
    </sheetView>
  </sheetViews>
  <sheetFormatPr defaultRowHeight="15" x14ac:dyDescent="0.25"/>
  <cols>
    <col min="1" max="1" width="14.42578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7" width="9.140625" style="3"/>
  </cols>
  <sheetData>
    <row r="1" spans="1:17" ht="30" x14ac:dyDescent="0.25">
      <c r="A1" s="3" t="s">
        <v>26</v>
      </c>
      <c r="B1" s="4" t="s">
        <v>3333</v>
      </c>
      <c r="C1" s="535" t="s">
        <v>3058</v>
      </c>
      <c r="D1" s="37" t="str">
        <f>B1</f>
        <v>Change in Savings Estimates Between Pre and Post Application</v>
      </c>
    </row>
    <row r="2" spans="1:17" x14ac:dyDescent="0.25">
      <c r="A2" s="3" t="s">
        <v>20</v>
      </c>
      <c r="B2" s="4" t="s">
        <v>60</v>
      </c>
      <c r="C2" s="536" t="s">
        <v>3059</v>
      </c>
    </row>
    <row r="3" spans="1:17" x14ac:dyDescent="0.25">
      <c r="A3" s="3" t="s">
        <v>1184</v>
      </c>
      <c r="B3" s="4" t="s">
        <v>1198</v>
      </c>
      <c r="C3" s="536" t="s">
        <v>1193</v>
      </c>
      <c r="D3" s="733"/>
      <c r="E3" s="733"/>
      <c r="F3" s="733"/>
      <c r="G3" s="733"/>
      <c r="H3" s="733"/>
      <c r="I3" s="733"/>
      <c r="J3" s="733"/>
      <c r="K3" s="733"/>
      <c r="L3" s="733"/>
      <c r="M3" s="733"/>
      <c r="N3" s="733"/>
      <c r="O3" s="733"/>
    </row>
    <row r="4" spans="1:17" x14ac:dyDescent="0.25">
      <c r="A4" s="3" t="s">
        <v>3136</v>
      </c>
      <c r="B4" s="4" t="s">
        <v>1917</v>
      </c>
      <c r="C4" s="4"/>
      <c r="D4" s="3" t="s">
        <v>61</v>
      </c>
      <c r="P4" s="730"/>
      <c r="Q4" s="48"/>
    </row>
    <row r="5" spans="1:17" x14ac:dyDescent="0.25">
      <c r="B5" s="4"/>
      <c r="C5" s="4"/>
      <c r="P5" s="730"/>
    </row>
    <row r="6" spans="1:17" x14ac:dyDescent="0.25">
      <c r="B6" s="73"/>
      <c r="C6" s="73"/>
      <c r="P6" s="730"/>
    </row>
    <row r="7" spans="1:17" x14ac:dyDescent="0.25">
      <c r="P7" s="730"/>
    </row>
    <row r="8" spans="1:17" x14ac:dyDescent="0.25">
      <c r="P8" s="730"/>
    </row>
    <row r="9" spans="1:17" x14ac:dyDescent="0.25">
      <c r="P9" s="730"/>
    </row>
    <row r="10" spans="1:17" x14ac:dyDescent="0.25">
      <c r="P10" s="730"/>
    </row>
    <row r="11" spans="1:17" x14ac:dyDescent="0.25">
      <c r="P11" s="730"/>
    </row>
    <row r="12" spans="1:17" x14ac:dyDescent="0.25">
      <c r="P12" s="730"/>
    </row>
    <row r="13" spans="1:17" x14ac:dyDescent="0.25">
      <c r="P13" s="730"/>
    </row>
    <row r="14" spans="1:17" x14ac:dyDescent="0.25">
      <c r="P14" s="730"/>
    </row>
    <row r="15" spans="1:17" x14ac:dyDescent="0.25">
      <c r="P15" s="730"/>
    </row>
    <row r="16" spans="1:17" x14ac:dyDescent="0.25">
      <c r="P16" s="730"/>
    </row>
    <row r="17" spans="16:16" x14ac:dyDescent="0.25">
      <c r="P17" s="730"/>
    </row>
    <row r="18" spans="16:16" x14ac:dyDescent="0.25">
      <c r="P18" s="730"/>
    </row>
    <row r="19" spans="16:16" x14ac:dyDescent="0.25">
      <c r="P19" s="730"/>
    </row>
    <row r="20" spans="16:16" x14ac:dyDescent="0.25">
      <c r="P20" s="730"/>
    </row>
    <row r="21" spans="16:16" x14ac:dyDescent="0.25">
      <c r="P21" s="730"/>
    </row>
    <row r="22" spans="16:16" x14ac:dyDescent="0.25">
      <c r="P22" s="730"/>
    </row>
    <row r="23" spans="16:16" x14ac:dyDescent="0.25">
      <c r="P23" s="730"/>
    </row>
    <row r="24" spans="16:16" x14ac:dyDescent="0.25">
      <c r="P24" s="730"/>
    </row>
    <row r="25" spans="16:16" x14ac:dyDescent="0.25">
      <c r="P25" s="730"/>
    </row>
    <row r="26" spans="16:16" x14ac:dyDescent="0.25">
      <c r="P26" s="730"/>
    </row>
    <row r="27" spans="16:16" x14ac:dyDescent="0.25">
      <c r="P27" s="730"/>
    </row>
    <row r="28" spans="16:16" x14ac:dyDescent="0.25">
      <c r="P28" s="730"/>
    </row>
    <row r="29" spans="16:16" x14ac:dyDescent="0.25">
      <c r="P29" s="730"/>
    </row>
    <row r="30" spans="16:16" x14ac:dyDescent="0.25">
      <c r="P30" s="730"/>
    </row>
    <row r="31" spans="16:16" x14ac:dyDescent="0.25">
      <c r="P31" s="730"/>
    </row>
    <row r="33" spans="4:15" ht="94.5" customHeight="1" x14ac:dyDescent="0.25">
      <c r="D33" s="731" t="s">
        <v>3160</v>
      </c>
      <c r="E33" s="731"/>
      <c r="F33" s="731"/>
      <c r="G33" s="731"/>
      <c r="H33" s="731"/>
      <c r="I33" s="731"/>
      <c r="J33" s="731"/>
      <c r="K33" s="731"/>
      <c r="L33" s="731"/>
      <c r="M33" s="731"/>
      <c r="N33" s="731"/>
      <c r="O33" s="731"/>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C3" sqref="C3"/>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mergeCells count="3">
    <mergeCell ref="D3:O3"/>
    <mergeCell ref="P4:P31"/>
    <mergeCell ref="D33:O33"/>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Q71"/>
  <sheetViews>
    <sheetView workbookViewId="0">
      <selection activeCell="A7" sqref="A7"/>
    </sheetView>
  </sheetViews>
  <sheetFormatPr defaultRowHeight="15" x14ac:dyDescent="0.25"/>
  <cols>
    <col min="1" max="1" width="15.85546875" style="3" customWidth="1"/>
    <col min="2" max="7" width="10.7109375" style="3" customWidth="1"/>
    <col min="8" max="8" width="9.140625" style="3"/>
    <col min="9" max="15" width="16.7109375" style="3" customWidth="1"/>
    <col min="16" max="16" width="18" style="3" customWidth="1"/>
    <col min="17" max="17" width="19" style="3" customWidth="1"/>
    <col min="18" max="16384" width="9.140625" style="3"/>
  </cols>
  <sheetData>
    <row r="1" spans="1:17" s="74" customFormat="1" x14ac:dyDescent="0.25">
      <c r="A1" s="74" t="s">
        <v>1378</v>
      </c>
      <c r="B1" s="74" t="s">
        <v>1360</v>
      </c>
      <c r="C1" s="74" t="s">
        <v>1375</v>
      </c>
      <c r="D1" s="74" t="s">
        <v>1361</v>
      </c>
      <c r="E1" s="74" t="s">
        <v>1362</v>
      </c>
      <c r="F1" s="74" t="s">
        <v>1376</v>
      </c>
      <c r="G1" s="74" t="s">
        <v>1371</v>
      </c>
      <c r="I1" s="77" t="s">
        <v>1374</v>
      </c>
      <c r="J1" s="78"/>
      <c r="K1" s="78"/>
      <c r="L1" s="78"/>
      <c r="M1" s="78"/>
      <c r="N1" s="78"/>
    </row>
    <row r="2" spans="1:17" s="37" customFormat="1" x14ac:dyDescent="0.25">
      <c r="A2" s="75"/>
      <c r="B2" s="74" t="str">
        <f>B1</f>
        <v>Median</v>
      </c>
      <c r="C2" s="74"/>
      <c r="D2" s="74"/>
      <c r="E2" s="74"/>
      <c r="F2" s="74"/>
      <c r="G2" s="74" t="str">
        <f>G1</f>
        <v>Mean</v>
      </c>
      <c r="I2" s="77" t="s">
        <v>1373</v>
      </c>
      <c r="J2" s="79"/>
      <c r="K2" s="79"/>
      <c r="L2" s="79"/>
      <c r="M2" s="79"/>
      <c r="N2" s="79"/>
    </row>
    <row r="3" spans="1:17" ht="60" x14ac:dyDescent="0.25">
      <c r="A3" s="74" t="s">
        <v>3228</v>
      </c>
      <c r="B3" s="51">
        <f>MEDIAN($O$5:$O$19)</f>
        <v>0</v>
      </c>
      <c r="C3" s="51">
        <f>QUARTILE($O$5:$O$19,1)</f>
        <v>-5.2777777777777826E-2</v>
      </c>
      <c r="D3" s="51">
        <f>MIN($O$5:$O$19)</f>
        <v>-1.2</v>
      </c>
      <c r="E3" s="51">
        <f>MAX($O$5:$O$19)</f>
        <v>0.54166666666666674</v>
      </c>
      <c r="F3" s="51">
        <f>QUARTILE($O$5:$O$19,3)</f>
        <v>0.23519736842105263</v>
      </c>
      <c r="G3" s="51">
        <f>AVERAGE($O$5:$O$19)</f>
        <v>2.1388593888121966E-2</v>
      </c>
      <c r="I3" s="4" t="str">
        <f>FileReviewW12!A1</f>
        <v>Trkg_IOU</v>
      </c>
      <c r="J3" s="4" t="str">
        <f>FileReviewW12!O1</f>
        <v>Trkg_UpgradeType</v>
      </c>
      <c r="K3" s="4" t="str">
        <f>FileReviewW12!CT1</f>
        <v>JRT_Pre_Epro_SavingsPercent</v>
      </c>
      <c r="L3" s="4" t="str">
        <f>FileReviewW12!DU1</f>
        <v>PreQC_DESKCL_TotalSavingsPercent</v>
      </c>
      <c r="M3" s="4" t="str">
        <f>FileReviewW12!DX1</f>
        <v>PostQC_RPT_TotalSavingsPercent</v>
      </c>
      <c r="N3" s="4" t="str">
        <f>FileReviewW12!AF1</f>
        <v>Trkg_FinalSavings_Percent</v>
      </c>
      <c r="O3" s="4" t="s">
        <v>1920</v>
      </c>
      <c r="P3" s="4" t="s">
        <v>1921</v>
      </c>
      <c r="Q3" s="4" t="str">
        <f>FileReviewW12!DP1</f>
        <v>PreQC_DESKCL_nModelingIssues</v>
      </c>
    </row>
    <row r="4" spans="1:17" x14ac:dyDescent="0.25">
      <c r="A4" s="74" t="s">
        <v>3229</v>
      </c>
      <c r="B4" s="51">
        <f>MEDIAN($P$4:$P$19)</f>
        <v>0.10405405405405407</v>
      </c>
      <c r="C4" s="51">
        <f>QUARTILE($P$4:$P$19,1)</f>
        <v>-0.13653846153846144</v>
      </c>
      <c r="D4" s="51">
        <f>MIN($P$4:$P$19)</f>
        <v>-0.4166666666666668</v>
      </c>
      <c r="E4" s="51">
        <f>MAX($P$4:$P$19)</f>
        <v>0.52941176470588236</v>
      </c>
      <c r="F4" s="51">
        <f>QUARTILE($P$4:$P$19,3)</f>
        <v>0.27302631578947367</v>
      </c>
      <c r="G4" s="51">
        <f>AVERAGE($P$4:$P$19)</f>
        <v>7.1834519325322227E-2</v>
      </c>
      <c r="I4" s="3" t="str">
        <f>FileReviewW12!A2</f>
        <v>SCE</v>
      </c>
      <c r="J4" s="3" t="str">
        <f>FileReviewW12!O2</f>
        <v>Advanced</v>
      </c>
      <c r="K4" s="254">
        <f>FileReviewW12!CT2</f>
        <v>0.37</v>
      </c>
      <c r="L4" s="254">
        <f>FileReviewW12!DU2</f>
        <v>0</v>
      </c>
      <c r="M4" s="254">
        <f>FileReviewW12!DX2</f>
        <v>0.33</v>
      </c>
      <c r="N4" s="254">
        <f>FileReviewW12!AF2</f>
        <v>0.32</v>
      </c>
      <c r="O4" s="254"/>
      <c r="P4" s="254">
        <f>(K4-M4)/K4</f>
        <v>0.10810810810810806</v>
      </c>
      <c r="Q4" s="3">
        <f>FileReviewW12!DP3</f>
        <v>4</v>
      </c>
    </row>
    <row r="5" spans="1:17" x14ac:dyDescent="0.25">
      <c r="A5" s="74" t="s">
        <v>3230</v>
      </c>
      <c r="B5" s="51">
        <f>MEDIAN($P$20:$P$62)</f>
        <v>-7.6045627376425916E-3</v>
      </c>
      <c r="C5" s="51">
        <f>QUARTILE($P$20:$P$62,1)</f>
        <v>-6.0091665252079388E-2</v>
      </c>
      <c r="D5" s="51">
        <f>MIN($P$20:$P$62)</f>
        <v>-0.22191780821917814</v>
      </c>
      <c r="E5" s="51">
        <f>MAX($P$20:$P$62)</f>
        <v>0.3185185185185187</v>
      </c>
      <c r="F5" s="51">
        <f>QUARTILE($P$20:$P$62,3)</f>
        <v>5.2650181674230578E-2</v>
      </c>
      <c r="G5" s="51">
        <f>AVERAGE($P$20:$P$62)</f>
        <v>3.2053382363376021E-3</v>
      </c>
      <c r="I5" s="3" t="str">
        <f>FileReviewW12!A3</f>
        <v>SCE</v>
      </c>
      <c r="J5" s="3" t="str">
        <f>FileReviewW12!O3</f>
        <v>Advanced</v>
      </c>
      <c r="K5" s="254">
        <f>FileReviewW12!CT3</f>
        <v>0.12</v>
      </c>
      <c r="L5" s="254">
        <f>FileReviewW12!DU3</f>
        <v>0.12</v>
      </c>
      <c r="M5" s="254">
        <f>FileReviewW12!DX3</f>
        <v>0.17</v>
      </c>
      <c r="N5" s="254">
        <f>FileReviewW12!AF3</f>
        <v>0.17</v>
      </c>
      <c r="O5" s="254">
        <f>(K5-L5)/K5</f>
        <v>0</v>
      </c>
      <c r="P5" s="254">
        <f t="shared" ref="P5:P59" si="0">(K5-M5)/K5</f>
        <v>-0.4166666666666668</v>
      </c>
      <c r="Q5" s="3">
        <f>FileReviewW12!DP4</f>
        <v>6</v>
      </c>
    </row>
    <row r="6" spans="1:17" x14ac:dyDescent="0.25">
      <c r="I6" s="3" t="str">
        <f>FileReviewW12!A4</f>
        <v>SCE</v>
      </c>
      <c r="J6" s="3" t="str">
        <f>FileReviewW12!O4</f>
        <v>Advanced</v>
      </c>
      <c r="K6" s="254">
        <f>FileReviewW12!CT4</f>
        <v>0.32</v>
      </c>
      <c r="L6" s="254">
        <f>FileReviewW12!DU4</f>
        <v>0.35</v>
      </c>
      <c r="M6" s="254">
        <f>FileReviewW12!DX4</f>
        <v>0.35</v>
      </c>
      <c r="N6" s="254">
        <f>FileReviewW12!AF4</f>
        <v>0.35</v>
      </c>
      <c r="O6" s="254">
        <f t="shared" ref="O6:O19" si="1">(K6-L6)/K6</f>
        <v>-9.3749999999999903E-2</v>
      </c>
      <c r="P6" s="254">
        <f t="shared" si="0"/>
        <v>-9.3749999999999903E-2</v>
      </c>
      <c r="Q6" s="3">
        <f>FileReviewW12!DP5</f>
        <v>11</v>
      </c>
    </row>
    <row r="7" spans="1:17" x14ac:dyDescent="0.25">
      <c r="B7" s="732" t="s">
        <v>1372</v>
      </c>
      <c r="C7" s="732"/>
      <c r="D7" s="732"/>
      <c r="E7" s="732"/>
      <c r="F7" s="732"/>
      <c r="G7" s="732"/>
      <c r="I7" s="3" t="str">
        <f>FileReviewW12!A5</f>
        <v>SCE</v>
      </c>
      <c r="J7" s="3" t="str">
        <f>FileReviewW12!O5</f>
        <v>Advanced</v>
      </c>
      <c r="K7" s="254">
        <f>FileReviewW12!CT5</f>
        <v>0.38</v>
      </c>
      <c r="L7" s="254">
        <f>FileReviewW12!DU5</f>
        <v>0.32</v>
      </c>
      <c r="M7" s="254">
        <f>FileReviewW12!DX5</f>
        <v>0.25</v>
      </c>
      <c r="N7" s="254">
        <f>FileReviewW12!AF5</f>
        <v>0.25</v>
      </c>
      <c r="O7" s="254">
        <f t="shared" si="1"/>
        <v>0.15789473684210525</v>
      </c>
      <c r="P7" s="254">
        <f t="shared" si="0"/>
        <v>0.34210526315789475</v>
      </c>
      <c r="Q7" s="3">
        <f>FileReviewW12!DP6</f>
        <v>10</v>
      </c>
    </row>
    <row r="8" spans="1:17" x14ac:dyDescent="0.25">
      <c r="B8" s="732" t="s">
        <v>1377</v>
      </c>
      <c r="C8" s="732"/>
      <c r="D8" s="732"/>
      <c r="E8" s="732"/>
      <c r="F8" s="732"/>
      <c r="G8" s="732"/>
      <c r="I8" s="3" t="str">
        <f>FileReviewW12!A6</f>
        <v>SCE</v>
      </c>
      <c r="J8" s="3" t="str">
        <f>FileReviewW12!O6</f>
        <v>Advanced</v>
      </c>
      <c r="K8" s="254">
        <f>FileReviewW12!CT6</f>
        <v>0.12</v>
      </c>
      <c r="L8" s="254">
        <f>FileReviewW12!DU6</f>
        <v>0.12</v>
      </c>
      <c r="M8" s="254">
        <f>FileReviewW12!DX6</f>
        <v>0.16</v>
      </c>
      <c r="N8" s="254">
        <f>FileReviewW12!AF6</f>
        <v>0.16</v>
      </c>
      <c r="O8" s="254">
        <f t="shared" si="1"/>
        <v>0</v>
      </c>
      <c r="P8" s="254">
        <f t="shared" si="0"/>
        <v>-0.33333333333333343</v>
      </c>
      <c r="Q8" s="3">
        <f>FileReviewW12!DP8</f>
        <v>5</v>
      </c>
    </row>
    <row r="9" spans="1:17" x14ac:dyDescent="0.25">
      <c r="I9" s="3" t="str">
        <f>FileReviewW12!A8</f>
        <v>SCE</v>
      </c>
      <c r="J9" s="3" t="str">
        <f>FileReviewW12!O8</f>
        <v>Advanced</v>
      </c>
      <c r="K9" s="254">
        <f>FileReviewW12!CT8</f>
        <v>0.26</v>
      </c>
      <c r="L9" s="254">
        <f>FileReviewW12!DU8</f>
        <v>0.28999999999999998</v>
      </c>
      <c r="M9" s="254">
        <f>FileReviewW12!DX8</f>
        <v>0.28999999999999998</v>
      </c>
      <c r="N9" s="254">
        <f>FileReviewW12!AF8</f>
        <v>0.28999999999999998</v>
      </c>
      <c r="O9" s="254">
        <f t="shared" si="1"/>
        <v>-0.11538461538461527</v>
      </c>
      <c r="P9" s="254">
        <f t="shared" si="0"/>
        <v>-0.11538461538461527</v>
      </c>
      <c r="Q9" s="3">
        <f>FileReviewW12!DP9</f>
        <v>5</v>
      </c>
    </row>
    <row r="10" spans="1:17" x14ac:dyDescent="0.25">
      <c r="I10" s="3" t="str">
        <f>FileReviewW12!A9</f>
        <v>SCE</v>
      </c>
      <c r="J10" s="3" t="str">
        <f>FileReviewW12!O9</f>
        <v>Advanced</v>
      </c>
      <c r="K10" s="254">
        <f>FileReviewW12!CT9</f>
        <v>0.2</v>
      </c>
      <c r="L10" s="254">
        <f>FileReviewW12!DU9</f>
        <v>0.44</v>
      </c>
      <c r="M10" s="254">
        <f>FileReviewW12!DX9</f>
        <v>0.18</v>
      </c>
      <c r="N10" s="254">
        <f>FileReviewW12!AF9</f>
        <v>0.18</v>
      </c>
      <c r="O10" s="254">
        <f t="shared" si="1"/>
        <v>-1.2</v>
      </c>
      <c r="P10" s="254">
        <f t="shared" si="0"/>
        <v>0.10000000000000009</v>
      </c>
      <c r="Q10" s="3">
        <f>FileReviewW12!DP10</f>
        <v>21</v>
      </c>
    </row>
    <row r="11" spans="1:17" x14ac:dyDescent="0.25">
      <c r="I11" s="3" t="str">
        <f>FileReviewW12!A10</f>
        <v>SCE</v>
      </c>
      <c r="J11" s="3" t="str">
        <f>FileReviewW12!O10</f>
        <v>Advanced</v>
      </c>
      <c r="K11" s="254">
        <f>FileReviewW12!CT10</f>
        <v>0.2</v>
      </c>
      <c r="L11" s="254">
        <f>FileReviewW12!DU10</f>
        <v>0.13</v>
      </c>
      <c r="M11" s="254">
        <f>FileReviewW12!EH10</f>
        <v>0.1</v>
      </c>
      <c r="N11" s="254">
        <f>FileReviewW12!AF10</f>
        <v>0.1</v>
      </c>
      <c r="O11" s="254">
        <f t="shared" si="1"/>
        <v>0.35000000000000003</v>
      </c>
      <c r="P11" s="254">
        <f t="shared" si="0"/>
        <v>0.5</v>
      </c>
      <c r="Q11" s="3">
        <f>FileReviewW12!DP13</f>
        <v>8</v>
      </c>
    </row>
    <row r="12" spans="1:17" ht="35.1" customHeight="1" x14ac:dyDescent="0.25">
      <c r="I12" s="3" t="str">
        <f>FileReviewW12!A13</f>
        <v>SCE</v>
      </c>
      <c r="J12" s="3" t="str">
        <f>FileReviewW12!O13</f>
        <v>Advanced</v>
      </c>
      <c r="K12" s="254">
        <f>FileReviewW12!CT13</f>
        <v>0.24</v>
      </c>
      <c r="L12" s="254">
        <f>FileReviewW12!DU13</f>
        <v>0.11</v>
      </c>
      <c r="M12" s="254">
        <f>FileReviewW12!DX13</f>
        <v>0.18</v>
      </c>
      <c r="N12" s="254">
        <f>FileReviewW12!AF13</f>
        <v>0.18</v>
      </c>
      <c r="O12" s="254">
        <f t="shared" si="1"/>
        <v>0.54166666666666674</v>
      </c>
      <c r="P12" s="254">
        <f t="shared" si="0"/>
        <v>0.25</v>
      </c>
      <c r="Q12" s="3">
        <f>FileReviewW12!DP14</f>
        <v>7</v>
      </c>
    </row>
    <row r="13" spans="1:17" ht="35.1" customHeight="1" x14ac:dyDescent="0.25">
      <c r="I13" s="3" t="str">
        <f>FileReviewW12!A14</f>
        <v>SCE</v>
      </c>
      <c r="J13" s="3" t="str">
        <f>FileReviewW12!O14</f>
        <v>Advanced</v>
      </c>
      <c r="K13" s="254">
        <f>FileReviewW12!CT14</f>
        <v>0.34</v>
      </c>
      <c r="L13" s="254">
        <f>FileReviewW12!DU14</f>
        <v>0.32</v>
      </c>
      <c r="M13" s="254">
        <f>FileReviewW12!DX14</f>
        <v>0.16</v>
      </c>
      <c r="N13" s="254">
        <f>FileReviewW12!AF14</f>
        <v>0.16</v>
      </c>
      <c r="O13" s="254">
        <f t="shared" si="1"/>
        <v>5.8823529411764754E-2</v>
      </c>
      <c r="P13" s="254">
        <f t="shared" si="0"/>
        <v>0.52941176470588236</v>
      </c>
      <c r="Q13" s="3">
        <f>FileReviewW12!DP15</f>
        <v>7</v>
      </c>
    </row>
    <row r="14" spans="1:17" x14ac:dyDescent="0.25">
      <c r="I14" s="3" t="str">
        <f>FileReviewW12!A15</f>
        <v>SCE</v>
      </c>
      <c r="J14" s="3" t="str">
        <f>FileReviewW12!O15</f>
        <v>Advanced</v>
      </c>
      <c r="K14" s="254">
        <f>FileReviewW12!CT15</f>
        <v>0.36</v>
      </c>
      <c r="L14" s="254">
        <f>FileReviewW12!DU15</f>
        <v>0.39</v>
      </c>
      <c r="M14" s="254">
        <f>FileReviewW12!DX15</f>
        <v>0.45</v>
      </c>
      <c r="N14" s="254">
        <f>FileReviewW12!AF15</f>
        <v>0.45</v>
      </c>
      <c r="O14" s="254">
        <f t="shared" si="1"/>
        <v>-8.3333333333333412E-2</v>
      </c>
      <c r="P14" s="254">
        <f t="shared" si="0"/>
        <v>-0.25000000000000006</v>
      </c>
      <c r="Q14" s="3">
        <f>FileReviewW12!DP16</f>
        <v>14</v>
      </c>
    </row>
    <row r="15" spans="1:17" x14ac:dyDescent="0.25">
      <c r="I15" s="3" t="str">
        <f>FileReviewW12!A16</f>
        <v>SCE</v>
      </c>
      <c r="J15" s="3" t="str">
        <f>FileReviewW12!O16</f>
        <v>Advanced</v>
      </c>
      <c r="K15" s="254">
        <f>FileReviewW12!CT16</f>
        <v>0.24</v>
      </c>
      <c r="L15" s="254">
        <f>FileReviewW12!DU16</f>
        <v>0.24</v>
      </c>
      <c r="M15" s="254">
        <f>FileReviewW12!DX16</f>
        <v>0.25</v>
      </c>
      <c r="N15" s="254">
        <f>FileReviewW12!AF16</f>
        <v>0.25</v>
      </c>
      <c r="O15" s="254">
        <f t="shared" si="1"/>
        <v>0</v>
      </c>
      <c r="P15" s="254">
        <f t="shared" si="0"/>
        <v>-4.1666666666666706E-2</v>
      </c>
      <c r="Q15" s="3">
        <f>FileReviewW12!DP17</f>
        <v>9</v>
      </c>
    </row>
    <row r="16" spans="1:17" x14ac:dyDescent="0.25">
      <c r="I16" s="3" t="str">
        <f>FileReviewW12!A17</f>
        <v>SCE</v>
      </c>
      <c r="J16" s="3" t="str">
        <f>FileReviewW12!O17</f>
        <v>Advanced</v>
      </c>
      <c r="K16" s="254">
        <f>FileReviewW12!CT17</f>
        <v>0.45</v>
      </c>
      <c r="L16" s="254">
        <f>FileReviewW12!DU17</f>
        <v>0.46</v>
      </c>
      <c r="M16" s="254">
        <f>FileReviewW12!DX17</f>
        <v>0.39</v>
      </c>
      <c r="N16" s="254">
        <f>FileReviewW12!AF17</f>
        <v>0.4</v>
      </c>
      <c r="O16" s="254">
        <f t="shared" si="1"/>
        <v>-2.222222222222224E-2</v>
      </c>
      <c r="P16" s="254">
        <f t="shared" si="0"/>
        <v>0.13333333333333333</v>
      </c>
      <c r="Q16" s="3">
        <f>FileReviewW12!DP20</f>
        <v>8</v>
      </c>
    </row>
    <row r="17" spans="9:17" x14ac:dyDescent="0.25">
      <c r="I17" s="3" t="str">
        <f>FileReviewW12!A20</f>
        <v>SCE</v>
      </c>
      <c r="J17" s="3" t="str">
        <f>FileReviewW12!O20</f>
        <v>Advanced</v>
      </c>
      <c r="K17" s="254">
        <f>FileReviewW12!CT20</f>
        <v>0.3</v>
      </c>
      <c r="L17" s="254">
        <f>FileReviewW12!DU20</f>
        <v>0.3</v>
      </c>
      <c r="M17" s="254">
        <f>FileReviewW12!DX20</f>
        <v>0.36</v>
      </c>
      <c r="N17" s="254">
        <f>FileReviewW12!AF20</f>
        <v>0.36</v>
      </c>
      <c r="O17" s="254">
        <f t="shared" si="1"/>
        <v>0</v>
      </c>
      <c r="P17" s="254">
        <f t="shared" si="0"/>
        <v>-0.2</v>
      </c>
      <c r="Q17" s="3">
        <f>FileReviewW12!DP22</f>
        <v>19</v>
      </c>
    </row>
    <row r="18" spans="9:17" x14ac:dyDescent="0.25">
      <c r="I18" s="3" t="str">
        <f>FileReviewW12!A22</f>
        <v>SCE</v>
      </c>
      <c r="J18" s="3" t="str">
        <f>FileReviewW12!O22</f>
        <v>Advanced</v>
      </c>
      <c r="K18" s="254">
        <f>FileReviewW12!CT22</f>
        <v>0.16</v>
      </c>
      <c r="L18" s="254">
        <f>FileReviewW12!DU22</f>
        <v>0.11</v>
      </c>
      <c r="M18" s="254">
        <f>FileReviewW12!DX22</f>
        <v>0.14000000000000001</v>
      </c>
      <c r="N18" s="254">
        <f>FileReviewW12!AF22</f>
        <v>0.14000000000000001</v>
      </c>
      <c r="O18" s="254">
        <f t="shared" si="1"/>
        <v>0.3125</v>
      </c>
      <c r="P18" s="254">
        <f t="shared" si="0"/>
        <v>0.12499999999999993</v>
      </c>
      <c r="Q18" s="3">
        <f>FileReviewW12!DP23</f>
        <v>20</v>
      </c>
    </row>
    <row r="19" spans="9:17" x14ac:dyDescent="0.25">
      <c r="I19" s="3" t="str">
        <f>FileReviewW12!A23</f>
        <v>SCE</v>
      </c>
      <c r="J19" s="3" t="str">
        <f>FileReviewW12!O23</f>
        <v>Advanced</v>
      </c>
      <c r="K19" s="254">
        <f>FileReviewW12!CT23</f>
        <v>0.41</v>
      </c>
      <c r="L19" s="254">
        <f>FileReviewW12!DU23</f>
        <v>0.24</v>
      </c>
      <c r="M19" s="254">
        <f>FileReviewW12!DX23</f>
        <v>0.2</v>
      </c>
      <c r="N19" s="254">
        <f>FileReviewW12!AF23</f>
        <v>0.2</v>
      </c>
      <c r="O19" s="254">
        <f t="shared" si="1"/>
        <v>0.41463414634146339</v>
      </c>
      <c r="P19" s="254">
        <f t="shared" si="0"/>
        <v>0.51219512195121941</v>
      </c>
    </row>
    <row r="20" spans="9:17" x14ac:dyDescent="0.25">
      <c r="I20" s="3" t="str">
        <f>FileReviewW12!A24</f>
        <v>PG&amp;E</v>
      </c>
      <c r="J20" s="3" t="str">
        <f>FileReviewW12!O24</f>
        <v>Advanced</v>
      </c>
      <c r="K20" s="254">
        <f>FileReviewW12!AS24</f>
        <v>0.22700000000000001</v>
      </c>
      <c r="L20" s="254"/>
      <c r="M20" s="254">
        <f>FileReviewW12!CC24</f>
        <v>0.22700000000000001</v>
      </c>
      <c r="N20" s="254">
        <f>FileReviewW12!EP24</f>
        <v>22.7</v>
      </c>
      <c r="O20" s="254"/>
      <c r="P20" s="254">
        <f t="shared" si="0"/>
        <v>0</v>
      </c>
      <c r="Q20" s="3">
        <f>FileReviewW12!DL24</f>
        <v>6</v>
      </c>
    </row>
    <row r="21" spans="9:17" x14ac:dyDescent="0.25">
      <c r="I21" s="3" t="str">
        <f>FileReviewW12!A25</f>
        <v>PG&amp;E</v>
      </c>
      <c r="J21" s="3" t="str">
        <f>FileReviewW12!O25</f>
        <v>Advanced</v>
      </c>
      <c r="K21" s="254">
        <f>FileReviewW12!AS25</f>
        <v>0.27</v>
      </c>
      <c r="L21" s="254"/>
      <c r="M21" s="254">
        <f>FileReviewW12!CC25</f>
        <v>0.18399999999999997</v>
      </c>
      <c r="N21" s="254">
        <f>FileReviewW12!EP25</f>
        <v>27.88</v>
      </c>
      <c r="O21" s="254"/>
      <c r="P21" s="254">
        <f t="shared" si="0"/>
        <v>0.3185185185185187</v>
      </c>
      <c r="Q21" s="3">
        <f>FileReviewW12!DL25</f>
        <v>0</v>
      </c>
    </row>
    <row r="22" spans="9:17" x14ac:dyDescent="0.25">
      <c r="I22" s="3" t="str">
        <f>FileReviewW12!A26</f>
        <v>PG&amp;E</v>
      </c>
      <c r="J22" s="3" t="str">
        <f>FileReviewW12!O26</f>
        <v>Advanced</v>
      </c>
      <c r="K22" s="254">
        <f>FileReviewW12!AS26</f>
        <v>0.35899999999999999</v>
      </c>
      <c r="L22" s="254"/>
      <c r="M22" s="254">
        <f>FileReviewW12!CC26</f>
        <v>0.372</v>
      </c>
      <c r="N22" s="254">
        <f>FileReviewW12!EP26</f>
        <v>36.590000000000003</v>
      </c>
      <c r="O22" s="254"/>
      <c r="P22" s="254">
        <f t="shared" si="0"/>
        <v>-3.621169916434544E-2</v>
      </c>
      <c r="Q22" s="3">
        <f>FileReviewW12!DL26</f>
        <v>0</v>
      </c>
    </row>
    <row r="23" spans="9:17" x14ac:dyDescent="0.25">
      <c r="I23" s="3" t="str">
        <f>FileReviewW12!A27</f>
        <v>PG&amp;E</v>
      </c>
      <c r="J23" s="3" t="str">
        <f>FileReviewW12!O27</f>
        <v>Advanced</v>
      </c>
      <c r="K23" s="254">
        <f>FileReviewW12!AS27</f>
        <v>0.40699999999999997</v>
      </c>
      <c r="L23" s="254"/>
      <c r="M23" s="254">
        <f>FileReviewW12!CC27</f>
        <v>0.41799999999999998</v>
      </c>
      <c r="N23" s="254">
        <f>FileReviewW12!EP27</f>
        <v>41.82</v>
      </c>
      <c r="O23" s="254"/>
      <c r="P23" s="254">
        <f t="shared" si="0"/>
        <v>-2.7027027027027053E-2</v>
      </c>
      <c r="Q23" s="3">
        <f>FileReviewW12!DL27</f>
        <v>0</v>
      </c>
    </row>
    <row r="24" spans="9:17" x14ac:dyDescent="0.25">
      <c r="I24" s="3" t="str">
        <f>FileReviewW12!A28</f>
        <v>PG&amp;E</v>
      </c>
      <c r="J24" s="3" t="str">
        <f>FileReviewW12!O28</f>
        <v>Advanced</v>
      </c>
      <c r="K24" s="254">
        <f>FileReviewW12!AS28</f>
        <v>0.499</v>
      </c>
      <c r="L24" s="254"/>
      <c r="M24" s="254">
        <f>FileReviewW12!CC28</f>
        <v>0.53600000000000003</v>
      </c>
      <c r="N24" s="254">
        <f>FileReviewW12!EP28</f>
        <v>53.59</v>
      </c>
      <c r="O24" s="254"/>
      <c r="P24" s="254">
        <f t="shared" si="0"/>
        <v>-7.4148296593186433E-2</v>
      </c>
      <c r="Q24" s="3">
        <f>FileReviewW12!DL28</f>
        <v>0</v>
      </c>
    </row>
    <row r="25" spans="9:17" x14ac:dyDescent="0.25">
      <c r="I25" s="3" t="str">
        <f>FileReviewW12!A29</f>
        <v>PG&amp;E</v>
      </c>
      <c r="J25" s="3" t="str">
        <f>FileReviewW12!O29</f>
        <v>Advanced</v>
      </c>
      <c r="K25" s="254">
        <f>FileReviewW12!AS29</f>
        <v>0.27100000000000002</v>
      </c>
      <c r="L25" s="254"/>
      <c r="M25" s="254">
        <f>FileReviewW12!CC29</f>
        <v>0.25700000000000001</v>
      </c>
      <c r="N25" s="254">
        <f>FileReviewW12!EP29</f>
        <v>25.69</v>
      </c>
      <c r="O25" s="254"/>
      <c r="P25" s="254">
        <f t="shared" si="0"/>
        <v>5.1660516605166094E-2</v>
      </c>
      <c r="Q25" s="3">
        <f>FileReviewW12!DL29</f>
        <v>0</v>
      </c>
    </row>
    <row r="26" spans="9:17" x14ac:dyDescent="0.25">
      <c r="I26" s="3" t="str">
        <f>FileReviewW12!A30</f>
        <v>PG&amp;E</v>
      </c>
      <c r="J26" s="3" t="str">
        <f>FileReviewW12!O30</f>
        <v>Advanced</v>
      </c>
      <c r="K26" s="254">
        <f>FileReviewW12!AS30</f>
        <v>0.25600000000000001</v>
      </c>
      <c r="L26" s="254"/>
      <c r="M26" s="254">
        <f>FileReviewW12!CC30</f>
        <v>0.26700000000000002</v>
      </c>
      <c r="N26" s="254">
        <f>FileReviewW12!EP30</f>
        <v>26.67</v>
      </c>
      <c r="O26" s="254"/>
      <c r="P26" s="254">
        <f t="shared" si="0"/>
        <v>-4.2968750000000035E-2</v>
      </c>
      <c r="Q26" s="3">
        <f>FileReviewW12!DL30</f>
        <v>0</v>
      </c>
    </row>
    <row r="27" spans="9:17" x14ac:dyDescent="0.25">
      <c r="I27" s="3" t="str">
        <f>FileReviewW12!A32</f>
        <v>PG&amp;E</v>
      </c>
      <c r="J27" s="3" t="str">
        <f>FileReviewW12!O32</f>
        <v>Advanced</v>
      </c>
      <c r="K27" s="254">
        <f>FileReviewW12!AS32</f>
        <v>0.36499999999999999</v>
      </c>
      <c r="L27" s="254"/>
      <c r="M27" s="254">
        <f>FileReviewW12!CC32</f>
        <v>0.44600000000000001</v>
      </c>
      <c r="N27" s="254">
        <f>FileReviewW12!EP32</f>
        <v>44.63</v>
      </c>
      <c r="O27" s="254"/>
      <c r="P27" s="254">
        <f t="shared" si="0"/>
        <v>-0.22191780821917814</v>
      </c>
      <c r="Q27" s="3">
        <f>FileReviewW12!DL31</f>
        <v>2</v>
      </c>
    </row>
    <row r="28" spans="9:17" x14ac:dyDescent="0.25">
      <c r="I28" s="3" t="str">
        <f>FileReviewW12!A33</f>
        <v>PG&amp;E</v>
      </c>
      <c r="J28" s="3" t="str">
        <f>FileReviewW12!O33</f>
        <v>Advanced</v>
      </c>
      <c r="K28" s="254">
        <f>FileReviewW12!AS33</f>
        <v>0.32600000000000001</v>
      </c>
      <c r="L28" s="254"/>
      <c r="M28" s="254">
        <f>FileReviewW12!CC33</f>
        <v>0.28399999999999997</v>
      </c>
      <c r="N28" s="254">
        <f>FileReviewW12!EP33</f>
        <v>28.43</v>
      </c>
      <c r="O28" s="254"/>
      <c r="P28" s="254">
        <f t="shared" si="0"/>
        <v>0.12883435582822098</v>
      </c>
      <c r="Q28" s="3">
        <f>FileReviewW12!DL32</f>
        <v>2</v>
      </c>
    </row>
    <row r="29" spans="9:17" x14ac:dyDescent="0.25">
      <c r="I29" s="3" t="str">
        <f>FileReviewW12!A36</f>
        <v>PG&amp;E</v>
      </c>
      <c r="J29" s="3" t="str">
        <f>FileReviewW12!O36</f>
        <v>Advanced</v>
      </c>
      <c r="K29" s="254">
        <f>FileReviewW12!AS36</f>
        <v>0.151</v>
      </c>
      <c r="L29" s="254"/>
      <c r="M29" s="254">
        <f>FileReviewW12!CC36</f>
        <v>0.17</v>
      </c>
      <c r="N29" s="254">
        <f>FileReviewW12!EP36</f>
        <v>16.97</v>
      </c>
      <c r="O29" s="254"/>
      <c r="P29" s="254">
        <f t="shared" si="0"/>
        <v>-0.12582781456953654</v>
      </c>
      <c r="Q29" s="3">
        <f>FileReviewW12!DL33</f>
        <v>1</v>
      </c>
    </row>
    <row r="30" spans="9:17" x14ac:dyDescent="0.25">
      <c r="I30" s="3" t="str">
        <f>FileReviewW12!A37</f>
        <v>PG&amp;E</v>
      </c>
      <c r="J30" s="3" t="str">
        <f>FileReviewW12!O37</f>
        <v>Advanced</v>
      </c>
      <c r="K30" s="254">
        <f>FileReviewW12!AS37</f>
        <v>0.40400000000000003</v>
      </c>
      <c r="L30" s="254"/>
      <c r="M30" s="254">
        <f>FileReviewW12!CC37</f>
        <v>0.36599999999999999</v>
      </c>
      <c r="N30" s="254">
        <f>FileReviewW12!EP37</f>
        <v>40.75</v>
      </c>
      <c r="O30" s="254"/>
      <c r="P30" s="254">
        <f t="shared" si="0"/>
        <v>9.4059405940594143E-2</v>
      </c>
      <c r="Q30" s="3">
        <f>FileReviewW12!DL34</f>
        <v>0</v>
      </c>
    </row>
    <row r="31" spans="9:17" x14ac:dyDescent="0.25">
      <c r="I31" s="3" t="str">
        <f>FileReviewW12!A40</f>
        <v>PG&amp;E</v>
      </c>
      <c r="J31" s="3" t="str">
        <f>FileReviewW12!O40</f>
        <v>Advanced</v>
      </c>
      <c r="K31" s="254">
        <f>FileReviewW12!AS40</f>
        <v>0.23499999999999999</v>
      </c>
      <c r="L31" s="254"/>
      <c r="M31" s="254">
        <f>FileReviewW12!CC40</f>
        <v>0.253</v>
      </c>
      <c r="N31" s="254">
        <f>FileReviewW12!EP40</f>
        <v>25.28</v>
      </c>
      <c r="O31" s="254"/>
      <c r="P31" s="254">
        <f t="shared" si="0"/>
        <v>-7.6595744680851133E-2</v>
      </c>
      <c r="Q31" s="3">
        <f>FileReviewW12!DL35</f>
        <v>2</v>
      </c>
    </row>
    <row r="32" spans="9:17" x14ac:dyDescent="0.25">
      <c r="I32" s="3" t="str">
        <f>FileReviewW12!A41</f>
        <v>PG&amp;E</v>
      </c>
      <c r="J32" s="3" t="str">
        <f>FileReviewW12!O41</f>
        <v>Advanced</v>
      </c>
      <c r="K32" s="254">
        <f>FileReviewW12!AS41</f>
        <v>0.38900000000000001</v>
      </c>
      <c r="L32" s="254"/>
      <c r="M32" s="254">
        <f>FileReviewW12!CC41</f>
        <v>0.372</v>
      </c>
      <c r="N32" s="254">
        <f>FileReviewW12!EP41</f>
        <v>37.18</v>
      </c>
      <c r="O32" s="254"/>
      <c r="P32" s="254">
        <f t="shared" si="0"/>
        <v>4.3701799485861219E-2</v>
      </c>
      <c r="Q32" s="3">
        <f>FileReviewW12!DL36</f>
        <v>2</v>
      </c>
    </row>
    <row r="33" spans="9:17" x14ac:dyDescent="0.25">
      <c r="I33" s="3" t="str">
        <f>FileReviewW12!A42</f>
        <v>PG&amp;E</v>
      </c>
      <c r="J33" s="3" t="str">
        <f>FileReviewW12!O42</f>
        <v>Advanced</v>
      </c>
      <c r="K33" s="254">
        <f>FileReviewW12!AS42</f>
        <v>0.22700000000000001</v>
      </c>
      <c r="L33" s="254"/>
      <c r="M33" s="254">
        <f>FileReviewW12!CC42</f>
        <v>0.22700000000000001</v>
      </c>
      <c r="N33" s="254">
        <f>FileReviewW12!EP42</f>
        <v>22.7</v>
      </c>
      <c r="O33" s="254"/>
      <c r="P33" s="254">
        <f t="shared" si="0"/>
        <v>0</v>
      </c>
      <c r="Q33" s="3">
        <f>FileReviewW12!DL37</f>
        <v>0</v>
      </c>
    </row>
    <row r="34" spans="9:17" x14ac:dyDescent="0.25">
      <c r="I34" s="3" t="str">
        <f>FileReviewW12!A43</f>
        <v>PG&amp;E</v>
      </c>
      <c r="J34" s="3" t="str">
        <f>FileReviewW12!O43</f>
        <v>Advanced</v>
      </c>
      <c r="K34" s="254">
        <f>FileReviewW12!AS43</f>
        <v>0.3</v>
      </c>
      <c r="L34" s="254"/>
      <c r="M34" s="254">
        <f>FileReviewW12!CC43</f>
        <v>0.35499999999999998</v>
      </c>
      <c r="N34" s="254">
        <f>FileReviewW12!EP43</f>
        <v>35.51</v>
      </c>
      <c r="O34" s="254"/>
      <c r="P34" s="254">
        <f t="shared" si="0"/>
        <v>-0.18333333333333332</v>
      </c>
      <c r="Q34" s="3">
        <f>FileReviewW12!DL38</f>
        <v>1</v>
      </c>
    </row>
    <row r="35" spans="9:17" x14ac:dyDescent="0.25">
      <c r="I35" s="3" t="str">
        <f>FileReviewW12!A44</f>
        <v>PG&amp;E</v>
      </c>
      <c r="J35" s="3" t="str">
        <f>FileReviewW12!O44</f>
        <v>Advanced</v>
      </c>
      <c r="K35" s="254">
        <f>FileReviewW12!AS44</f>
        <v>0.20300000000000001</v>
      </c>
      <c r="L35" s="254"/>
      <c r="M35" s="254">
        <f>FileReviewW12!CC44</f>
        <v>0.223</v>
      </c>
      <c r="N35" s="254">
        <f>FileReviewW12!EP44</f>
        <v>22.34</v>
      </c>
      <c r="O35" s="254"/>
      <c r="P35" s="254">
        <f t="shared" si="0"/>
        <v>-9.8522167487684678E-2</v>
      </c>
      <c r="Q35" s="3">
        <f>FileReviewW12!DL39</f>
        <v>1</v>
      </c>
    </row>
    <row r="36" spans="9:17" x14ac:dyDescent="0.25">
      <c r="I36" s="3" t="str">
        <f>FileReviewW12!A45</f>
        <v>PG&amp;E</v>
      </c>
      <c r="J36" s="3" t="str">
        <f>FileReviewW12!O45</f>
        <v>Advanced</v>
      </c>
      <c r="K36" s="254">
        <f>FileReviewW12!AS45</f>
        <v>0.27400000000000002</v>
      </c>
      <c r="L36" s="254"/>
      <c r="M36" s="254">
        <f>FileReviewW12!CC45</f>
        <v>0.29099999999999998</v>
      </c>
      <c r="N36" s="254">
        <f>FileReviewW12!EP45</f>
        <v>29.13</v>
      </c>
      <c r="O36" s="254"/>
      <c r="P36" s="254">
        <f t="shared" si="0"/>
        <v>-6.2043795620437804E-2</v>
      </c>
      <c r="Q36" s="3">
        <f>FileReviewW12!DL40</f>
        <v>1</v>
      </c>
    </row>
    <row r="37" spans="9:17" x14ac:dyDescent="0.25">
      <c r="I37" s="3" t="str">
        <f>FileReviewW12!A46</f>
        <v>PG&amp;E</v>
      </c>
      <c r="J37" s="3" t="str">
        <f>FileReviewW12!O46</f>
        <v>Advanced</v>
      </c>
      <c r="K37" s="254">
        <f>FileReviewW12!AS46</f>
        <v>0.309</v>
      </c>
      <c r="L37" s="254"/>
      <c r="M37" s="254">
        <f>FileReviewW12!CC46</f>
        <v>0.309</v>
      </c>
      <c r="N37" s="254">
        <f>FileReviewW12!EP46</f>
        <v>30.9</v>
      </c>
      <c r="O37" s="254"/>
      <c r="P37" s="254">
        <f t="shared" si="0"/>
        <v>0</v>
      </c>
      <c r="Q37" s="3">
        <f>FileReviewW12!DL41</f>
        <v>0</v>
      </c>
    </row>
    <row r="38" spans="9:17" x14ac:dyDescent="0.25">
      <c r="I38" s="3" t="str">
        <f>FileReviewW12!A47</f>
        <v>PG&amp;E</v>
      </c>
      <c r="J38" s="3" t="str">
        <f>FileReviewW12!O47</f>
        <v>Advanced</v>
      </c>
      <c r="K38" s="254">
        <f>FileReviewW12!AS47</f>
        <v>0.26100000000000001</v>
      </c>
      <c r="L38" s="254"/>
      <c r="M38" s="254">
        <f>FileReviewW12!CC47</f>
        <v>0.247</v>
      </c>
      <c r="N38" s="254">
        <f>FileReviewW12!EP47</f>
        <v>24.62</v>
      </c>
      <c r="O38" s="254"/>
      <c r="P38" s="254">
        <f t="shared" si="0"/>
        <v>5.3639846743295062E-2</v>
      </c>
      <c r="Q38" s="3">
        <f>FileReviewW12!DL42</f>
        <v>2</v>
      </c>
    </row>
    <row r="39" spans="9:17" x14ac:dyDescent="0.25">
      <c r="I39" s="3" t="str">
        <f>FileReviewW12!A48</f>
        <v>PG&amp;E</v>
      </c>
      <c r="J39" s="3" t="str">
        <f>FileReviewW12!O48</f>
        <v>Advanced</v>
      </c>
      <c r="K39" s="254">
        <f>FileReviewW12!AS48</f>
        <v>0.27700000000000002</v>
      </c>
      <c r="L39" s="254"/>
      <c r="M39" s="254">
        <f>FileReviewW12!CC48</f>
        <v>0.30599999999999999</v>
      </c>
      <c r="N39" s="254">
        <f>FileReviewW12!EP48</f>
        <v>30.56</v>
      </c>
      <c r="O39" s="254"/>
      <c r="P39" s="254">
        <f t="shared" si="0"/>
        <v>-0.1046931407942237</v>
      </c>
      <c r="Q39" s="3">
        <f>FileReviewW12!DL43</f>
        <v>2</v>
      </c>
    </row>
    <row r="40" spans="9:17" x14ac:dyDescent="0.25">
      <c r="I40" s="3" t="str">
        <f>FileReviewW12!A49</f>
        <v>PG&amp;E</v>
      </c>
      <c r="J40" s="3" t="str">
        <f>FileReviewW12!O49</f>
        <v>Advanced</v>
      </c>
      <c r="K40" s="254">
        <f>FileReviewW12!AS49</f>
        <v>0.46700000000000003</v>
      </c>
      <c r="L40" s="254"/>
      <c r="M40" s="254">
        <f>FileReviewW12!CC49</f>
        <v>0.40300000000000002</v>
      </c>
      <c r="N40" s="254">
        <f>FileReviewW12!EP49</f>
        <v>40.270000000000003</v>
      </c>
      <c r="O40" s="254"/>
      <c r="P40" s="254">
        <f t="shared" si="0"/>
        <v>0.13704496788008566</v>
      </c>
      <c r="Q40" s="3">
        <f>FileReviewW12!DL44</f>
        <v>0</v>
      </c>
    </row>
    <row r="41" spans="9:17" x14ac:dyDescent="0.25">
      <c r="I41" s="3" t="str">
        <f>FileReviewW12!A50</f>
        <v>PG&amp;E</v>
      </c>
      <c r="J41" s="3" t="str">
        <f>FileReviewW12!O50</f>
        <v>Advanced</v>
      </c>
      <c r="K41" s="254">
        <f>FileReviewW12!AS50</f>
        <v>0.46400000000000002</v>
      </c>
      <c r="L41" s="254"/>
      <c r="M41" s="254">
        <f>FileReviewW12!CC50</f>
        <v>0.46100000000000002</v>
      </c>
      <c r="N41" s="254">
        <f>FileReviewW12!EP50</f>
        <v>46.12</v>
      </c>
      <c r="O41" s="254"/>
      <c r="P41" s="254">
        <f t="shared" si="0"/>
        <v>6.4655172413793155E-3</v>
      </c>
      <c r="Q41" s="3">
        <f>FileReviewW12!DL45</f>
        <v>3</v>
      </c>
    </row>
    <row r="42" spans="9:17" x14ac:dyDescent="0.25">
      <c r="I42" s="3" t="str">
        <f>FileReviewW12!A51</f>
        <v>PG&amp;E</v>
      </c>
      <c r="J42" s="3" t="str">
        <f>FileReviewW12!O51</f>
        <v>Advanced</v>
      </c>
      <c r="K42" s="254">
        <f>FileReviewW12!AS51</f>
        <v>0.42699999999999999</v>
      </c>
      <c r="L42" s="254"/>
      <c r="M42" s="254">
        <f>FileReviewW12!CC51</f>
        <v>0.439</v>
      </c>
      <c r="N42" s="254">
        <f>FileReviewW12!EP51</f>
        <v>43.91</v>
      </c>
      <c r="O42" s="254"/>
      <c r="P42" s="254">
        <f t="shared" si="0"/>
        <v>-2.8103044496487144E-2</v>
      </c>
      <c r="Q42" s="3">
        <f>FileReviewW12!DL46</f>
        <v>6</v>
      </c>
    </row>
    <row r="43" spans="9:17" x14ac:dyDescent="0.25">
      <c r="I43" s="3" t="str">
        <f>FileReviewW12!A53</f>
        <v>PG&amp;E</v>
      </c>
      <c r="J43" s="3" t="str">
        <f>FileReviewW12!O53</f>
        <v>Advanced</v>
      </c>
      <c r="K43" s="254">
        <f>FileReviewW12!AS53</f>
        <v>0.49199999999999999</v>
      </c>
      <c r="L43" s="254"/>
      <c r="M43" s="254">
        <f>FileReviewW12!CC53</f>
        <v>0.499</v>
      </c>
      <c r="N43" s="254">
        <f>FileReviewW12!EP53</f>
        <v>49.95</v>
      </c>
      <c r="O43" s="254"/>
      <c r="P43" s="254">
        <f t="shared" si="0"/>
        <v>-1.4227642276422777E-2</v>
      </c>
      <c r="Q43" s="3">
        <f>FileReviewW12!DL47</f>
        <v>1</v>
      </c>
    </row>
    <row r="44" spans="9:17" x14ac:dyDescent="0.25">
      <c r="I44" s="3" t="str">
        <f>FileReviewW12!A54</f>
        <v>PG&amp;E</v>
      </c>
      <c r="J44" s="3" t="str">
        <f>FileReviewW12!O54</f>
        <v>Advanced</v>
      </c>
      <c r="K44" s="254">
        <f>FileReviewW12!AS54</f>
        <v>0.3</v>
      </c>
      <c r="L44" s="254"/>
      <c r="M44" s="254">
        <f>FileReviewW12!CC54</f>
        <v>0.30399999999999999</v>
      </c>
      <c r="N44" s="254">
        <f>FileReviewW12!EP54</f>
        <v>30.37</v>
      </c>
      <c r="O44" s="254"/>
      <c r="P44" s="254">
        <f t="shared" si="0"/>
        <v>-1.3333333333333346E-2</v>
      </c>
      <c r="Q44" s="3">
        <f>FileReviewW12!DL48</f>
        <v>6</v>
      </c>
    </row>
    <row r="45" spans="9:17" x14ac:dyDescent="0.25">
      <c r="I45" s="3" t="str">
        <f>FileReviewW12!A55</f>
        <v>PG&amp;E</v>
      </c>
      <c r="J45" s="3" t="str">
        <f>FileReviewW12!O55</f>
        <v>Advanced</v>
      </c>
      <c r="K45" s="254">
        <f>FileReviewW12!AS55</f>
        <v>0.22600000000000001</v>
      </c>
      <c r="L45" s="254"/>
      <c r="M45" s="254">
        <f>FileReviewW12!CC55</f>
        <v>0.20200000000000001</v>
      </c>
      <c r="N45" s="254">
        <f>FileReviewW12!EP55</f>
        <v>20.190000000000001</v>
      </c>
      <c r="O45" s="254"/>
      <c r="P45" s="254">
        <f t="shared" si="0"/>
        <v>0.1061946902654867</v>
      </c>
      <c r="Q45" s="3">
        <f>FileReviewW12!DL49</f>
        <v>0</v>
      </c>
    </row>
    <row r="46" spans="9:17" x14ac:dyDescent="0.25">
      <c r="I46" s="3" t="str">
        <f>FileReviewW12!A56</f>
        <v>PG&amp;E</v>
      </c>
      <c r="J46" s="3" t="str">
        <f>FileReviewW12!O56</f>
        <v>Advanced</v>
      </c>
      <c r="K46" s="254">
        <f>FileReviewW12!AS56</f>
        <v>0.314</v>
      </c>
      <c r="L46" s="254"/>
      <c r="M46" s="254">
        <f>FileReviewW12!CC56</f>
        <v>0.254</v>
      </c>
      <c r="N46" s="254">
        <f>FileReviewW12!EP56</f>
        <v>25.4</v>
      </c>
      <c r="O46" s="254"/>
      <c r="P46" s="254">
        <f t="shared" si="0"/>
        <v>0.19108280254777069</v>
      </c>
      <c r="Q46" s="3">
        <f>FileReviewW12!DL50</f>
        <v>6</v>
      </c>
    </row>
    <row r="47" spans="9:17" x14ac:dyDescent="0.25">
      <c r="I47" s="3" t="str">
        <f>FileReviewW12!A57</f>
        <v>PG&amp;E</v>
      </c>
      <c r="J47" s="3" t="str">
        <f>FileReviewW12!O57</f>
        <v>Advanced</v>
      </c>
      <c r="K47" s="254">
        <f>FileReviewW12!AS57</f>
        <v>0.214</v>
      </c>
      <c r="L47" s="254"/>
      <c r="M47" s="254">
        <f>FileReviewW12!CC57</f>
        <v>0.23899999999999999</v>
      </c>
      <c r="N47" s="254">
        <f>FileReviewW12!EP57</f>
        <v>21.36</v>
      </c>
      <c r="O47" s="254"/>
      <c r="P47" s="254">
        <f t="shared" si="0"/>
        <v>-0.11682242990654203</v>
      </c>
      <c r="Q47" s="3">
        <f>FileReviewW12!DL51</f>
        <v>1</v>
      </c>
    </row>
    <row r="48" spans="9:17" x14ac:dyDescent="0.25">
      <c r="I48" s="3" t="str">
        <f>FileReviewW12!A58</f>
        <v>PG&amp;E</v>
      </c>
      <c r="J48" s="3" t="str">
        <f>FileReviewW12!O58</f>
        <v>Advanced</v>
      </c>
      <c r="K48" s="254">
        <f>FileReviewW12!AS58</f>
        <v>0.52600000000000002</v>
      </c>
      <c r="L48" s="254"/>
      <c r="M48" s="254">
        <f>FileReviewW12!CC58</f>
        <v>0.42399999999999999</v>
      </c>
      <c r="N48" s="254">
        <f>FileReviewW12!EP58</f>
        <v>42.4</v>
      </c>
      <c r="O48" s="254"/>
      <c r="P48" s="254">
        <f t="shared" si="0"/>
        <v>0.19391634980988598</v>
      </c>
      <c r="Q48" s="3">
        <f>FileReviewW12!DL52</f>
        <v>0</v>
      </c>
    </row>
    <row r="49" spans="9:17" x14ac:dyDescent="0.25">
      <c r="I49" s="3" t="str">
        <f>FileReviewW12!A59</f>
        <v>PG&amp;E</v>
      </c>
      <c r="J49" s="3" t="str">
        <f>FileReviewW12!O59</f>
        <v>Advanced</v>
      </c>
      <c r="K49" s="254">
        <f>FileReviewW12!AS59</f>
        <v>0.184</v>
      </c>
      <c r="L49" s="254"/>
      <c r="M49" s="254">
        <f>FileReviewW12!CC59</f>
        <v>0.18</v>
      </c>
      <c r="N49" s="254">
        <f>FileReviewW12!EP59</f>
        <v>17.96</v>
      </c>
      <c r="O49" s="254"/>
      <c r="P49" s="254">
        <f t="shared" si="0"/>
        <v>2.1739130434782629E-2</v>
      </c>
      <c r="Q49" s="3">
        <f>FileReviewW12!DL53</f>
        <v>1</v>
      </c>
    </row>
    <row r="50" spans="9:17" x14ac:dyDescent="0.25">
      <c r="I50" s="3" t="str">
        <f>FileReviewW12!A60</f>
        <v>PG&amp;E</v>
      </c>
      <c r="J50" s="3" t="str">
        <f>FileReviewW12!O60</f>
        <v>Advanced</v>
      </c>
      <c r="K50" s="254">
        <f>FileReviewW12!AS60</f>
        <v>0.45700000000000002</v>
      </c>
      <c r="L50" s="254"/>
      <c r="M50" s="254">
        <f>FileReviewW12!CC60</f>
        <v>0.47699999999999998</v>
      </c>
      <c r="N50" s="254">
        <f>FileReviewW12!EP60</f>
        <v>47.69</v>
      </c>
      <c r="O50" s="254"/>
      <c r="P50" s="254">
        <f t="shared" si="0"/>
        <v>-4.3763676148796414E-2</v>
      </c>
      <c r="Q50" s="3">
        <f>FileReviewW12!DL54</f>
        <v>1</v>
      </c>
    </row>
    <row r="51" spans="9:17" x14ac:dyDescent="0.25">
      <c r="I51" s="3" t="str">
        <f>FileReviewW12!A62</f>
        <v>PG&amp;E</v>
      </c>
      <c r="J51" s="3" t="str">
        <f>FileReviewW12!O62</f>
        <v>Advanced</v>
      </c>
      <c r="K51" s="254">
        <f>FileReviewW12!AS62</f>
        <v>0.40500000000000003</v>
      </c>
      <c r="L51" s="254"/>
      <c r="M51" s="254">
        <f>FileReviewW12!CC62</f>
        <v>0.36099999999999999</v>
      </c>
      <c r="N51" s="254">
        <f>FileReviewW12!EP62</f>
        <v>36.14</v>
      </c>
      <c r="O51" s="254"/>
      <c r="P51" s="254">
        <f t="shared" si="0"/>
        <v>0.10864197530864206</v>
      </c>
      <c r="Q51" s="3">
        <f>FileReviewW12!DL55</f>
        <v>1</v>
      </c>
    </row>
    <row r="52" spans="9:17" x14ac:dyDescent="0.25">
      <c r="I52" s="3" t="str">
        <f>FileReviewW12!A63</f>
        <v>PG&amp;E</v>
      </c>
      <c r="J52" s="3" t="str">
        <f>FileReviewW12!O63</f>
        <v>Advanced</v>
      </c>
      <c r="K52" s="254">
        <f>FileReviewW12!AS63</f>
        <v>0.30299999999999999</v>
      </c>
      <c r="L52" s="254"/>
      <c r="M52" s="254">
        <f>FileReviewW12!CC63</f>
        <v>0.30299999999999999</v>
      </c>
      <c r="N52" s="254">
        <f>FileReviewW12!EP63</f>
        <v>30.3</v>
      </c>
      <c r="O52" s="254"/>
      <c r="P52" s="254">
        <f t="shared" si="0"/>
        <v>0</v>
      </c>
      <c r="Q52" s="3">
        <f>FileReviewW12!DL56</f>
        <v>0</v>
      </c>
    </row>
    <row r="53" spans="9:17" x14ac:dyDescent="0.25">
      <c r="I53" s="3" t="str">
        <f>FileReviewW12!A64</f>
        <v>PG&amp;E</v>
      </c>
      <c r="J53" s="3" t="str">
        <f>FileReviewW12!O64</f>
        <v>Advanced</v>
      </c>
      <c r="K53" s="254">
        <f>FileReviewW12!AS64</f>
        <v>0.151</v>
      </c>
      <c r="L53" s="254"/>
      <c r="M53" s="254">
        <f>FileReviewW12!CC64</f>
        <v>0.153</v>
      </c>
      <c r="N53" s="254">
        <f>FileReviewW12!EP64</f>
        <v>15.27</v>
      </c>
      <c r="O53" s="254"/>
      <c r="P53" s="254">
        <f t="shared" si="0"/>
        <v>-1.3245033112582794E-2</v>
      </c>
      <c r="Q53" s="3">
        <f>FileReviewW12!DL57</f>
        <v>0</v>
      </c>
    </row>
    <row r="54" spans="9:17" x14ac:dyDescent="0.25">
      <c r="I54" s="3" t="str">
        <f>FileReviewW12!A65</f>
        <v>PG&amp;E</v>
      </c>
      <c r="J54" s="3" t="str">
        <f>FileReviewW12!O65</f>
        <v>Advanced</v>
      </c>
      <c r="K54" s="254">
        <f>FileReviewW12!AS65</f>
        <v>0.29199999999999998</v>
      </c>
      <c r="L54" s="254"/>
      <c r="M54" s="254">
        <f>FileReviewW12!CC65</f>
        <v>0.26500000000000001</v>
      </c>
      <c r="N54" s="254">
        <f>FileReviewW12!EP65</f>
        <v>26.53</v>
      </c>
      <c r="O54" s="254"/>
      <c r="P54" s="254">
        <f t="shared" si="0"/>
        <v>9.2465753424657432E-2</v>
      </c>
      <c r="Q54" s="3">
        <f>FileReviewW12!DL58</f>
        <v>2</v>
      </c>
    </row>
    <row r="55" spans="9:17" x14ac:dyDescent="0.25">
      <c r="I55" s="3" t="str">
        <f>FileReviewW12!A68</f>
        <v>PG&amp;E</v>
      </c>
      <c r="J55" s="3" t="str">
        <f>FileReviewW12!O68</f>
        <v>Advanced</v>
      </c>
      <c r="K55" s="254">
        <f>FileReviewW12!AS68</f>
        <v>0.36499999999999999</v>
      </c>
      <c r="L55" s="254"/>
      <c r="M55" s="254">
        <f>FileReviewW12!CC68</f>
        <v>0.35299999999999998</v>
      </c>
      <c r="N55" s="254">
        <f>FileReviewW12!EP68</f>
        <v>35.29</v>
      </c>
      <c r="O55" s="254"/>
      <c r="P55" s="254">
        <f t="shared" si="0"/>
        <v>3.2876712328767155E-2</v>
      </c>
      <c r="Q55" s="3">
        <f>FileReviewW12!DL59</f>
        <v>1</v>
      </c>
    </row>
    <row r="56" spans="9:17" x14ac:dyDescent="0.25">
      <c r="I56" s="3" t="str">
        <f>FileReviewW12!A69</f>
        <v>PG&amp;E</v>
      </c>
      <c r="J56" s="3" t="str">
        <f>FileReviewW12!O69</f>
        <v>Advanced</v>
      </c>
      <c r="K56" s="254">
        <f>FileReviewW12!AS69</f>
        <v>0.26300000000000001</v>
      </c>
      <c r="L56" s="254"/>
      <c r="M56" s="254">
        <f>FileReviewW12!CC69</f>
        <v>0.26500000000000001</v>
      </c>
      <c r="N56" s="254">
        <f>FileReviewW12!EP69</f>
        <v>26.52</v>
      </c>
      <c r="O56" s="254"/>
      <c r="P56" s="254">
        <f t="shared" si="0"/>
        <v>-7.6045627376425916E-3</v>
      </c>
      <c r="Q56" s="3">
        <f>FileReviewW12!DL60</f>
        <v>3</v>
      </c>
    </row>
    <row r="57" spans="9:17" x14ac:dyDescent="0.25">
      <c r="I57" s="3" t="str">
        <f>FileReviewW12!A70</f>
        <v>PG&amp;E</v>
      </c>
      <c r="J57" s="3" t="str">
        <f>FileReviewW12!O70</f>
        <v>Advanced</v>
      </c>
      <c r="K57" s="254">
        <f>FileReviewW12!AS70</f>
        <v>0.30299999999999999</v>
      </c>
      <c r="L57" s="254"/>
      <c r="M57" s="254">
        <f>FileReviewW12!CC70</f>
        <v>0.24199999999999999</v>
      </c>
      <c r="N57" s="254">
        <f>FileReviewW12!EP70</f>
        <v>24.2</v>
      </c>
      <c r="O57" s="254"/>
      <c r="P57" s="254">
        <f t="shared" si="0"/>
        <v>0.20132013201320131</v>
      </c>
      <c r="Q57" s="3">
        <f>FileReviewW12!DL61</f>
        <v>1</v>
      </c>
    </row>
    <row r="58" spans="9:17" x14ac:dyDescent="0.25">
      <c r="I58" s="3" t="str">
        <f>FileReviewW12!A71</f>
        <v>PG&amp;E</v>
      </c>
      <c r="J58" s="3" t="str">
        <f>FileReviewW12!O71</f>
        <v>Advanced</v>
      </c>
      <c r="K58" s="254">
        <f>FileReviewW12!AS71</f>
        <v>0.154</v>
      </c>
      <c r="L58" s="254"/>
      <c r="M58" s="254">
        <f>FileReviewW12!CC71</f>
        <v>0.154</v>
      </c>
      <c r="N58" s="254">
        <f>FileReviewW12!EP71</f>
        <v>15.41</v>
      </c>
      <c r="O58" s="254"/>
      <c r="P58" s="254">
        <f t="shared" si="0"/>
        <v>0</v>
      </c>
      <c r="Q58" s="3">
        <f>FileReviewW12!DL62</f>
        <v>3</v>
      </c>
    </row>
    <row r="59" spans="9:17" x14ac:dyDescent="0.25">
      <c r="I59" s="3" t="str">
        <f>FileReviewW12!A72</f>
        <v>PG&amp;E</v>
      </c>
      <c r="J59" s="3" t="str">
        <f>FileReviewW12!O72</f>
        <v>Advanced</v>
      </c>
      <c r="K59" s="254">
        <f>FileReviewW12!AS72</f>
        <v>0.40200000000000002</v>
      </c>
      <c r="L59" s="254"/>
      <c r="M59" s="254">
        <f>FileReviewW12!CC72</f>
        <v>0.47399999999999998</v>
      </c>
      <c r="N59" s="254">
        <f>FileReviewW12!EP72</f>
        <v>47.37</v>
      </c>
      <c r="O59" s="254"/>
      <c r="P59" s="254">
        <f t="shared" si="0"/>
        <v>-0.17910447761194018</v>
      </c>
      <c r="Q59" s="3">
        <f>FileReviewW12!DL63</f>
        <v>0</v>
      </c>
    </row>
    <row r="60" spans="9:17" x14ac:dyDescent="0.25">
      <c r="I60" s="3" t="str">
        <f>FileReviewW12!A73</f>
        <v>PG&amp;E</v>
      </c>
      <c r="J60" s="3" t="str">
        <f>FileReviewW12!O73</f>
        <v>Advanced</v>
      </c>
      <c r="K60" s="254">
        <f>FileReviewW12!AS73</f>
        <v>0.193</v>
      </c>
      <c r="L60" s="254"/>
      <c r="M60" s="254">
        <f>FileReviewW12!CC73</f>
        <v>0.20599999999999999</v>
      </c>
      <c r="N60" s="254">
        <f>FileReviewW12!EP73</f>
        <v>20.6</v>
      </c>
      <c r="O60" s="254"/>
      <c r="P60" s="254">
        <f t="shared" ref="P60:P62" si="2">(K60-M60)/K60</f>
        <v>-6.7357512953367796E-2</v>
      </c>
      <c r="Q60" s="3">
        <f>FileReviewW12!DL64</f>
        <v>0</v>
      </c>
    </row>
    <row r="61" spans="9:17" x14ac:dyDescent="0.25">
      <c r="I61" s="3" t="str">
        <f>FileReviewW12!A74</f>
        <v>PG&amp;E</v>
      </c>
      <c r="J61" s="3" t="str">
        <f>FileReviewW12!O74</f>
        <v>Advanced</v>
      </c>
      <c r="K61" s="254">
        <f>FileReviewW12!AS74</f>
        <v>0.25800000000000001</v>
      </c>
      <c r="L61" s="254"/>
      <c r="M61" s="254">
        <f>FileReviewW12!CC74</f>
        <v>0.27300000000000002</v>
      </c>
      <c r="N61" s="254">
        <f>FileReviewW12!EP74</f>
        <v>27.32</v>
      </c>
      <c r="O61" s="254"/>
      <c r="P61" s="254">
        <f t="shared" si="2"/>
        <v>-5.8139534883720978E-2</v>
      </c>
      <c r="Q61" s="3">
        <f>FileReviewW12!DL65</f>
        <v>1</v>
      </c>
    </row>
    <row r="62" spans="9:17" x14ac:dyDescent="0.25">
      <c r="I62" s="3" t="str">
        <f>FileReviewW12!A75</f>
        <v>PG&amp;E</v>
      </c>
      <c r="J62" s="3" t="str">
        <f>FileReviewW12!O75</f>
        <v>Advanced</v>
      </c>
      <c r="K62" s="254">
        <f>FileReviewW12!AS75</f>
        <v>0.30399999999999999</v>
      </c>
      <c r="L62" s="254"/>
      <c r="M62" s="254">
        <f>FileReviewW12!CC75</f>
        <v>0.31900000000000001</v>
      </c>
      <c r="N62" s="254">
        <f>FileReviewW12!EP75</f>
        <v>31.92</v>
      </c>
      <c r="O62" s="254"/>
      <c r="P62" s="254">
        <f t="shared" si="2"/>
        <v>-4.9342105263157937E-2</v>
      </c>
      <c r="Q62" s="3">
        <f>FileReviewW12!DL66</f>
        <v>1</v>
      </c>
    </row>
    <row r="63" spans="9:17" x14ac:dyDescent="0.25">
      <c r="Q63" s="3">
        <f>FileReviewW12!DL67</f>
        <v>3</v>
      </c>
    </row>
    <row r="64" spans="9:17" x14ac:dyDescent="0.25">
      <c r="Q64" s="3">
        <f>FileReviewW12!DL68</f>
        <v>0</v>
      </c>
    </row>
    <row r="65" spans="17:17" x14ac:dyDescent="0.25">
      <c r="Q65" s="3">
        <f>FileReviewW12!DL69</f>
        <v>0</v>
      </c>
    </row>
    <row r="66" spans="17:17" x14ac:dyDescent="0.25">
      <c r="Q66" s="3">
        <f>FileReviewW12!DL70</f>
        <v>1</v>
      </c>
    </row>
    <row r="67" spans="17:17" x14ac:dyDescent="0.25">
      <c r="Q67" s="3">
        <f>FileReviewW12!DL71</f>
        <v>1</v>
      </c>
    </row>
    <row r="68" spans="17:17" x14ac:dyDescent="0.25">
      <c r="Q68" s="3">
        <f>FileReviewW12!DL72</f>
        <v>7</v>
      </c>
    </row>
    <row r="69" spans="17:17" x14ac:dyDescent="0.25">
      <c r="Q69" s="3">
        <f>FileReviewW12!DL73</f>
        <v>2</v>
      </c>
    </row>
    <row r="70" spans="17:17" x14ac:dyDescent="0.25">
      <c r="Q70" s="3">
        <f>FileReviewW12!DL74</f>
        <v>2</v>
      </c>
    </row>
    <row r="71" spans="17:17" x14ac:dyDescent="0.25">
      <c r="Q71" s="3">
        <f>FileReviewW12!DL75</f>
        <v>2</v>
      </c>
    </row>
  </sheetData>
  <customSheetViews>
    <customSheetView guid="{679A3195-3DEA-4AC2-A535-82AAF5B552BC}" state="hidden">
      <selection activeCell="A7" sqref="A7"/>
      <pageMargins left="0.7" right="0.7" top="0.75" bottom="0.75" header="0.3" footer="0.3"/>
      <pageSetup orientation="landscape" horizontalDpi="4294967293" verticalDpi="4294967293" r:id="rId1"/>
    </customSheetView>
    <customSheetView guid="{7378B641-E8D1-4C14-8151-CF4CE159D121}">
      <selection activeCell="A4" sqref="A4"/>
      <pageMargins left="0.7" right="0.7" top="0.75" bottom="0.75" header="0.3" footer="0.3"/>
      <pageSetup orientation="landscape" horizontalDpi="4294967293" verticalDpi="4294967293" r:id="rId2"/>
    </customSheetView>
    <customSheetView guid="{6D63B10B-E1E6-452A-80EB-4B2C7D61CF66}" state="hidden">
      <selection activeCell="A7" sqref="A7"/>
      <pageMargins left="0.7" right="0.7" top="0.75" bottom="0.75" header="0.3" footer="0.3"/>
      <pageSetup orientation="landscape" horizontalDpi="4294967293" verticalDpi="4294967293" r:id="rId3"/>
    </customSheetView>
  </customSheetViews>
  <mergeCells count="2">
    <mergeCell ref="B7:G7"/>
    <mergeCell ref="B8:G8"/>
  </mergeCells>
  <pageMargins left="0.7" right="0.7" top="0.75" bottom="0.75" header="0.3" footer="0.3"/>
  <pageSetup orientation="landscape" horizontalDpi="4294967293" verticalDpi="4294967293"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7" width="9.140625" style="3"/>
  </cols>
  <sheetData>
    <row r="1" spans="1:17" ht="22.5" customHeight="1" x14ac:dyDescent="0.25">
      <c r="A1" s="3" t="s">
        <v>26</v>
      </c>
      <c r="B1" s="4" t="s">
        <v>3221</v>
      </c>
      <c r="C1" s="535" t="s">
        <v>3058</v>
      </c>
      <c r="D1" s="37" t="str">
        <f>B1</f>
        <v>Pre (Advanced) and Post (Advanced and Basic) Leakage Rate (ACH) for SCE/SCG jobs</v>
      </c>
    </row>
    <row r="2" spans="1:17" x14ac:dyDescent="0.25">
      <c r="A2" s="3" t="s">
        <v>20</v>
      </c>
      <c r="B2" s="4" t="s">
        <v>59</v>
      </c>
      <c r="C2" s="536" t="s">
        <v>3059</v>
      </c>
    </row>
    <row r="3" spans="1:17" x14ac:dyDescent="0.25">
      <c r="A3" s="3" t="s">
        <v>1184</v>
      </c>
      <c r="B3" s="4" t="s">
        <v>1198</v>
      </c>
      <c r="C3" s="536" t="s">
        <v>1193</v>
      </c>
      <c r="D3" s="733"/>
      <c r="E3" s="733"/>
      <c r="F3" s="733"/>
      <c r="G3" s="733"/>
      <c r="H3" s="733"/>
      <c r="I3" s="733"/>
      <c r="J3" s="733"/>
      <c r="K3" s="733"/>
      <c r="L3" s="733"/>
      <c r="M3" s="733"/>
      <c r="N3" s="733"/>
      <c r="O3" s="733"/>
    </row>
    <row r="4" spans="1:17" x14ac:dyDescent="0.25">
      <c r="A4" s="3" t="s">
        <v>3136</v>
      </c>
      <c r="B4" s="4" t="s">
        <v>1933</v>
      </c>
      <c r="D4" s="3" t="s">
        <v>61</v>
      </c>
      <c r="P4" s="730"/>
      <c r="Q4" s="48"/>
    </row>
    <row r="5" spans="1:17" x14ac:dyDescent="0.25">
      <c r="B5" s="4"/>
      <c r="C5" s="4"/>
      <c r="P5" s="730"/>
    </row>
    <row r="6" spans="1:17" x14ac:dyDescent="0.25">
      <c r="B6" s="73"/>
      <c r="C6" s="73"/>
      <c r="P6" s="730"/>
    </row>
    <row r="7" spans="1:17" x14ac:dyDescent="0.25">
      <c r="P7" s="730"/>
    </row>
    <row r="8" spans="1:17" x14ac:dyDescent="0.25">
      <c r="P8" s="730"/>
    </row>
    <row r="9" spans="1:17" x14ac:dyDescent="0.25">
      <c r="P9" s="730"/>
    </row>
    <row r="10" spans="1:17" x14ac:dyDescent="0.25">
      <c r="P10" s="730"/>
    </row>
    <row r="11" spans="1:17" x14ac:dyDescent="0.25">
      <c r="P11" s="730"/>
    </row>
    <row r="12" spans="1:17" x14ac:dyDescent="0.25">
      <c r="P12" s="730"/>
    </row>
    <row r="13" spans="1:17" x14ac:dyDescent="0.25">
      <c r="P13" s="730"/>
    </row>
    <row r="14" spans="1:17" x14ac:dyDescent="0.25">
      <c r="P14" s="730"/>
    </row>
    <row r="15" spans="1:17" x14ac:dyDescent="0.25">
      <c r="P15" s="730"/>
    </row>
    <row r="16" spans="1:17" x14ac:dyDescent="0.25">
      <c r="P16" s="730"/>
    </row>
    <row r="17" spans="16:16" x14ac:dyDescent="0.25">
      <c r="P17" s="730"/>
    </row>
    <row r="18" spans="16:16" x14ac:dyDescent="0.25">
      <c r="P18" s="730"/>
    </row>
    <row r="19" spans="16:16" x14ac:dyDescent="0.25">
      <c r="P19" s="730"/>
    </row>
    <row r="20" spans="16:16" x14ac:dyDescent="0.25">
      <c r="P20" s="730"/>
    </row>
    <row r="21" spans="16:16" x14ac:dyDescent="0.25">
      <c r="P21" s="730"/>
    </row>
    <row r="22" spans="16:16" x14ac:dyDescent="0.25">
      <c r="P22" s="730"/>
    </row>
    <row r="23" spans="16:16" x14ac:dyDescent="0.25">
      <c r="P23" s="730"/>
    </row>
    <row r="24" spans="16:16" x14ac:dyDescent="0.25">
      <c r="P24" s="730"/>
    </row>
    <row r="25" spans="16:16" x14ac:dyDescent="0.25">
      <c r="P25" s="730"/>
    </row>
    <row r="26" spans="16:16" x14ac:dyDescent="0.25">
      <c r="P26" s="730"/>
    </row>
    <row r="27" spans="16:16" x14ac:dyDescent="0.25">
      <c r="P27" s="730"/>
    </row>
    <row r="28" spans="16:16" x14ac:dyDescent="0.25">
      <c r="P28" s="730"/>
    </row>
    <row r="29" spans="16:16" x14ac:dyDescent="0.25">
      <c r="P29" s="730"/>
    </row>
    <row r="30" spans="16:16" x14ac:dyDescent="0.25">
      <c r="P30" s="730"/>
    </row>
    <row r="31" spans="16:16" x14ac:dyDescent="0.25">
      <c r="P31" s="730"/>
    </row>
    <row r="33" spans="4:15" ht="93.75" customHeight="1" x14ac:dyDescent="0.25">
      <c r="D33" s="731" t="s">
        <v>3160</v>
      </c>
      <c r="E33" s="731"/>
      <c r="F33" s="731"/>
      <c r="G33" s="731"/>
      <c r="H33" s="731"/>
      <c r="I33" s="731"/>
      <c r="J33" s="731"/>
      <c r="K33" s="731"/>
      <c r="L33" s="731"/>
      <c r="M33" s="731"/>
      <c r="N33" s="731"/>
      <c r="O33" s="731"/>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C3" sqref="C3"/>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mergeCells count="3">
    <mergeCell ref="D3:O3"/>
    <mergeCell ref="P4:P31"/>
    <mergeCell ref="D33:O33"/>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30"/>
  <sheetViews>
    <sheetView workbookViewId="0">
      <selection activeCell="A7" sqref="A7"/>
    </sheetView>
  </sheetViews>
  <sheetFormatPr defaultRowHeight="15" x14ac:dyDescent="0.25"/>
  <cols>
    <col min="1" max="1" width="15.85546875" style="3" customWidth="1"/>
    <col min="2" max="7" width="10.7109375" style="3" customWidth="1"/>
    <col min="8" max="16384" width="9.140625" style="3"/>
  </cols>
  <sheetData>
    <row r="1" spans="1:14" s="74" customFormat="1" x14ac:dyDescent="0.25">
      <c r="A1" s="74" t="s">
        <v>1378</v>
      </c>
      <c r="B1" s="74" t="s">
        <v>1360</v>
      </c>
      <c r="C1" s="74" t="s">
        <v>1375</v>
      </c>
      <c r="D1" s="74" t="s">
        <v>1361</v>
      </c>
      <c r="E1" s="74" t="s">
        <v>1362</v>
      </c>
      <c r="F1" s="74" t="s">
        <v>1376</v>
      </c>
      <c r="G1" s="74" t="s">
        <v>1371</v>
      </c>
      <c r="I1" s="77" t="s">
        <v>1374</v>
      </c>
      <c r="J1" s="78"/>
      <c r="K1" s="78"/>
      <c r="L1" s="78"/>
      <c r="M1" s="78"/>
      <c r="N1" s="78"/>
    </row>
    <row r="2" spans="1:14" s="37" customFormat="1" x14ac:dyDescent="0.25">
      <c r="A2" s="75"/>
      <c r="B2" s="74" t="str">
        <f>B1</f>
        <v>Median</v>
      </c>
      <c r="C2" s="74"/>
      <c r="D2" s="74"/>
      <c r="E2" s="74"/>
      <c r="F2" s="74"/>
      <c r="G2" s="74" t="str">
        <f>G1</f>
        <v>Mean</v>
      </c>
      <c r="I2" s="77" t="s">
        <v>1373</v>
      </c>
      <c r="J2" s="79"/>
      <c r="K2" s="79"/>
      <c r="L2" s="79"/>
      <c r="M2" s="79"/>
      <c r="N2" s="79"/>
    </row>
    <row r="3" spans="1:14" x14ac:dyDescent="0.25">
      <c r="A3" s="74" t="s">
        <v>3321</v>
      </c>
      <c r="B3" s="237">
        <f>MEDIAN($K$10:$K$30)</f>
        <v>0.53164122791973933</v>
      </c>
      <c r="C3" s="237">
        <f>QUARTILE($K$10:$K$30,1)</f>
        <v>0.44734956844009277</v>
      </c>
      <c r="D3" s="237">
        <f>MIN($K$10:$K$30)</f>
        <v>0.27473846681529751</v>
      </c>
      <c r="E3" s="237">
        <f>MAX($K$10:$K$30)</f>
        <v>1.2278467522779346</v>
      </c>
      <c r="F3" s="237">
        <f>QUARTILE($K$10:$K$30,3)</f>
        <v>0.67995326209301454</v>
      </c>
      <c r="G3" s="237">
        <f>AVERAGE($K$10:$K$30)</f>
        <v>0.58857522763094627</v>
      </c>
    </row>
    <row r="4" spans="1:14" x14ac:dyDescent="0.25">
      <c r="A4" s="74" t="s">
        <v>3320</v>
      </c>
      <c r="B4" s="237">
        <f>MEDIAN($L$10:$L$30)</f>
        <v>0.32224450473831145</v>
      </c>
      <c r="C4" s="237">
        <f>QUARTILE($L$10:$L$30,1)</f>
        <v>0.26643886330529487</v>
      </c>
      <c r="D4" s="237">
        <f>MIN($L$10:$L$30)</f>
        <v>0.209377655709236</v>
      </c>
      <c r="E4" s="237">
        <f>MAX($L$10:$L$30)</f>
        <v>0.79555501725912925</v>
      </c>
      <c r="F4" s="237">
        <f>QUARTILE($L$10:$L$30,3)</f>
        <v>0.43015527050400371</v>
      </c>
      <c r="G4" s="237">
        <f>AVERAGE($L$10:$L$30)</f>
        <v>0.37566171410649912</v>
      </c>
    </row>
    <row r="6" spans="1:14" ht="35.1" customHeight="1" x14ac:dyDescent="0.25">
      <c r="B6" s="732" t="s">
        <v>1372</v>
      </c>
      <c r="C6" s="732"/>
      <c r="D6" s="732"/>
      <c r="E6" s="732"/>
      <c r="F6" s="732"/>
      <c r="G6" s="732"/>
    </row>
    <row r="7" spans="1:14" ht="35.1" customHeight="1" x14ac:dyDescent="0.25">
      <c r="B7" s="732" t="s">
        <v>1377</v>
      </c>
      <c r="C7" s="732"/>
      <c r="D7" s="732"/>
      <c r="E7" s="732"/>
      <c r="F7" s="732"/>
      <c r="G7" s="732"/>
    </row>
    <row r="8" spans="1:14" x14ac:dyDescent="0.25">
      <c r="I8" s="3" t="str">
        <f>FileReviewW12!A1</f>
        <v>Trkg_IOU</v>
      </c>
      <c r="J8" s="3" t="str">
        <f>FileReviewW12!O1</f>
        <v>Trkg_UpgradeType</v>
      </c>
      <c r="K8" s="3" t="str">
        <f>FileReviewW12!EQ1</f>
        <v>PostQC_DESKCL_PreACH</v>
      </c>
      <c r="L8" s="3" t="str">
        <f>FileReviewW12!ER1</f>
        <v>PostQC_DESKCL_PostACH</v>
      </c>
    </row>
    <row r="9" spans="1:14" x14ac:dyDescent="0.25">
      <c r="I9" s="3" t="str">
        <f>FileReviewW12!A2</f>
        <v>SCE</v>
      </c>
      <c r="J9" s="3" t="str">
        <f>FileReviewW12!O2</f>
        <v>Advanced</v>
      </c>
    </row>
    <row r="10" spans="1:14" x14ac:dyDescent="0.25">
      <c r="I10" s="3" t="str">
        <f>FileReviewW12!A3</f>
        <v>SCE</v>
      </c>
      <c r="J10" s="3" t="str">
        <f>FileReviewW12!O3</f>
        <v>Advanced</v>
      </c>
      <c r="K10" s="3">
        <f>FileReviewW12!EQ3</f>
        <v>0.78628959001998422</v>
      </c>
      <c r="L10" s="3">
        <f>FileReviewW12!ER3</f>
        <v>0.79555501725912925</v>
      </c>
    </row>
    <row r="11" spans="1:14" x14ac:dyDescent="0.25">
      <c r="I11" s="3" t="str">
        <f>FileReviewW12!A4</f>
        <v>SCE</v>
      </c>
      <c r="J11" s="3" t="str">
        <f>FileReviewW12!O4</f>
        <v>Advanced</v>
      </c>
      <c r="K11" s="3">
        <f>FileReviewW12!EQ4</f>
        <v>0.52744897959183679</v>
      </c>
      <c r="L11" s="3">
        <f>FileReviewW12!ER4</f>
        <v>0.23724489795918369</v>
      </c>
    </row>
    <row r="12" spans="1:14" x14ac:dyDescent="0.25">
      <c r="I12" s="3" t="str">
        <f>FileReviewW12!A5</f>
        <v>SCE</v>
      </c>
      <c r="J12" s="3" t="str">
        <f>FileReviewW12!O5</f>
        <v>Advanced</v>
      </c>
      <c r="K12" s="3">
        <f>FileReviewW12!EQ5</f>
        <v>0.38377692658234086</v>
      </c>
      <c r="L12" s="3">
        <f>FileReviewW12!ER5</f>
        <v>0.209377655709236</v>
      </c>
    </row>
    <row r="13" spans="1:14" x14ac:dyDescent="0.25">
      <c r="I13" s="3" t="str">
        <f>FileReviewW12!A6</f>
        <v>SCE</v>
      </c>
      <c r="J13" s="3" t="str">
        <f>FileReviewW12!O6</f>
        <v>Advanced</v>
      </c>
      <c r="K13" s="3">
        <f>FileReviewW12!EQ6</f>
        <v>0.48972203523404539</v>
      </c>
      <c r="L13" s="3">
        <f>FileReviewW12!ER6</f>
        <v>0.24652338811630845</v>
      </c>
    </row>
    <row r="14" spans="1:14" x14ac:dyDescent="0.25">
      <c r="I14" s="3" t="str">
        <f>FileReviewW12!A7</f>
        <v>SCE</v>
      </c>
      <c r="J14" s="3" t="str">
        <f>FileReviewW12!O7</f>
        <v>Basic</v>
      </c>
    </row>
    <row r="15" spans="1:14" x14ac:dyDescent="0.25">
      <c r="I15" s="3" t="str">
        <f>FileReviewW12!A8</f>
        <v>SCE</v>
      </c>
      <c r="J15" s="3" t="str">
        <f>FileReviewW12!O8</f>
        <v>Advanced</v>
      </c>
      <c r="K15" s="3">
        <f>FileReviewW12!EQ8</f>
        <v>0.55688146380270487</v>
      </c>
      <c r="L15" s="3">
        <f>FileReviewW12!ER8</f>
        <v>0.25522380790024846</v>
      </c>
    </row>
    <row r="16" spans="1:14" x14ac:dyDescent="0.25">
      <c r="I16" s="3" t="str">
        <f>FileReviewW12!A9</f>
        <v>SCE</v>
      </c>
      <c r="J16" s="3" t="str">
        <f>FileReviewW12!O9</f>
        <v>Advanced</v>
      </c>
      <c r="K16" s="3">
        <f>FileReviewW12!EQ9</f>
        <v>0.53164122791973933</v>
      </c>
      <c r="L16" s="3">
        <f>FileReviewW12!ER9</f>
        <v>0.31834162236323105</v>
      </c>
    </row>
    <row r="17" spans="9:12" x14ac:dyDescent="0.25">
      <c r="I17" s="3" t="str">
        <f>FileReviewW12!A10</f>
        <v>SCE</v>
      </c>
      <c r="J17" s="3" t="str">
        <f>FileReviewW12!O10</f>
        <v>Advanced</v>
      </c>
      <c r="K17" s="3">
        <f>FileReviewW12!EQ10</f>
        <v>0.61385648687235994</v>
      </c>
      <c r="L17" s="3">
        <f>FileReviewW12!ER10</f>
        <v>0.51371098990146613</v>
      </c>
    </row>
    <row r="18" spans="9:12" x14ac:dyDescent="0.25">
      <c r="I18" s="3" t="str">
        <f>FileReviewW12!A11</f>
        <v>SCE</v>
      </c>
      <c r="J18" s="3" t="str">
        <f>FileReviewW12!O11</f>
        <v>Basic</v>
      </c>
    </row>
    <row r="19" spans="9:12" x14ac:dyDescent="0.25">
      <c r="I19" s="3" t="str">
        <f>FileReviewW12!A12</f>
        <v>SCE</v>
      </c>
      <c r="J19" s="3" t="str">
        <f>FileReviewW12!O12</f>
        <v>Basic</v>
      </c>
    </row>
    <row r="20" spans="9:12" x14ac:dyDescent="0.25">
      <c r="I20" s="3" t="str">
        <f>FileReviewW12!A13</f>
        <v>SCE</v>
      </c>
      <c r="J20" s="3" t="str">
        <f>FileReviewW12!O13</f>
        <v>Advanced</v>
      </c>
      <c r="K20" s="3">
        <f>FileReviewW12!EQ13</f>
        <v>0.42212260626794068</v>
      </c>
      <c r="L20" s="3">
        <f>FileReviewW12!ER13</f>
        <v>0.32224450473831145</v>
      </c>
    </row>
    <row r="21" spans="9:12" x14ac:dyDescent="0.25">
      <c r="I21" s="3" t="str">
        <f>FileReviewW12!A14</f>
        <v>SCE</v>
      </c>
      <c r="J21" s="3" t="str">
        <f>FileReviewW12!O14</f>
        <v>Advanced</v>
      </c>
      <c r="K21" s="3">
        <f>FileReviewW12!EQ14</f>
        <v>0.39672765657987336</v>
      </c>
      <c r="L21" s="3">
        <f>FileReviewW12!ER14</f>
        <v>0.34424114473375556</v>
      </c>
    </row>
    <row r="22" spans="9:12" x14ac:dyDescent="0.25">
      <c r="I22" s="3" t="str">
        <f>FileReviewW12!A15</f>
        <v>SCE</v>
      </c>
      <c r="J22" s="3" t="str">
        <f>FileReviewW12!O15</f>
        <v>Advanced</v>
      </c>
      <c r="K22" s="3">
        <f>FileReviewW12!EQ15</f>
        <v>0.78509316770186344</v>
      </c>
      <c r="L22" s="3">
        <f>FileReviewW12!ER15</f>
        <v>0.46228926353149957</v>
      </c>
    </row>
    <row r="23" spans="9:12" x14ac:dyDescent="0.25">
      <c r="I23" s="3" t="str">
        <f>FileReviewW12!A16</f>
        <v>SCE</v>
      </c>
      <c r="J23" s="3" t="str">
        <f>FileReviewW12!O16</f>
        <v>Advanced</v>
      </c>
      <c r="K23" s="3">
        <f>FileReviewW12!EQ16</f>
        <v>0.63216715257531586</v>
      </c>
      <c r="L23" s="3">
        <f>FileReviewW12!ER16</f>
        <v>0.27793974732750243</v>
      </c>
    </row>
    <row r="24" spans="9:12" x14ac:dyDescent="0.25">
      <c r="I24" s="3" t="str">
        <f>FileReviewW12!A17</f>
        <v>SCE</v>
      </c>
      <c r="J24" s="3" t="str">
        <f>FileReviewW12!O17</f>
        <v>Advanced</v>
      </c>
      <c r="K24" s="3">
        <f>FileReviewW12!EQ17</f>
        <v>0.72773937161071323</v>
      </c>
      <c r="L24" s="3">
        <f>FileReviewW12!ER17</f>
        <v>0.39802127747650778</v>
      </c>
    </row>
    <row r="25" spans="9:12" x14ac:dyDescent="0.25">
      <c r="I25" s="3" t="str">
        <f>FileReviewW12!A18</f>
        <v>SCE</v>
      </c>
      <c r="J25" s="3" t="str">
        <f>FileReviewW12!O18</f>
        <v>Basic</v>
      </c>
    </row>
    <row r="26" spans="9:12" x14ac:dyDescent="0.25">
      <c r="I26" s="3" t="str">
        <f>FileReviewW12!A19</f>
        <v>SCE</v>
      </c>
      <c r="J26" s="3" t="str">
        <f>FileReviewW12!O19</f>
        <v>Basic</v>
      </c>
    </row>
    <row r="27" spans="9:12" x14ac:dyDescent="0.25">
      <c r="I27" s="3" t="str">
        <f>FileReviewW12!A20</f>
        <v>SCE</v>
      </c>
      <c r="J27" s="3" t="str">
        <f>FileReviewW12!O20</f>
        <v>Advanced</v>
      </c>
      <c r="K27" s="3">
        <f>FileReviewW12!EQ20</f>
        <v>1.2278467522779346</v>
      </c>
      <c r="L27" s="3">
        <f>FileReviewW12!ER20</f>
        <v>0.63110779559865715</v>
      </c>
    </row>
    <row r="28" spans="9:12" x14ac:dyDescent="0.25">
      <c r="I28" s="3" t="str">
        <f>FileReviewW12!A21</f>
        <v>SCE</v>
      </c>
      <c r="J28" s="3" t="str">
        <f>FileReviewW12!O21</f>
        <v>Basic</v>
      </c>
    </row>
    <row r="29" spans="9:12" x14ac:dyDescent="0.25">
      <c r="I29" s="3" t="str">
        <f>FileReviewW12!A22</f>
        <v>SCE</v>
      </c>
      <c r="J29" s="3" t="str">
        <f>FileReviewW12!O22</f>
        <v>Advanced</v>
      </c>
      <c r="K29" s="3">
        <f>FileReviewW12!EQ22</f>
        <v>0.27473846681529751</v>
      </c>
      <c r="L29" s="3">
        <f>FileReviewW12!ER22</f>
        <v>0.27765391871034129</v>
      </c>
    </row>
    <row r="30" spans="9:12" x14ac:dyDescent="0.25">
      <c r="I30" s="3" t="str">
        <f>FileReviewW12!A23</f>
        <v>SCE</v>
      </c>
      <c r="J30" s="3" t="str">
        <f>FileReviewW12!O23</f>
        <v>Advanced</v>
      </c>
      <c r="K30" s="3">
        <f>FileReviewW12!EQ23</f>
        <v>0.47257653061224492</v>
      </c>
      <c r="L30" s="3">
        <f>FileReviewW12!ER23</f>
        <v>0.34545068027210879</v>
      </c>
    </row>
  </sheetData>
  <customSheetViews>
    <customSheetView guid="{679A3195-3DEA-4AC2-A535-82AAF5B552BC}" state="hidden">
      <selection activeCell="A7" sqref="A7"/>
      <pageMargins left="0.7" right="0.7" top="0.75" bottom="0.75" header="0.3" footer="0.3"/>
      <pageSetup orientation="landscape" horizontalDpi="4294967293" verticalDpi="4294967293" r:id="rId1"/>
    </customSheetView>
    <customSheetView guid="{7378B641-E8D1-4C14-8151-CF4CE159D121}">
      <selection activeCell="A4" sqref="A4"/>
      <pageMargins left="0.7" right="0.7" top="0.75" bottom="0.75" header="0.3" footer="0.3"/>
      <pageSetup orientation="landscape" horizontalDpi="4294967293" verticalDpi="4294967293" r:id="rId2"/>
    </customSheetView>
    <customSheetView guid="{6D63B10B-E1E6-452A-80EB-4B2C7D61CF66}" state="hidden">
      <selection activeCell="A7" sqref="A7"/>
      <pageMargins left="0.7" right="0.7" top="0.75" bottom="0.75" header="0.3" footer="0.3"/>
      <pageSetup orientation="landscape" horizontalDpi="4294967293" verticalDpi="4294967293" r:id="rId3"/>
    </customSheetView>
  </customSheetViews>
  <mergeCells count="2">
    <mergeCell ref="B6:G6"/>
    <mergeCell ref="B7:G7"/>
  </mergeCells>
  <pageMargins left="0.7" right="0.7" top="0.75" bottom="0.75" header="0.3" footer="0.3"/>
  <pageSetup orientation="landscape" horizontalDpi="4294967293" verticalDpi="4294967293"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14"/>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7.5703125" customWidth="1"/>
    <col min="5" max="5" width="22.7109375" customWidth="1"/>
    <col min="6" max="6" width="18.85546875" customWidth="1"/>
    <col min="7" max="7" width="17.85546875" customWidth="1"/>
  </cols>
  <sheetData>
    <row r="1" spans="1:7" ht="23.25" customHeight="1" x14ac:dyDescent="0.25">
      <c r="A1" s="3" t="s">
        <v>26</v>
      </c>
      <c r="B1" s="4" t="s">
        <v>3336</v>
      </c>
      <c r="C1" s="535" t="s">
        <v>3058</v>
      </c>
      <c r="D1" s="558" t="str">
        <f>B1</f>
        <v>Number of Problems Found by QC</v>
      </c>
    </row>
    <row r="2" spans="1:7" x14ac:dyDescent="0.25">
      <c r="A2" t="s">
        <v>20</v>
      </c>
      <c r="B2" s="2" t="s">
        <v>60</v>
      </c>
      <c r="C2" s="536" t="s">
        <v>3059</v>
      </c>
    </row>
    <row r="3" spans="1:7" x14ac:dyDescent="0.25">
      <c r="A3" t="s">
        <v>1184</v>
      </c>
      <c r="B3" s="2" t="s">
        <v>3147</v>
      </c>
      <c r="C3" s="536" t="s">
        <v>1193</v>
      </c>
    </row>
    <row r="4" spans="1:7" ht="103.5" customHeight="1" x14ac:dyDescent="0.25">
      <c r="A4" t="s">
        <v>3136</v>
      </c>
      <c r="B4" s="2" t="s">
        <v>2192</v>
      </c>
      <c r="D4" s="604" t="s">
        <v>1895</v>
      </c>
      <c r="E4" s="607" t="s">
        <v>3175</v>
      </c>
      <c r="F4" s="607" t="s">
        <v>2190</v>
      </c>
      <c r="G4" s="607" t="s">
        <v>2191</v>
      </c>
    </row>
    <row r="5" spans="1:7" x14ac:dyDescent="0.25">
      <c r="B5" s="2"/>
      <c r="C5" s="2"/>
      <c r="D5" s="82" t="s">
        <v>59</v>
      </c>
      <c r="E5" s="247">
        <f>AVERAGE('7D'!D2:D23)</f>
        <v>10.266666666666667</v>
      </c>
      <c r="F5" s="183" t="s">
        <v>2189</v>
      </c>
      <c r="G5" s="248" t="s">
        <v>2189</v>
      </c>
    </row>
    <row r="6" spans="1:7" x14ac:dyDescent="0.25">
      <c r="D6" s="82" t="s">
        <v>58</v>
      </c>
      <c r="E6" s="83">
        <f>AVERAGE('7D'!B2:B53)</f>
        <v>1.5</v>
      </c>
      <c r="F6" s="247">
        <f>AVERAGE('7D'!F2:F302)</f>
        <v>2.441860465116279</v>
      </c>
      <c r="G6" s="247">
        <f>AVERAGE('7D'!H2:H302)</f>
        <v>2.7076411960132889</v>
      </c>
    </row>
    <row r="7" spans="1:7" x14ac:dyDescent="0.25">
      <c r="D7" s="82"/>
      <c r="E7" s="83"/>
      <c r="F7" s="184"/>
      <c r="G7" s="188"/>
    </row>
    <row r="8" spans="1:7" x14ac:dyDescent="0.25">
      <c r="D8" s="82"/>
      <c r="E8" s="83"/>
      <c r="F8" s="84"/>
    </row>
    <row r="9" spans="1:7" x14ac:dyDescent="0.25">
      <c r="D9" s="82"/>
      <c r="E9" s="83"/>
      <c r="F9" s="84"/>
    </row>
    <row r="10" spans="1:7" x14ac:dyDescent="0.25">
      <c r="D10" s="82"/>
      <c r="E10" s="83"/>
      <c r="F10" s="84"/>
    </row>
    <row r="11" spans="1:7" x14ac:dyDescent="0.25">
      <c r="D11" s="82"/>
      <c r="E11" s="83"/>
      <c r="F11" s="84"/>
    </row>
    <row r="12" spans="1:7" x14ac:dyDescent="0.25">
      <c r="D12" s="82"/>
      <c r="E12" s="83"/>
      <c r="F12" s="84"/>
    </row>
    <row r="13" spans="1:7" x14ac:dyDescent="0.25">
      <c r="D13" s="82"/>
      <c r="E13" s="83"/>
      <c r="F13" s="84"/>
    </row>
    <row r="14" spans="1:7" x14ac:dyDescent="0.25">
      <c r="D14" s="82"/>
      <c r="E14" s="83"/>
      <c r="F14" s="84"/>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I25" sqref="I25"/>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302"/>
  <sheetViews>
    <sheetView topLeftCell="A26" workbookViewId="0">
      <selection activeCell="A7" sqref="A7"/>
    </sheetView>
  </sheetViews>
  <sheetFormatPr defaultRowHeight="15" x14ac:dyDescent="0.25"/>
  <cols>
    <col min="1" max="8" width="16.7109375" customWidth="1"/>
  </cols>
  <sheetData>
    <row r="1" spans="1:9" x14ac:dyDescent="0.25">
      <c r="A1" s="185"/>
      <c r="B1" s="185" t="str">
        <f>FileReviewW12!$DL$1</f>
        <v>PreQC_RPT_nMajorIssues</v>
      </c>
      <c r="C1" s="185"/>
      <c r="D1" s="185" t="str">
        <f>FileReviewW12!DP1</f>
        <v>PreQC_DESKCL_nModelingIssues</v>
      </c>
      <c r="E1" s="241" t="s">
        <v>1939</v>
      </c>
      <c r="F1" s="241" t="s">
        <v>1940</v>
      </c>
      <c r="G1" s="241" t="s">
        <v>1939</v>
      </c>
      <c r="H1" s="241" t="s">
        <v>2188</v>
      </c>
      <c r="I1" s="86"/>
    </row>
    <row r="2" spans="1:9" x14ac:dyDescent="0.25">
      <c r="A2" s="186" t="s">
        <v>58</v>
      </c>
      <c r="B2" s="186">
        <f>FileReviewW12!DL24</f>
        <v>6</v>
      </c>
      <c r="C2" s="187" t="s">
        <v>59</v>
      </c>
      <c r="D2" s="186"/>
      <c r="E2" s="244" t="s">
        <v>1941</v>
      </c>
      <c r="F2" s="245">
        <v>3</v>
      </c>
      <c r="G2" s="244" t="s">
        <v>1941</v>
      </c>
      <c r="H2" s="245">
        <v>3</v>
      </c>
      <c r="I2" s="161"/>
    </row>
    <row r="3" spans="1:9" x14ac:dyDescent="0.25">
      <c r="A3" s="186" t="s">
        <v>58</v>
      </c>
      <c r="B3" s="186">
        <f>FileReviewW12!DL25</f>
        <v>0</v>
      </c>
      <c r="C3" s="187" t="s">
        <v>59</v>
      </c>
      <c r="D3" s="186">
        <f>FileReviewW12!DP3</f>
        <v>4</v>
      </c>
      <c r="E3" s="244" t="s">
        <v>1942</v>
      </c>
      <c r="F3" s="245">
        <v>2</v>
      </c>
      <c r="G3" s="244" t="s">
        <v>1942</v>
      </c>
      <c r="H3" s="245">
        <v>2</v>
      </c>
      <c r="I3" s="161"/>
    </row>
    <row r="4" spans="1:9" x14ac:dyDescent="0.25">
      <c r="A4" s="186" t="s">
        <v>58</v>
      </c>
      <c r="B4" s="186">
        <f>FileReviewW12!DL26</f>
        <v>0</v>
      </c>
      <c r="C4" s="187" t="s">
        <v>59</v>
      </c>
      <c r="D4" s="186">
        <f>FileReviewW12!DP4</f>
        <v>6</v>
      </c>
      <c r="E4" s="244" t="s">
        <v>1462</v>
      </c>
      <c r="F4" s="245">
        <v>1</v>
      </c>
      <c r="G4" s="244" t="s">
        <v>1462</v>
      </c>
      <c r="H4" s="245">
        <v>2</v>
      </c>
      <c r="I4" s="161"/>
    </row>
    <row r="5" spans="1:9" x14ac:dyDescent="0.25">
      <c r="A5" s="186" t="s">
        <v>58</v>
      </c>
      <c r="B5" s="238">
        <f>FileReviewW12!DL27</f>
        <v>0</v>
      </c>
      <c r="C5" s="187" t="s">
        <v>59</v>
      </c>
      <c r="D5">
        <f>FileReviewW12!DP5</f>
        <v>11</v>
      </c>
      <c r="E5" s="244" t="s">
        <v>1943</v>
      </c>
      <c r="F5" s="245">
        <v>3</v>
      </c>
      <c r="G5" s="244" t="s">
        <v>1943</v>
      </c>
      <c r="H5" s="245">
        <v>5</v>
      </c>
    </row>
    <row r="6" spans="1:9" x14ac:dyDescent="0.25">
      <c r="A6" s="186" t="s">
        <v>58</v>
      </c>
      <c r="B6" s="186">
        <f>FileReviewW12!DL28</f>
        <v>0</v>
      </c>
      <c r="C6" s="187" t="s">
        <v>59</v>
      </c>
      <c r="D6">
        <f>FileReviewW12!DP6</f>
        <v>10</v>
      </c>
      <c r="E6" s="244" t="s">
        <v>1471</v>
      </c>
      <c r="F6" s="245">
        <v>3</v>
      </c>
      <c r="G6" s="244" t="s">
        <v>1471</v>
      </c>
      <c r="H6" s="245">
        <v>1</v>
      </c>
    </row>
    <row r="7" spans="1:9" x14ac:dyDescent="0.25">
      <c r="A7" s="186" t="s">
        <v>58</v>
      </c>
      <c r="B7" s="96">
        <f>FileReviewW12!DL29</f>
        <v>0</v>
      </c>
      <c r="C7" s="187" t="s">
        <v>59</v>
      </c>
      <c r="E7" s="244" t="s">
        <v>1944</v>
      </c>
      <c r="F7" s="245">
        <v>2</v>
      </c>
      <c r="G7" s="244" t="s">
        <v>1944</v>
      </c>
      <c r="H7" s="245">
        <v>1</v>
      </c>
    </row>
    <row r="8" spans="1:9" x14ac:dyDescent="0.25">
      <c r="A8" s="186" t="s">
        <v>58</v>
      </c>
      <c r="B8" s="96">
        <f>FileReviewW12!DL30</f>
        <v>0</v>
      </c>
      <c r="C8" s="187" t="s">
        <v>59</v>
      </c>
      <c r="D8">
        <f>FileReviewW12!DP8</f>
        <v>5</v>
      </c>
      <c r="E8" s="244" t="s">
        <v>1945</v>
      </c>
      <c r="F8" s="245">
        <v>1</v>
      </c>
      <c r="G8" s="244" t="s">
        <v>1945</v>
      </c>
      <c r="H8" s="245">
        <v>1</v>
      </c>
    </row>
    <row r="9" spans="1:9" x14ac:dyDescent="0.25">
      <c r="A9" s="186" t="s">
        <v>58</v>
      </c>
      <c r="B9" s="96">
        <f>FileReviewW12!DL31</f>
        <v>2</v>
      </c>
      <c r="C9" s="187" t="s">
        <v>59</v>
      </c>
      <c r="D9">
        <f>FileReviewW12!DP9</f>
        <v>5</v>
      </c>
      <c r="E9" s="244" t="s">
        <v>1946</v>
      </c>
      <c r="F9" s="245">
        <v>2</v>
      </c>
      <c r="G9" s="244" t="s">
        <v>1946</v>
      </c>
      <c r="H9" s="245">
        <v>3</v>
      </c>
    </row>
    <row r="10" spans="1:9" x14ac:dyDescent="0.25">
      <c r="A10" s="186" t="s">
        <v>58</v>
      </c>
      <c r="B10" s="96">
        <f>FileReviewW12!DL32</f>
        <v>2</v>
      </c>
      <c r="C10" s="187" t="s">
        <v>59</v>
      </c>
      <c r="D10">
        <f>FileReviewW12!DP10</f>
        <v>21</v>
      </c>
      <c r="E10" s="244" t="s">
        <v>1947</v>
      </c>
      <c r="F10" s="245">
        <v>2</v>
      </c>
      <c r="G10" s="244" t="s">
        <v>1947</v>
      </c>
      <c r="H10" s="245">
        <v>3</v>
      </c>
    </row>
    <row r="11" spans="1:9" x14ac:dyDescent="0.25">
      <c r="A11" s="186" t="s">
        <v>58</v>
      </c>
      <c r="B11" s="96">
        <f>FileReviewW12!DL33</f>
        <v>1</v>
      </c>
      <c r="C11" s="187" t="s">
        <v>59</v>
      </c>
      <c r="E11" s="244" t="s">
        <v>1948</v>
      </c>
      <c r="F11" s="245">
        <v>3</v>
      </c>
      <c r="G11" s="244" t="s">
        <v>1948</v>
      </c>
      <c r="H11" s="245">
        <v>1</v>
      </c>
    </row>
    <row r="12" spans="1:9" x14ac:dyDescent="0.25">
      <c r="A12" s="186" t="s">
        <v>58</v>
      </c>
      <c r="B12" s="96">
        <f>FileReviewW12!DL34</f>
        <v>0</v>
      </c>
      <c r="C12" s="187" t="s">
        <v>59</v>
      </c>
      <c r="E12" s="244" t="s">
        <v>1949</v>
      </c>
      <c r="F12" s="245">
        <v>5</v>
      </c>
      <c r="G12" s="244" t="s">
        <v>1949</v>
      </c>
      <c r="H12" s="245">
        <v>5</v>
      </c>
    </row>
    <row r="13" spans="1:9" x14ac:dyDescent="0.25">
      <c r="A13" s="186" t="s">
        <v>58</v>
      </c>
      <c r="B13" s="239">
        <f>FileReviewW12!DL35</f>
        <v>2</v>
      </c>
      <c r="C13" s="187" t="s">
        <v>59</v>
      </c>
      <c r="D13">
        <f>FileReviewW12!DP13</f>
        <v>8</v>
      </c>
      <c r="E13" s="244" t="s">
        <v>1950</v>
      </c>
      <c r="F13" s="245">
        <v>2</v>
      </c>
      <c r="G13" s="244" t="s">
        <v>1950</v>
      </c>
      <c r="H13" s="245">
        <v>3</v>
      </c>
    </row>
    <row r="14" spans="1:9" x14ac:dyDescent="0.25">
      <c r="A14" s="186" t="s">
        <v>58</v>
      </c>
      <c r="B14" s="96">
        <f>FileReviewW12!DL36</f>
        <v>2</v>
      </c>
      <c r="C14" s="187" t="s">
        <v>59</v>
      </c>
      <c r="D14">
        <f>FileReviewW12!DP14</f>
        <v>7</v>
      </c>
      <c r="E14" s="244" t="s">
        <v>1951</v>
      </c>
      <c r="F14" s="245">
        <v>2</v>
      </c>
      <c r="G14" s="244" t="s">
        <v>1951</v>
      </c>
      <c r="H14" s="245">
        <v>2</v>
      </c>
    </row>
    <row r="15" spans="1:9" x14ac:dyDescent="0.25">
      <c r="A15" s="186" t="s">
        <v>58</v>
      </c>
      <c r="B15" s="96">
        <f>FileReviewW12!DL37</f>
        <v>0</v>
      </c>
      <c r="C15" s="187" t="s">
        <v>59</v>
      </c>
      <c r="D15">
        <f>FileReviewW12!DP15</f>
        <v>7</v>
      </c>
      <c r="E15" s="244" t="s">
        <v>1952</v>
      </c>
      <c r="F15" s="245">
        <v>7</v>
      </c>
      <c r="G15" s="244" t="s">
        <v>1952</v>
      </c>
      <c r="H15" s="245">
        <v>26</v>
      </c>
    </row>
    <row r="16" spans="1:9" x14ac:dyDescent="0.25">
      <c r="A16" s="186" t="s">
        <v>58</v>
      </c>
      <c r="B16" s="96">
        <f>FileReviewW12!DL38</f>
        <v>1</v>
      </c>
      <c r="C16" s="187" t="s">
        <v>59</v>
      </c>
      <c r="D16">
        <f>FileReviewW12!DP16</f>
        <v>14</v>
      </c>
      <c r="E16" s="244" t="s">
        <v>1953</v>
      </c>
      <c r="F16" s="245">
        <v>3</v>
      </c>
      <c r="G16" s="244" t="s">
        <v>1953</v>
      </c>
      <c r="H16" s="245">
        <v>1</v>
      </c>
    </row>
    <row r="17" spans="1:8" x14ac:dyDescent="0.25">
      <c r="A17" s="186" t="s">
        <v>58</v>
      </c>
      <c r="B17" s="96">
        <f>FileReviewW12!DL39</f>
        <v>1</v>
      </c>
      <c r="C17" s="187" t="s">
        <v>59</v>
      </c>
      <c r="D17">
        <f>FileReviewW12!DP17</f>
        <v>9</v>
      </c>
      <c r="E17" s="244" t="s">
        <v>1954</v>
      </c>
      <c r="F17" s="245">
        <v>2</v>
      </c>
      <c r="G17" s="244" t="s">
        <v>1954</v>
      </c>
      <c r="H17" s="245">
        <v>2</v>
      </c>
    </row>
    <row r="18" spans="1:8" x14ac:dyDescent="0.25">
      <c r="A18" s="186" t="s">
        <v>58</v>
      </c>
      <c r="B18" s="96">
        <f>FileReviewW12!DL40</f>
        <v>1</v>
      </c>
      <c r="C18" s="187" t="s">
        <v>59</v>
      </c>
      <c r="E18" s="244" t="s">
        <v>1955</v>
      </c>
      <c r="F18" s="245">
        <v>2</v>
      </c>
      <c r="G18" s="244" t="s">
        <v>1955</v>
      </c>
      <c r="H18" s="245">
        <v>1</v>
      </c>
    </row>
    <row r="19" spans="1:8" x14ac:dyDescent="0.25">
      <c r="A19" s="186" t="s">
        <v>58</v>
      </c>
      <c r="B19" s="96">
        <f>FileReviewW12!DL41</f>
        <v>0</v>
      </c>
      <c r="C19" s="187" t="s">
        <v>59</v>
      </c>
      <c r="E19" s="244" t="s">
        <v>1956</v>
      </c>
      <c r="F19" s="245">
        <v>3</v>
      </c>
      <c r="G19" s="244" t="s">
        <v>1956</v>
      </c>
      <c r="H19" s="245">
        <v>4</v>
      </c>
    </row>
    <row r="20" spans="1:8" x14ac:dyDescent="0.25">
      <c r="A20" s="186" t="s">
        <v>58</v>
      </c>
      <c r="B20" s="239">
        <f>FileReviewW12!DL42</f>
        <v>2</v>
      </c>
      <c r="C20" s="187" t="s">
        <v>59</v>
      </c>
      <c r="D20">
        <f>FileReviewW12!DP20</f>
        <v>8</v>
      </c>
      <c r="E20" s="244" t="s">
        <v>1957</v>
      </c>
      <c r="F20" s="245">
        <v>2</v>
      </c>
      <c r="G20" s="244" t="s">
        <v>1957</v>
      </c>
      <c r="H20" s="245">
        <v>5</v>
      </c>
    </row>
    <row r="21" spans="1:8" x14ac:dyDescent="0.25">
      <c r="A21" s="186" t="s">
        <v>58</v>
      </c>
      <c r="B21" s="96">
        <f>FileReviewW12!DL43</f>
        <v>2</v>
      </c>
      <c r="C21" s="187" t="s">
        <v>59</v>
      </c>
      <c r="E21" s="244" t="s">
        <v>1958</v>
      </c>
      <c r="F21" s="245">
        <v>2</v>
      </c>
      <c r="G21" s="244" t="s">
        <v>1958</v>
      </c>
      <c r="H21" s="245">
        <v>4</v>
      </c>
    </row>
    <row r="22" spans="1:8" x14ac:dyDescent="0.25">
      <c r="A22" s="186" t="s">
        <v>58</v>
      </c>
      <c r="B22" s="96">
        <f>FileReviewW12!DL44</f>
        <v>0</v>
      </c>
      <c r="C22" s="187" t="s">
        <v>59</v>
      </c>
      <c r="D22">
        <f>FileReviewW12!DP22</f>
        <v>19</v>
      </c>
      <c r="E22" s="244" t="s">
        <v>1959</v>
      </c>
      <c r="F22" s="245">
        <v>3</v>
      </c>
      <c r="G22" s="244" t="s">
        <v>1959</v>
      </c>
      <c r="H22" s="245">
        <v>1</v>
      </c>
    </row>
    <row r="23" spans="1:8" x14ac:dyDescent="0.25">
      <c r="A23" s="186" t="s">
        <v>58</v>
      </c>
      <c r="B23" s="96">
        <f>FileReviewW12!DL45</f>
        <v>3</v>
      </c>
      <c r="C23" s="187" t="s">
        <v>59</v>
      </c>
      <c r="D23">
        <f>FileReviewW12!DP23</f>
        <v>20</v>
      </c>
      <c r="E23" s="244" t="s">
        <v>1960</v>
      </c>
      <c r="F23" s="245">
        <v>3</v>
      </c>
      <c r="G23" s="244" t="s">
        <v>1960</v>
      </c>
      <c r="H23" s="245">
        <v>1</v>
      </c>
    </row>
    <row r="24" spans="1:8" x14ac:dyDescent="0.25">
      <c r="A24" s="186" t="s">
        <v>58</v>
      </c>
      <c r="B24" s="96">
        <f>FileReviewW12!DL46</f>
        <v>6</v>
      </c>
      <c r="C24" s="97"/>
      <c r="E24" s="244" t="s">
        <v>1961</v>
      </c>
      <c r="F24" s="245">
        <v>1</v>
      </c>
      <c r="G24" s="244" t="s">
        <v>1961</v>
      </c>
      <c r="H24" s="245">
        <v>6</v>
      </c>
    </row>
    <row r="25" spans="1:8" x14ac:dyDescent="0.25">
      <c r="A25" s="186" t="s">
        <v>58</v>
      </c>
      <c r="B25" s="96">
        <f>FileReviewW12!DL47</f>
        <v>1</v>
      </c>
      <c r="C25" s="97"/>
      <c r="E25" s="244" t="s">
        <v>1962</v>
      </c>
      <c r="F25" s="245">
        <v>1</v>
      </c>
      <c r="G25" s="244" t="s">
        <v>1962</v>
      </c>
      <c r="H25" s="245">
        <v>2</v>
      </c>
    </row>
    <row r="26" spans="1:8" x14ac:dyDescent="0.25">
      <c r="A26" s="186" t="s">
        <v>58</v>
      </c>
      <c r="B26" s="239">
        <f>FileReviewW12!DL48</f>
        <v>6</v>
      </c>
      <c r="C26" s="95"/>
      <c r="E26" s="244" t="s">
        <v>1963</v>
      </c>
      <c r="F26" s="245">
        <v>2</v>
      </c>
      <c r="G26" s="244" t="s">
        <v>1963</v>
      </c>
      <c r="H26" s="245">
        <v>1</v>
      </c>
    </row>
    <row r="27" spans="1:8" x14ac:dyDescent="0.25">
      <c r="A27" s="186" t="s">
        <v>58</v>
      </c>
      <c r="B27" s="96">
        <f>FileReviewW12!DL49</f>
        <v>0</v>
      </c>
      <c r="C27" s="97"/>
      <c r="E27" s="244" t="s">
        <v>1964</v>
      </c>
      <c r="F27" s="245">
        <v>3</v>
      </c>
      <c r="G27" s="244" t="s">
        <v>1964</v>
      </c>
      <c r="H27" s="245">
        <v>5</v>
      </c>
    </row>
    <row r="28" spans="1:8" x14ac:dyDescent="0.25">
      <c r="A28" s="186" t="s">
        <v>58</v>
      </c>
      <c r="B28" s="96">
        <f>FileReviewW12!DL50</f>
        <v>6</v>
      </c>
      <c r="C28" s="97"/>
      <c r="E28" s="244" t="s">
        <v>1965</v>
      </c>
      <c r="F28" s="245">
        <v>11</v>
      </c>
      <c r="G28" s="244" t="s">
        <v>1965</v>
      </c>
      <c r="H28" s="245">
        <v>4</v>
      </c>
    </row>
    <row r="29" spans="1:8" x14ac:dyDescent="0.25">
      <c r="A29" s="186" t="s">
        <v>58</v>
      </c>
      <c r="B29" s="96">
        <f>FileReviewW12!DL51</f>
        <v>1</v>
      </c>
      <c r="C29" s="97"/>
      <c r="E29" s="244" t="s">
        <v>1459</v>
      </c>
      <c r="F29" s="245">
        <v>1</v>
      </c>
      <c r="G29" s="244" t="s">
        <v>1459</v>
      </c>
      <c r="H29" s="245">
        <v>3</v>
      </c>
    </row>
    <row r="30" spans="1:8" x14ac:dyDescent="0.25">
      <c r="A30" s="186" t="s">
        <v>58</v>
      </c>
      <c r="B30" s="96">
        <f>FileReviewW12!DL52</f>
        <v>0</v>
      </c>
      <c r="C30" s="97"/>
      <c r="E30" s="244" t="s">
        <v>1966</v>
      </c>
      <c r="F30" s="245">
        <v>4</v>
      </c>
      <c r="G30" s="244" t="s">
        <v>1966</v>
      </c>
      <c r="H30" s="245">
        <v>3</v>
      </c>
    </row>
    <row r="31" spans="1:8" x14ac:dyDescent="0.25">
      <c r="A31" s="186" t="s">
        <v>58</v>
      </c>
      <c r="B31" s="239">
        <f>FileReviewW12!DL53</f>
        <v>1</v>
      </c>
      <c r="C31" s="95"/>
      <c r="E31" s="244" t="s">
        <v>1967</v>
      </c>
      <c r="F31" s="245">
        <v>2</v>
      </c>
      <c r="G31" s="244" t="s">
        <v>1967</v>
      </c>
      <c r="H31" s="245">
        <v>1</v>
      </c>
    </row>
    <row r="32" spans="1:8" x14ac:dyDescent="0.25">
      <c r="A32" s="186" t="s">
        <v>58</v>
      </c>
      <c r="B32" s="96">
        <f>FileReviewW12!DL54</f>
        <v>1</v>
      </c>
      <c r="C32" s="97"/>
      <c r="E32" s="244" t="s">
        <v>1968</v>
      </c>
      <c r="F32" s="245">
        <v>7</v>
      </c>
      <c r="G32" s="244" t="s">
        <v>1968</v>
      </c>
      <c r="H32" s="245">
        <v>1</v>
      </c>
    </row>
    <row r="33" spans="1:8" x14ac:dyDescent="0.25">
      <c r="A33" s="186" t="s">
        <v>58</v>
      </c>
      <c r="B33" s="96">
        <f>FileReviewW12!DL55</f>
        <v>1</v>
      </c>
      <c r="C33" s="97"/>
      <c r="E33" s="244" t="s">
        <v>1969</v>
      </c>
      <c r="F33" s="245">
        <v>2</v>
      </c>
      <c r="G33" s="244" t="s">
        <v>1969</v>
      </c>
      <c r="H33" s="245">
        <v>4</v>
      </c>
    </row>
    <row r="34" spans="1:8" x14ac:dyDescent="0.25">
      <c r="A34" s="186" t="s">
        <v>58</v>
      </c>
      <c r="B34" s="96">
        <f>FileReviewW12!DL56</f>
        <v>0</v>
      </c>
      <c r="C34" s="97"/>
      <c r="E34" s="244" t="s">
        <v>1970</v>
      </c>
      <c r="F34" s="245">
        <v>1</v>
      </c>
      <c r="G34" s="244" t="s">
        <v>1970</v>
      </c>
      <c r="H34" s="245">
        <v>1</v>
      </c>
    </row>
    <row r="35" spans="1:8" x14ac:dyDescent="0.25">
      <c r="A35" s="186" t="s">
        <v>58</v>
      </c>
      <c r="B35" s="239">
        <f>FileReviewW12!DL57</f>
        <v>0</v>
      </c>
      <c r="C35" s="95"/>
      <c r="E35" s="244" t="s">
        <v>1971</v>
      </c>
      <c r="F35" s="245">
        <v>2</v>
      </c>
      <c r="G35" s="244" t="s">
        <v>1971</v>
      </c>
      <c r="H35" s="245">
        <v>7</v>
      </c>
    </row>
    <row r="36" spans="1:8" x14ac:dyDescent="0.25">
      <c r="A36" s="186" t="s">
        <v>58</v>
      </c>
      <c r="B36" s="96">
        <f>FileReviewW12!DL58</f>
        <v>2</v>
      </c>
      <c r="C36" s="97"/>
      <c r="E36" s="244" t="s">
        <v>1972</v>
      </c>
      <c r="F36" s="245">
        <v>5</v>
      </c>
      <c r="G36" s="244" t="s">
        <v>1972</v>
      </c>
      <c r="H36" s="245">
        <v>2</v>
      </c>
    </row>
    <row r="37" spans="1:8" x14ac:dyDescent="0.25">
      <c r="A37" s="186" t="s">
        <v>58</v>
      </c>
      <c r="B37" s="87">
        <f>FileReviewW12!DL59</f>
        <v>1</v>
      </c>
      <c r="C37" s="88"/>
      <c r="E37" s="244" t="s">
        <v>1973</v>
      </c>
      <c r="F37" s="245">
        <v>5</v>
      </c>
      <c r="G37" s="244" t="s">
        <v>1973</v>
      </c>
      <c r="H37" s="245">
        <v>1</v>
      </c>
    </row>
    <row r="38" spans="1:8" x14ac:dyDescent="0.25">
      <c r="A38" s="186" t="s">
        <v>58</v>
      </c>
      <c r="B38" s="240">
        <f>FileReviewW12!DL60</f>
        <v>3</v>
      </c>
      <c r="E38" s="244" t="s">
        <v>1974</v>
      </c>
      <c r="F38" s="245">
        <v>2</v>
      </c>
      <c r="G38" s="244" t="s">
        <v>1974</v>
      </c>
      <c r="H38" s="245">
        <v>1</v>
      </c>
    </row>
    <row r="39" spans="1:8" x14ac:dyDescent="0.25">
      <c r="A39" s="186" t="s">
        <v>58</v>
      </c>
      <c r="B39" s="240">
        <f>FileReviewW12!DL61</f>
        <v>1</v>
      </c>
      <c r="E39" s="244" t="s">
        <v>1470</v>
      </c>
      <c r="F39" s="245">
        <v>6</v>
      </c>
      <c r="G39" s="244" t="s">
        <v>1470</v>
      </c>
      <c r="H39" s="245">
        <v>4</v>
      </c>
    </row>
    <row r="40" spans="1:8" x14ac:dyDescent="0.25">
      <c r="A40" s="186" t="s">
        <v>58</v>
      </c>
      <c r="B40" s="240">
        <f>FileReviewW12!DL62</f>
        <v>3</v>
      </c>
      <c r="E40" s="244" t="s">
        <v>1975</v>
      </c>
      <c r="F40" s="245">
        <v>1</v>
      </c>
      <c r="G40" s="244" t="s">
        <v>1975</v>
      </c>
      <c r="H40" s="245">
        <v>1</v>
      </c>
    </row>
    <row r="41" spans="1:8" x14ac:dyDescent="0.25">
      <c r="A41" s="186" t="s">
        <v>58</v>
      </c>
      <c r="B41" s="240">
        <f>FileReviewW12!DL63</f>
        <v>0</v>
      </c>
      <c r="E41" s="244" t="s">
        <v>1976</v>
      </c>
      <c r="F41" s="245">
        <v>5</v>
      </c>
      <c r="G41" s="244" t="s">
        <v>1976</v>
      </c>
      <c r="H41" s="245">
        <v>3</v>
      </c>
    </row>
    <row r="42" spans="1:8" x14ac:dyDescent="0.25">
      <c r="A42" s="186" t="s">
        <v>58</v>
      </c>
      <c r="B42" s="240">
        <f>FileReviewW12!DL64</f>
        <v>0</v>
      </c>
      <c r="E42" s="244" t="s">
        <v>1977</v>
      </c>
      <c r="F42" s="245">
        <v>1</v>
      </c>
      <c r="G42" s="244" t="s">
        <v>1977</v>
      </c>
      <c r="H42" s="245">
        <v>3</v>
      </c>
    </row>
    <row r="43" spans="1:8" x14ac:dyDescent="0.25">
      <c r="A43" s="186" t="s">
        <v>58</v>
      </c>
      <c r="B43" s="240">
        <f>FileReviewW12!DL65</f>
        <v>1</v>
      </c>
      <c r="E43" s="244" t="s">
        <v>173</v>
      </c>
      <c r="F43" s="245">
        <v>1</v>
      </c>
      <c r="G43" s="244" t="s">
        <v>173</v>
      </c>
      <c r="H43" s="245">
        <v>1</v>
      </c>
    </row>
    <row r="44" spans="1:8" x14ac:dyDescent="0.25">
      <c r="A44" s="186" t="s">
        <v>58</v>
      </c>
      <c r="B44" s="240">
        <f>FileReviewW12!DL66</f>
        <v>1</v>
      </c>
      <c r="E44" s="244" t="s">
        <v>1978</v>
      </c>
      <c r="F44" s="245">
        <v>2</v>
      </c>
      <c r="G44" s="244" t="s">
        <v>1978</v>
      </c>
      <c r="H44" s="245">
        <v>3</v>
      </c>
    </row>
    <row r="45" spans="1:8" x14ac:dyDescent="0.25">
      <c r="A45" s="186" t="s">
        <v>58</v>
      </c>
      <c r="B45" s="240">
        <f>FileReviewW12!DL67</f>
        <v>3</v>
      </c>
      <c r="E45" s="244" t="s">
        <v>1979</v>
      </c>
      <c r="F45" s="245">
        <v>4</v>
      </c>
      <c r="G45" s="244" t="s">
        <v>1979</v>
      </c>
      <c r="H45" s="245">
        <v>3</v>
      </c>
    </row>
    <row r="46" spans="1:8" x14ac:dyDescent="0.25">
      <c r="A46" s="186" t="s">
        <v>58</v>
      </c>
      <c r="B46" s="240">
        <f>FileReviewW12!DL68</f>
        <v>0</v>
      </c>
      <c r="E46" s="244" t="s">
        <v>1980</v>
      </c>
      <c r="F46" s="245">
        <v>2</v>
      </c>
      <c r="G46" s="244" t="s">
        <v>1980</v>
      </c>
      <c r="H46" s="245">
        <v>3</v>
      </c>
    </row>
    <row r="47" spans="1:8" x14ac:dyDescent="0.25">
      <c r="A47" s="186" t="s">
        <v>58</v>
      </c>
      <c r="B47" s="240">
        <f>FileReviewW12!DL69</f>
        <v>0</v>
      </c>
      <c r="E47" s="244" t="s">
        <v>1981</v>
      </c>
      <c r="F47" s="245">
        <v>1</v>
      </c>
      <c r="G47" s="244" t="s">
        <v>1981</v>
      </c>
      <c r="H47" s="245">
        <v>2</v>
      </c>
    </row>
    <row r="48" spans="1:8" x14ac:dyDescent="0.25">
      <c r="A48" s="186" t="s">
        <v>58</v>
      </c>
      <c r="B48" s="240">
        <f>FileReviewW12!DL70</f>
        <v>1</v>
      </c>
      <c r="E48" s="244" t="s">
        <v>1982</v>
      </c>
      <c r="F48" s="245">
        <v>4</v>
      </c>
      <c r="G48" s="244" t="s">
        <v>1982</v>
      </c>
      <c r="H48" s="245">
        <v>1</v>
      </c>
    </row>
    <row r="49" spans="1:8" x14ac:dyDescent="0.25">
      <c r="A49" s="186" t="s">
        <v>58</v>
      </c>
      <c r="B49" s="240">
        <f>FileReviewW12!DL71</f>
        <v>1</v>
      </c>
      <c r="E49" s="244" t="s">
        <v>1983</v>
      </c>
      <c r="F49" s="245">
        <v>1</v>
      </c>
      <c r="G49" s="244" t="s">
        <v>1983</v>
      </c>
      <c r="H49" s="245">
        <v>6</v>
      </c>
    </row>
    <row r="50" spans="1:8" x14ac:dyDescent="0.25">
      <c r="A50" s="186" t="s">
        <v>58</v>
      </c>
      <c r="B50" s="240">
        <f>FileReviewW12!DL72</f>
        <v>7</v>
      </c>
      <c r="E50" s="244" t="s">
        <v>1463</v>
      </c>
      <c r="F50" s="245">
        <v>3</v>
      </c>
      <c r="G50" s="244" t="s">
        <v>1463</v>
      </c>
      <c r="H50" s="245">
        <v>2</v>
      </c>
    </row>
    <row r="51" spans="1:8" x14ac:dyDescent="0.25">
      <c r="A51" s="186" t="s">
        <v>58</v>
      </c>
      <c r="B51" s="240">
        <f>FileReviewW12!DL73</f>
        <v>2</v>
      </c>
      <c r="E51" s="244" t="s">
        <v>1444</v>
      </c>
      <c r="F51" s="245">
        <v>1</v>
      </c>
      <c r="G51" s="244" t="s">
        <v>1444</v>
      </c>
      <c r="H51" s="245">
        <v>1</v>
      </c>
    </row>
    <row r="52" spans="1:8" x14ac:dyDescent="0.25">
      <c r="A52" s="186" t="s">
        <v>58</v>
      </c>
      <c r="B52" s="240">
        <f>FileReviewW12!DL74</f>
        <v>2</v>
      </c>
      <c r="E52" s="244" t="s">
        <v>1473</v>
      </c>
      <c r="F52" s="245">
        <v>4</v>
      </c>
      <c r="G52" s="244" t="s">
        <v>1473</v>
      </c>
      <c r="H52" s="245">
        <v>2</v>
      </c>
    </row>
    <row r="53" spans="1:8" x14ac:dyDescent="0.25">
      <c r="A53" s="186" t="s">
        <v>58</v>
      </c>
      <c r="B53" s="240">
        <f>FileReviewW12!DL75</f>
        <v>2</v>
      </c>
      <c r="E53" s="244" t="s">
        <v>1984</v>
      </c>
      <c r="F53" s="245">
        <v>1</v>
      </c>
      <c r="G53" s="244" t="s">
        <v>1984</v>
      </c>
      <c r="H53" s="245">
        <v>3</v>
      </c>
    </row>
    <row r="54" spans="1:8" x14ac:dyDescent="0.25">
      <c r="E54" s="244" t="s">
        <v>1985</v>
      </c>
      <c r="F54" s="245">
        <v>6</v>
      </c>
      <c r="G54" s="244" t="s">
        <v>1985</v>
      </c>
      <c r="H54" s="245">
        <v>8</v>
      </c>
    </row>
    <row r="55" spans="1:8" x14ac:dyDescent="0.25">
      <c r="E55" s="244" t="s">
        <v>1986</v>
      </c>
      <c r="F55" s="245">
        <v>9</v>
      </c>
      <c r="G55" s="244" t="s">
        <v>1986</v>
      </c>
      <c r="H55" s="245">
        <v>4</v>
      </c>
    </row>
    <row r="56" spans="1:8" x14ac:dyDescent="0.25">
      <c r="E56" s="244" t="s">
        <v>1987</v>
      </c>
      <c r="F56" s="245">
        <v>4</v>
      </c>
      <c r="G56" s="244" t="s">
        <v>1987</v>
      </c>
      <c r="H56" s="245">
        <v>4</v>
      </c>
    </row>
    <row r="57" spans="1:8" x14ac:dyDescent="0.25">
      <c r="E57" s="244" t="s">
        <v>1988</v>
      </c>
      <c r="F57" s="245">
        <v>1</v>
      </c>
      <c r="G57" s="244" t="s">
        <v>1988</v>
      </c>
      <c r="H57" s="245">
        <v>1</v>
      </c>
    </row>
    <row r="58" spans="1:8" x14ac:dyDescent="0.25">
      <c r="E58" s="244" t="s">
        <v>1989</v>
      </c>
      <c r="F58" s="245">
        <v>1</v>
      </c>
      <c r="G58" s="244" t="s">
        <v>1989</v>
      </c>
      <c r="H58" s="245">
        <v>3</v>
      </c>
    </row>
    <row r="59" spans="1:8" x14ac:dyDescent="0.25">
      <c r="E59" s="244" t="s">
        <v>1990</v>
      </c>
      <c r="F59" s="245">
        <v>1</v>
      </c>
      <c r="G59" s="244" t="s">
        <v>1990</v>
      </c>
      <c r="H59" s="245">
        <v>4</v>
      </c>
    </row>
    <row r="60" spans="1:8" x14ac:dyDescent="0.25">
      <c r="E60" s="244" t="s">
        <v>1991</v>
      </c>
      <c r="F60" s="245">
        <v>1</v>
      </c>
      <c r="G60" s="244" t="s">
        <v>1991</v>
      </c>
      <c r="H60" s="245">
        <v>5</v>
      </c>
    </row>
    <row r="61" spans="1:8" x14ac:dyDescent="0.25">
      <c r="E61" s="244" t="s">
        <v>1992</v>
      </c>
      <c r="F61" s="245">
        <v>4</v>
      </c>
      <c r="G61" s="244" t="s">
        <v>1992</v>
      </c>
      <c r="H61" s="245">
        <v>2</v>
      </c>
    </row>
    <row r="62" spans="1:8" x14ac:dyDescent="0.25">
      <c r="E62" s="244" t="s">
        <v>1993</v>
      </c>
      <c r="F62" s="245">
        <v>4</v>
      </c>
      <c r="G62" s="244" t="s">
        <v>1993</v>
      </c>
      <c r="H62" s="245">
        <v>4</v>
      </c>
    </row>
    <row r="63" spans="1:8" x14ac:dyDescent="0.25">
      <c r="E63" s="244" t="s">
        <v>1994</v>
      </c>
      <c r="F63" s="245">
        <v>1</v>
      </c>
      <c r="G63" s="244" t="s">
        <v>1994</v>
      </c>
      <c r="H63" s="245">
        <v>4</v>
      </c>
    </row>
    <row r="64" spans="1:8" x14ac:dyDescent="0.25">
      <c r="E64" s="244" t="s">
        <v>1995</v>
      </c>
      <c r="F64" s="245">
        <v>2</v>
      </c>
      <c r="G64" s="244" t="s">
        <v>1995</v>
      </c>
      <c r="H64" s="245">
        <v>3</v>
      </c>
    </row>
    <row r="65" spans="5:8" x14ac:dyDescent="0.25">
      <c r="E65" s="244" t="s">
        <v>1996</v>
      </c>
      <c r="F65" s="245">
        <v>4</v>
      </c>
      <c r="G65" s="244" t="s">
        <v>1996</v>
      </c>
      <c r="H65" s="245">
        <v>4</v>
      </c>
    </row>
    <row r="66" spans="5:8" x14ac:dyDescent="0.25">
      <c r="E66" s="244" t="s">
        <v>1997</v>
      </c>
      <c r="F66" s="245">
        <v>6</v>
      </c>
      <c r="G66" s="244" t="s">
        <v>1997</v>
      </c>
      <c r="H66" s="245">
        <v>4</v>
      </c>
    </row>
    <row r="67" spans="5:8" x14ac:dyDescent="0.25">
      <c r="E67" s="244" t="s">
        <v>1486</v>
      </c>
      <c r="F67" s="245">
        <v>1</v>
      </c>
      <c r="G67" s="244" t="s">
        <v>1486</v>
      </c>
      <c r="H67" s="245">
        <v>3</v>
      </c>
    </row>
    <row r="68" spans="5:8" x14ac:dyDescent="0.25">
      <c r="E68" s="244" t="s">
        <v>1460</v>
      </c>
      <c r="F68" s="245">
        <v>3</v>
      </c>
      <c r="G68" s="244" t="s">
        <v>1460</v>
      </c>
      <c r="H68" s="245">
        <v>1</v>
      </c>
    </row>
    <row r="69" spans="5:8" x14ac:dyDescent="0.25">
      <c r="E69" s="244" t="s">
        <v>1998</v>
      </c>
      <c r="F69" s="245">
        <v>1</v>
      </c>
      <c r="G69" s="244" t="s">
        <v>1998</v>
      </c>
      <c r="H69" s="245">
        <v>7</v>
      </c>
    </row>
    <row r="70" spans="5:8" x14ac:dyDescent="0.25">
      <c r="E70" s="244" t="s">
        <v>1999</v>
      </c>
      <c r="F70" s="245">
        <v>1</v>
      </c>
      <c r="G70" s="244" t="s">
        <v>1999</v>
      </c>
      <c r="H70" s="245">
        <v>2</v>
      </c>
    </row>
    <row r="71" spans="5:8" x14ac:dyDescent="0.25">
      <c r="E71" s="244" t="s">
        <v>2000</v>
      </c>
      <c r="F71" s="245">
        <v>3</v>
      </c>
      <c r="G71" s="244" t="s">
        <v>2000</v>
      </c>
      <c r="H71" s="245">
        <v>1</v>
      </c>
    </row>
    <row r="72" spans="5:8" x14ac:dyDescent="0.25">
      <c r="E72" s="244" t="s">
        <v>2001</v>
      </c>
      <c r="F72" s="245">
        <v>2</v>
      </c>
      <c r="G72" s="244" t="s">
        <v>2001</v>
      </c>
      <c r="H72" s="245">
        <v>1</v>
      </c>
    </row>
    <row r="73" spans="5:8" x14ac:dyDescent="0.25">
      <c r="E73" s="244" t="s">
        <v>2002</v>
      </c>
      <c r="F73" s="245">
        <v>3</v>
      </c>
      <c r="G73" s="244" t="s">
        <v>2002</v>
      </c>
      <c r="H73" s="245">
        <v>1</v>
      </c>
    </row>
    <row r="74" spans="5:8" x14ac:dyDescent="0.25">
      <c r="E74" s="244" t="s">
        <v>2003</v>
      </c>
      <c r="F74" s="245">
        <v>2</v>
      </c>
      <c r="G74" s="244" t="s">
        <v>2003</v>
      </c>
      <c r="H74" s="245">
        <v>10</v>
      </c>
    </row>
    <row r="75" spans="5:8" x14ac:dyDescent="0.25">
      <c r="E75" s="244" t="s">
        <v>2004</v>
      </c>
      <c r="F75" s="245">
        <v>4</v>
      </c>
      <c r="G75" s="244" t="s">
        <v>2004</v>
      </c>
      <c r="H75" s="245">
        <v>4</v>
      </c>
    </row>
    <row r="76" spans="5:8" x14ac:dyDescent="0.25">
      <c r="E76" s="244" t="s">
        <v>2005</v>
      </c>
      <c r="F76" s="245">
        <v>1</v>
      </c>
      <c r="G76" s="244" t="s">
        <v>2005</v>
      </c>
      <c r="H76" s="245">
        <v>3</v>
      </c>
    </row>
    <row r="77" spans="5:8" x14ac:dyDescent="0.25">
      <c r="E77" s="244" t="s">
        <v>2006</v>
      </c>
      <c r="F77" s="245">
        <v>4</v>
      </c>
      <c r="G77" s="244" t="s">
        <v>2006</v>
      </c>
      <c r="H77" s="245">
        <v>1</v>
      </c>
    </row>
    <row r="78" spans="5:8" x14ac:dyDescent="0.25">
      <c r="E78" s="244" t="s">
        <v>2007</v>
      </c>
      <c r="F78" s="245">
        <v>1</v>
      </c>
      <c r="G78" s="244" t="s">
        <v>2007</v>
      </c>
      <c r="H78" s="245">
        <v>3</v>
      </c>
    </row>
    <row r="79" spans="5:8" x14ac:dyDescent="0.25">
      <c r="E79" s="244" t="s">
        <v>2008</v>
      </c>
      <c r="F79" s="245">
        <v>2</v>
      </c>
      <c r="G79" s="244" t="s">
        <v>2008</v>
      </c>
      <c r="H79" s="245">
        <v>2</v>
      </c>
    </row>
    <row r="80" spans="5:8" x14ac:dyDescent="0.25">
      <c r="E80" s="244" t="s">
        <v>2009</v>
      </c>
      <c r="F80" s="245">
        <v>1</v>
      </c>
      <c r="G80" s="244" t="s">
        <v>2009</v>
      </c>
      <c r="H80" s="245">
        <v>3</v>
      </c>
    </row>
    <row r="81" spans="5:8" x14ac:dyDescent="0.25">
      <c r="E81" s="244" t="s">
        <v>2010</v>
      </c>
      <c r="F81" s="245">
        <v>4</v>
      </c>
      <c r="G81" s="244" t="s">
        <v>2010</v>
      </c>
      <c r="H81" s="245">
        <v>2</v>
      </c>
    </row>
    <row r="82" spans="5:8" x14ac:dyDescent="0.25">
      <c r="E82" s="244" t="s">
        <v>2011</v>
      </c>
      <c r="F82" s="245">
        <v>1</v>
      </c>
      <c r="G82" s="244" t="s">
        <v>2011</v>
      </c>
      <c r="H82" s="245">
        <v>3</v>
      </c>
    </row>
    <row r="83" spans="5:8" x14ac:dyDescent="0.25">
      <c r="E83" s="244" t="s">
        <v>2012</v>
      </c>
      <c r="F83" s="245">
        <v>1</v>
      </c>
      <c r="G83" s="244" t="s">
        <v>2012</v>
      </c>
      <c r="H83" s="245">
        <v>1</v>
      </c>
    </row>
    <row r="84" spans="5:8" x14ac:dyDescent="0.25">
      <c r="E84" s="244" t="s">
        <v>1456</v>
      </c>
      <c r="F84" s="245">
        <v>4</v>
      </c>
      <c r="G84" s="244" t="s">
        <v>1456</v>
      </c>
      <c r="H84" s="245">
        <v>1</v>
      </c>
    </row>
    <row r="85" spans="5:8" x14ac:dyDescent="0.25">
      <c r="E85" s="244" t="s">
        <v>2013</v>
      </c>
      <c r="F85" s="245">
        <v>3</v>
      </c>
      <c r="G85" s="244" t="s">
        <v>2013</v>
      </c>
      <c r="H85" s="245">
        <v>1</v>
      </c>
    </row>
    <row r="86" spans="5:8" x14ac:dyDescent="0.25">
      <c r="E86" s="244" t="s">
        <v>2014</v>
      </c>
      <c r="F86" s="245">
        <v>3</v>
      </c>
      <c r="G86" s="244" t="s">
        <v>2014</v>
      </c>
      <c r="H86" s="245">
        <v>5</v>
      </c>
    </row>
    <row r="87" spans="5:8" x14ac:dyDescent="0.25">
      <c r="E87" s="244" t="s">
        <v>2015</v>
      </c>
      <c r="F87" s="245">
        <v>1</v>
      </c>
      <c r="G87" s="244" t="s">
        <v>2015</v>
      </c>
      <c r="H87" s="245">
        <v>3</v>
      </c>
    </row>
    <row r="88" spans="5:8" x14ac:dyDescent="0.25">
      <c r="E88" s="244" t="s">
        <v>1453</v>
      </c>
      <c r="F88" s="245">
        <v>1</v>
      </c>
      <c r="G88" s="244" t="s">
        <v>1453</v>
      </c>
      <c r="H88" s="245">
        <v>1</v>
      </c>
    </row>
    <row r="89" spans="5:8" x14ac:dyDescent="0.25">
      <c r="E89" s="244" t="s">
        <v>2016</v>
      </c>
      <c r="F89" s="245">
        <v>6</v>
      </c>
      <c r="G89" s="244" t="s">
        <v>2016</v>
      </c>
      <c r="H89" s="245">
        <v>11</v>
      </c>
    </row>
    <row r="90" spans="5:8" x14ac:dyDescent="0.25">
      <c r="E90" s="244" t="s">
        <v>2017</v>
      </c>
      <c r="F90" s="245">
        <v>1</v>
      </c>
      <c r="G90" s="244" t="s">
        <v>2017</v>
      </c>
      <c r="H90" s="245">
        <v>1</v>
      </c>
    </row>
    <row r="91" spans="5:8" x14ac:dyDescent="0.25">
      <c r="E91" s="244" t="s">
        <v>2018</v>
      </c>
      <c r="F91" s="245">
        <v>6</v>
      </c>
      <c r="G91" s="244" t="s">
        <v>2018</v>
      </c>
      <c r="H91" s="245">
        <v>1</v>
      </c>
    </row>
    <row r="92" spans="5:8" x14ac:dyDescent="0.25">
      <c r="E92" s="244" t="s">
        <v>2019</v>
      </c>
      <c r="F92" s="245">
        <v>3</v>
      </c>
      <c r="G92" s="244" t="s">
        <v>2019</v>
      </c>
      <c r="H92" s="245">
        <v>5</v>
      </c>
    </row>
    <row r="93" spans="5:8" x14ac:dyDescent="0.25">
      <c r="E93" s="244" t="s">
        <v>2020</v>
      </c>
      <c r="F93" s="245">
        <v>1</v>
      </c>
      <c r="G93" s="244" t="s">
        <v>2020</v>
      </c>
      <c r="H93" s="245">
        <v>1</v>
      </c>
    </row>
    <row r="94" spans="5:8" x14ac:dyDescent="0.25">
      <c r="E94" s="244" t="s">
        <v>2021</v>
      </c>
      <c r="F94" s="245">
        <v>2</v>
      </c>
      <c r="G94" s="244" t="s">
        <v>2021</v>
      </c>
      <c r="H94" s="245">
        <v>1</v>
      </c>
    </row>
    <row r="95" spans="5:8" x14ac:dyDescent="0.25">
      <c r="E95" s="244" t="s">
        <v>2022</v>
      </c>
      <c r="F95" s="245">
        <v>5</v>
      </c>
      <c r="G95" s="244" t="s">
        <v>2022</v>
      </c>
      <c r="H95" s="245">
        <v>2</v>
      </c>
    </row>
    <row r="96" spans="5:8" x14ac:dyDescent="0.25">
      <c r="E96" s="244" t="s">
        <v>1475</v>
      </c>
      <c r="F96" s="245">
        <v>4</v>
      </c>
      <c r="G96" s="244" t="s">
        <v>1475</v>
      </c>
      <c r="H96" s="245">
        <v>3</v>
      </c>
    </row>
    <row r="97" spans="5:8" x14ac:dyDescent="0.25">
      <c r="E97" s="244" t="s">
        <v>2023</v>
      </c>
      <c r="F97" s="245">
        <v>1</v>
      </c>
      <c r="G97" s="244" t="s">
        <v>2023</v>
      </c>
      <c r="H97" s="245">
        <v>4</v>
      </c>
    </row>
    <row r="98" spans="5:8" x14ac:dyDescent="0.25">
      <c r="E98" s="244" t="s">
        <v>2024</v>
      </c>
      <c r="F98" s="245">
        <v>2</v>
      </c>
      <c r="G98" s="244" t="s">
        <v>2024</v>
      </c>
      <c r="H98" s="245">
        <v>5</v>
      </c>
    </row>
    <row r="99" spans="5:8" x14ac:dyDescent="0.25">
      <c r="E99" s="244" t="s">
        <v>2025</v>
      </c>
      <c r="F99" s="245">
        <v>5</v>
      </c>
      <c r="G99" s="244" t="s">
        <v>2025</v>
      </c>
      <c r="H99" s="245">
        <v>2</v>
      </c>
    </row>
    <row r="100" spans="5:8" x14ac:dyDescent="0.25">
      <c r="E100" s="244" t="s">
        <v>2026</v>
      </c>
      <c r="F100" s="245">
        <v>1</v>
      </c>
      <c r="G100" s="244" t="s">
        <v>2026</v>
      </c>
      <c r="H100" s="245">
        <v>2</v>
      </c>
    </row>
    <row r="101" spans="5:8" x14ac:dyDescent="0.25">
      <c r="E101" s="244" t="s">
        <v>1478</v>
      </c>
      <c r="F101" s="245">
        <v>1</v>
      </c>
      <c r="G101" s="244" t="s">
        <v>1478</v>
      </c>
      <c r="H101" s="245">
        <v>2</v>
      </c>
    </row>
    <row r="102" spans="5:8" x14ac:dyDescent="0.25">
      <c r="E102" s="244" t="s">
        <v>2027</v>
      </c>
      <c r="F102" s="245">
        <v>1</v>
      </c>
      <c r="G102" s="244" t="s">
        <v>2027</v>
      </c>
      <c r="H102" s="245">
        <v>1</v>
      </c>
    </row>
    <row r="103" spans="5:8" x14ac:dyDescent="0.25">
      <c r="E103" s="244" t="s">
        <v>2028</v>
      </c>
      <c r="F103" s="245">
        <v>2</v>
      </c>
      <c r="G103" s="244" t="s">
        <v>2028</v>
      </c>
      <c r="H103" s="245">
        <v>3</v>
      </c>
    </row>
    <row r="104" spans="5:8" x14ac:dyDescent="0.25">
      <c r="E104" s="244" t="s">
        <v>2029</v>
      </c>
      <c r="F104" s="245">
        <v>1</v>
      </c>
      <c r="G104" s="244" t="s">
        <v>2029</v>
      </c>
      <c r="H104" s="245">
        <v>5</v>
      </c>
    </row>
    <row r="105" spans="5:8" x14ac:dyDescent="0.25">
      <c r="E105" s="244" t="s">
        <v>2030</v>
      </c>
      <c r="F105" s="245">
        <v>1</v>
      </c>
      <c r="G105" s="244" t="s">
        <v>2030</v>
      </c>
      <c r="H105" s="245">
        <v>1</v>
      </c>
    </row>
    <row r="106" spans="5:8" x14ac:dyDescent="0.25">
      <c r="E106" s="244" t="s">
        <v>1451</v>
      </c>
      <c r="F106" s="245">
        <v>1</v>
      </c>
      <c r="G106" s="244" t="s">
        <v>1451</v>
      </c>
      <c r="H106" s="245">
        <v>5</v>
      </c>
    </row>
    <row r="107" spans="5:8" x14ac:dyDescent="0.25">
      <c r="E107" s="244" t="s">
        <v>2031</v>
      </c>
      <c r="F107" s="245">
        <v>1</v>
      </c>
      <c r="G107" s="244" t="s">
        <v>2031</v>
      </c>
      <c r="H107" s="245">
        <v>2</v>
      </c>
    </row>
    <row r="108" spans="5:8" x14ac:dyDescent="0.25">
      <c r="E108" s="244" t="s">
        <v>1487</v>
      </c>
      <c r="F108" s="245">
        <v>2</v>
      </c>
      <c r="G108" s="244" t="s">
        <v>1487</v>
      </c>
      <c r="H108" s="245">
        <v>1</v>
      </c>
    </row>
    <row r="109" spans="5:8" x14ac:dyDescent="0.25">
      <c r="E109" s="244" t="s">
        <v>2032</v>
      </c>
      <c r="F109" s="245">
        <v>2</v>
      </c>
      <c r="G109" s="244" t="s">
        <v>2032</v>
      </c>
      <c r="H109" s="245">
        <v>2</v>
      </c>
    </row>
    <row r="110" spans="5:8" x14ac:dyDescent="0.25">
      <c r="E110" s="244" t="s">
        <v>1448</v>
      </c>
      <c r="F110" s="245">
        <v>2</v>
      </c>
      <c r="G110" s="244" t="s">
        <v>1448</v>
      </c>
      <c r="H110" s="245">
        <v>3</v>
      </c>
    </row>
    <row r="111" spans="5:8" x14ac:dyDescent="0.25">
      <c r="E111" s="244" t="s">
        <v>2033</v>
      </c>
      <c r="F111" s="245">
        <v>1</v>
      </c>
      <c r="G111" s="244" t="s">
        <v>2033</v>
      </c>
      <c r="H111" s="245">
        <v>1</v>
      </c>
    </row>
    <row r="112" spans="5:8" x14ac:dyDescent="0.25">
      <c r="E112" s="244" t="s">
        <v>2034</v>
      </c>
      <c r="F112" s="245">
        <v>1</v>
      </c>
      <c r="G112" s="244" t="s">
        <v>2034</v>
      </c>
      <c r="H112" s="245">
        <v>5</v>
      </c>
    </row>
    <row r="113" spans="5:8" x14ac:dyDescent="0.25">
      <c r="E113" s="244" t="s">
        <v>2035</v>
      </c>
      <c r="F113" s="245">
        <v>1</v>
      </c>
      <c r="G113" s="244" t="s">
        <v>2035</v>
      </c>
      <c r="H113" s="245">
        <v>2</v>
      </c>
    </row>
    <row r="114" spans="5:8" x14ac:dyDescent="0.25">
      <c r="E114" s="244" t="s">
        <v>2036</v>
      </c>
      <c r="F114" s="245">
        <v>2</v>
      </c>
      <c r="G114" s="244" t="s">
        <v>2036</v>
      </c>
      <c r="H114" s="245">
        <v>2</v>
      </c>
    </row>
    <row r="115" spans="5:8" x14ac:dyDescent="0.25">
      <c r="E115" s="244" t="s">
        <v>2037</v>
      </c>
      <c r="F115" s="245">
        <v>3</v>
      </c>
      <c r="G115" s="244" t="s">
        <v>2037</v>
      </c>
      <c r="H115" s="245">
        <v>1</v>
      </c>
    </row>
    <row r="116" spans="5:8" x14ac:dyDescent="0.25">
      <c r="E116" s="244" t="s">
        <v>2038</v>
      </c>
      <c r="F116" s="245">
        <v>1</v>
      </c>
      <c r="G116" s="244" t="s">
        <v>2038</v>
      </c>
      <c r="H116" s="245">
        <v>1</v>
      </c>
    </row>
    <row r="117" spans="5:8" x14ac:dyDescent="0.25">
      <c r="E117" s="244" t="s">
        <v>2039</v>
      </c>
      <c r="F117" s="245">
        <v>2</v>
      </c>
      <c r="G117" s="244" t="s">
        <v>2039</v>
      </c>
      <c r="H117" s="245">
        <v>2</v>
      </c>
    </row>
    <row r="118" spans="5:8" x14ac:dyDescent="0.25">
      <c r="E118" s="244" t="s">
        <v>2040</v>
      </c>
      <c r="F118" s="245">
        <v>1</v>
      </c>
      <c r="G118" s="244" t="s">
        <v>2040</v>
      </c>
      <c r="H118" s="245">
        <v>5</v>
      </c>
    </row>
    <row r="119" spans="5:8" x14ac:dyDescent="0.25">
      <c r="E119" s="244" t="s">
        <v>2041</v>
      </c>
      <c r="F119" s="245">
        <v>1</v>
      </c>
      <c r="G119" s="244" t="s">
        <v>2041</v>
      </c>
      <c r="H119" s="245">
        <v>1</v>
      </c>
    </row>
    <row r="120" spans="5:8" x14ac:dyDescent="0.25">
      <c r="E120" s="244" t="s">
        <v>2042</v>
      </c>
      <c r="F120" s="245">
        <v>3</v>
      </c>
      <c r="G120" s="244" t="s">
        <v>2042</v>
      </c>
      <c r="H120" s="245">
        <v>1</v>
      </c>
    </row>
    <row r="121" spans="5:8" x14ac:dyDescent="0.25">
      <c r="E121" s="244" t="s">
        <v>2043</v>
      </c>
      <c r="F121" s="245">
        <v>1</v>
      </c>
      <c r="G121" s="244" t="s">
        <v>2043</v>
      </c>
      <c r="H121" s="245">
        <v>7</v>
      </c>
    </row>
    <row r="122" spans="5:8" x14ac:dyDescent="0.25">
      <c r="E122" s="244" t="s">
        <v>2044</v>
      </c>
      <c r="F122" s="245">
        <v>1</v>
      </c>
      <c r="G122" s="244" t="s">
        <v>2044</v>
      </c>
      <c r="H122" s="245">
        <v>1</v>
      </c>
    </row>
    <row r="123" spans="5:8" x14ac:dyDescent="0.25">
      <c r="E123" s="244" t="s">
        <v>2045</v>
      </c>
      <c r="F123" s="245">
        <v>2</v>
      </c>
      <c r="G123" s="244" t="s">
        <v>2045</v>
      </c>
      <c r="H123" s="245">
        <v>2</v>
      </c>
    </row>
    <row r="124" spans="5:8" x14ac:dyDescent="0.25">
      <c r="E124" s="244" t="s">
        <v>2046</v>
      </c>
      <c r="F124" s="245">
        <v>1</v>
      </c>
      <c r="G124" s="244" t="s">
        <v>2046</v>
      </c>
      <c r="H124" s="245">
        <v>1</v>
      </c>
    </row>
    <row r="125" spans="5:8" x14ac:dyDescent="0.25">
      <c r="E125" s="244" t="s">
        <v>2047</v>
      </c>
      <c r="F125" s="245">
        <v>3</v>
      </c>
      <c r="G125" s="244" t="s">
        <v>2047</v>
      </c>
      <c r="H125" s="245">
        <v>1</v>
      </c>
    </row>
    <row r="126" spans="5:8" x14ac:dyDescent="0.25">
      <c r="E126" s="244" t="s">
        <v>2048</v>
      </c>
      <c r="F126" s="245">
        <v>2</v>
      </c>
      <c r="G126" s="244" t="s">
        <v>2048</v>
      </c>
      <c r="H126" s="245">
        <v>4</v>
      </c>
    </row>
    <row r="127" spans="5:8" x14ac:dyDescent="0.25">
      <c r="E127" s="244" t="s">
        <v>2049</v>
      </c>
      <c r="F127" s="245">
        <v>5</v>
      </c>
      <c r="G127" s="244" t="s">
        <v>2049</v>
      </c>
      <c r="H127" s="245">
        <v>3</v>
      </c>
    </row>
    <row r="128" spans="5:8" x14ac:dyDescent="0.25">
      <c r="E128" s="244" t="s">
        <v>2050</v>
      </c>
      <c r="F128" s="245">
        <v>2</v>
      </c>
      <c r="G128" s="244" t="s">
        <v>2050</v>
      </c>
      <c r="H128" s="245">
        <v>2</v>
      </c>
    </row>
    <row r="129" spans="5:8" x14ac:dyDescent="0.25">
      <c r="E129" s="244" t="s">
        <v>2051</v>
      </c>
      <c r="F129" s="245">
        <v>2</v>
      </c>
      <c r="G129" s="244" t="s">
        <v>2051</v>
      </c>
      <c r="H129" s="245">
        <v>2</v>
      </c>
    </row>
    <row r="130" spans="5:8" x14ac:dyDescent="0.25">
      <c r="E130" s="244" t="s">
        <v>1461</v>
      </c>
      <c r="F130" s="245">
        <v>1</v>
      </c>
      <c r="G130" s="244" t="s">
        <v>1461</v>
      </c>
      <c r="H130" s="245">
        <v>2</v>
      </c>
    </row>
    <row r="131" spans="5:8" x14ac:dyDescent="0.25">
      <c r="E131" s="244" t="s">
        <v>2052</v>
      </c>
      <c r="F131" s="245">
        <v>2</v>
      </c>
      <c r="G131" s="244" t="s">
        <v>2052</v>
      </c>
      <c r="H131" s="245">
        <v>1</v>
      </c>
    </row>
    <row r="132" spans="5:8" x14ac:dyDescent="0.25">
      <c r="E132" s="244" t="s">
        <v>2053</v>
      </c>
      <c r="F132" s="245">
        <v>3</v>
      </c>
      <c r="G132" s="244" t="s">
        <v>2053</v>
      </c>
      <c r="H132" s="245">
        <v>1</v>
      </c>
    </row>
    <row r="133" spans="5:8" x14ac:dyDescent="0.25">
      <c r="E133" s="244" t="s">
        <v>2054</v>
      </c>
      <c r="F133" s="245">
        <v>2</v>
      </c>
      <c r="G133" s="244" t="s">
        <v>2054</v>
      </c>
      <c r="H133" s="245">
        <v>1</v>
      </c>
    </row>
    <row r="134" spans="5:8" x14ac:dyDescent="0.25">
      <c r="E134" s="244" t="s">
        <v>2055</v>
      </c>
      <c r="F134" s="245">
        <v>2</v>
      </c>
      <c r="G134" s="244" t="s">
        <v>2055</v>
      </c>
      <c r="H134" s="245">
        <v>4</v>
      </c>
    </row>
    <row r="135" spans="5:8" x14ac:dyDescent="0.25">
      <c r="E135" s="244" t="s">
        <v>1445</v>
      </c>
      <c r="F135" s="245">
        <v>2</v>
      </c>
      <c r="G135" s="244" t="s">
        <v>1445</v>
      </c>
      <c r="H135" s="245">
        <v>2</v>
      </c>
    </row>
    <row r="136" spans="5:8" x14ac:dyDescent="0.25">
      <c r="E136" s="244" t="s">
        <v>149</v>
      </c>
      <c r="F136" s="245">
        <v>1</v>
      </c>
      <c r="G136" s="244" t="s">
        <v>149</v>
      </c>
      <c r="H136" s="245">
        <v>2</v>
      </c>
    </row>
    <row r="137" spans="5:8" x14ac:dyDescent="0.25">
      <c r="E137" s="244" t="s">
        <v>2056</v>
      </c>
      <c r="F137" s="245">
        <v>1</v>
      </c>
      <c r="G137" s="244" t="s">
        <v>2056</v>
      </c>
      <c r="H137" s="245">
        <v>4</v>
      </c>
    </row>
    <row r="138" spans="5:8" x14ac:dyDescent="0.25">
      <c r="E138" s="244" t="s">
        <v>2057</v>
      </c>
      <c r="F138" s="245">
        <v>1</v>
      </c>
      <c r="G138" s="244" t="s">
        <v>2057</v>
      </c>
      <c r="H138" s="245">
        <v>1</v>
      </c>
    </row>
    <row r="139" spans="5:8" x14ac:dyDescent="0.25">
      <c r="E139" s="244" t="s">
        <v>1450</v>
      </c>
      <c r="F139" s="245">
        <v>2</v>
      </c>
      <c r="G139" s="244" t="s">
        <v>1450</v>
      </c>
      <c r="H139" s="245">
        <v>3</v>
      </c>
    </row>
    <row r="140" spans="5:8" x14ac:dyDescent="0.25">
      <c r="E140" s="244" t="s">
        <v>2058</v>
      </c>
      <c r="F140" s="245">
        <v>1</v>
      </c>
      <c r="G140" s="244" t="s">
        <v>2058</v>
      </c>
      <c r="H140" s="245">
        <v>1</v>
      </c>
    </row>
    <row r="141" spans="5:8" x14ac:dyDescent="0.25">
      <c r="E141" s="244" t="s">
        <v>2059</v>
      </c>
      <c r="F141" s="245">
        <v>1</v>
      </c>
      <c r="G141" s="244" t="s">
        <v>2059</v>
      </c>
      <c r="H141" s="245">
        <v>3</v>
      </c>
    </row>
    <row r="142" spans="5:8" x14ac:dyDescent="0.25">
      <c r="E142" s="244" t="s">
        <v>2060</v>
      </c>
      <c r="F142" s="245">
        <v>1</v>
      </c>
      <c r="G142" s="244" t="s">
        <v>2060</v>
      </c>
      <c r="H142" s="245">
        <v>5</v>
      </c>
    </row>
    <row r="143" spans="5:8" x14ac:dyDescent="0.25">
      <c r="E143" s="244" t="s">
        <v>2061</v>
      </c>
      <c r="F143" s="245">
        <v>3</v>
      </c>
      <c r="G143" s="244" t="s">
        <v>2061</v>
      </c>
      <c r="H143" s="245">
        <v>1</v>
      </c>
    </row>
    <row r="144" spans="5:8" x14ac:dyDescent="0.25">
      <c r="E144" s="244" t="s">
        <v>2062</v>
      </c>
      <c r="F144" s="245">
        <v>1</v>
      </c>
      <c r="G144" s="244" t="s">
        <v>2062</v>
      </c>
      <c r="H144" s="245">
        <v>3</v>
      </c>
    </row>
    <row r="145" spans="5:8" x14ac:dyDescent="0.25">
      <c r="E145" s="244" t="s">
        <v>2063</v>
      </c>
      <c r="F145" s="245">
        <v>1</v>
      </c>
      <c r="G145" s="244" t="s">
        <v>2063</v>
      </c>
      <c r="H145" s="245">
        <v>4</v>
      </c>
    </row>
    <row r="146" spans="5:8" x14ac:dyDescent="0.25">
      <c r="E146" s="244" t="s">
        <v>1466</v>
      </c>
      <c r="F146" s="245">
        <v>1</v>
      </c>
      <c r="G146" s="244" t="s">
        <v>1466</v>
      </c>
      <c r="H146" s="245">
        <v>1</v>
      </c>
    </row>
    <row r="147" spans="5:8" x14ac:dyDescent="0.25">
      <c r="E147" s="244" t="s">
        <v>2064</v>
      </c>
      <c r="F147" s="245">
        <v>3</v>
      </c>
      <c r="G147" s="244" t="s">
        <v>2064</v>
      </c>
      <c r="H147" s="245">
        <v>2</v>
      </c>
    </row>
    <row r="148" spans="5:8" x14ac:dyDescent="0.25">
      <c r="E148" s="244" t="s">
        <v>2065</v>
      </c>
      <c r="F148" s="245">
        <v>2</v>
      </c>
      <c r="G148" s="244" t="s">
        <v>2065</v>
      </c>
      <c r="H148" s="245">
        <v>3</v>
      </c>
    </row>
    <row r="149" spans="5:8" x14ac:dyDescent="0.25">
      <c r="E149" s="244" t="s">
        <v>2066</v>
      </c>
      <c r="F149" s="245">
        <v>4</v>
      </c>
      <c r="G149" s="244" t="s">
        <v>2066</v>
      </c>
      <c r="H149" s="245">
        <v>1</v>
      </c>
    </row>
    <row r="150" spans="5:8" x14ac:dyDescent="0.25">
      <c r="E150" s="244" t="s">
        <v>2067</v>
      </c>
      <c r="F150" s="245">
        <v>1</v>
      </c>
      <c r="G150" s="244" t="s">
        <v>2067</v>
      </c>
      <c r="H150" s="245">
        <v>1</v>
      </c>
    </row>
    <row r="151" spans="5:8" x14ac:dyDescent="0.25">
      <c r="E151" s="244" t="s">
        <v>2068</v>
      </c>
      <c r="F151" s="245">
        <v>2</v>
      </c>
      <c r="G151" s="244" t="s">
        <v>2068</v>
      </c>
      <c r="H151" s="245">
        <v>5</v>
      </c>
    </row>
    <row r="152" spans="5:8" x14ac:dyDescent="0.25">
      <c r="E152" s="244" t="s">
        <v>2069</v>
      </c>
      <c r="F152" s="245">
        <v>3</v>
      </c>
      <c r="G152" s="244" t="s">
        <v>2069</v>
      </c>
      <c r="H152" s="245">
        <v>3</v>
      </c>
    </row>
    <row r="153" spans="5:8" x14ac:dyDescent="0.25">
      <c r="E153" s="244" t="s">
        <v>2070</v>
      </c>
      <c r="F153" s="245">
        <v>1</v>
      </c>
      <c r="G153" s="244" t="s">
        <v>2070</v>
      </c>
      <c r="H153" s="245">
        <v>1</v>
      </c>
    </row>
    <row r="154" spans="5:8" x14ac:dyDescent="0.25">
      <c r="E154" s="244" t="s">
        <v>1465</v>
      </c>
      <c r="F154" s="245">
        <v>1</v>
      </c>
      <c r="G154" s="244" t="s">
        <v>1465</v>
      </c>
      <c r="H154" s="245">
        <v>1</v>
      </c>
    </row>
    <row r="155" spans="5:8" x14ac:dyDescent="0.25">
      <c r="E155" s="244" t="s">
        <v>1484</v>
      </c>
      <c r="F155" s="245">
        <v>2</v>
      </c>
      <c r="G155" s="244" t="s">
        <v>1484</v>
      </c>
      <c r="H155" s="245">
        <v>3</v>
      </c>
    </row>
    <row r="156" spans="5:8" x14ac:dyDescent="0.25">
      <c r="E156" s="244" t="s">
        <v>2071</v>
      </c>
      <c r="F156" s="245">
        <v>4</v>
      </c>
      <c r="G156" s="244" t="s">
        <v>2071</v>
      </c>
      <c r="H156" s="245">
        <v>1</v>
      </c>
    </row>
    <row r="157" spans="5:8" x14ac:dyDescent="0.25">
      <c r="E157" s="244" t="s">
        <v>170</v>
      </c>
      <c r="F157" s="245">
        <v>4</v>
      </c>
      <c r="G157" s="244" t="s">
        <v>170</v>
      </c>
      <c r="H157" s="245">
        <v>1</v>
      </c>
    </row>
    <row r="158" spans="5:8" x14ac:dyDescent="0.25">
      <c r="E158" s="244" t="s">
        <v>2072</v>
      </c>
      <c r="F158" s="245">
        <v>2</v>
      </c>
      <c r="G158" s="244" t="s">
        <v>2072</v>
      </c>
      <c r="H158" s="245">
        <v>3</v>
      </c>
    </row>
    <row r="159" spans="5:8" x14ac:dyDescent="0.25">
      <c r="E159" s="244" t="s">
        <v>1449</v>
      </c>
      <c r="F159" s="245">
        <v>8</v>
      </c>
      <c r="G159" s="244" t="s">
        <v>1449</v>
      </c>
      <c r="H159" s="245">
        <v>3</v>
      </c>
    </row>
    <row r="160" spans="5:8" x14ac:dyDescent="0.25">
      <c r="E160" s="244" t="s">
        <v>2073</v>
      </c>
      <c r="F160" s="245">
        <v>1</v>
      </c>
      <c r="G160" s="244" t="s">
        <v>2073</v>
      </c>
      <c r="H160" s="245">
        <v>5</v>
      </c>
    </row>
    <row r="161" spans="5:8" x14ac:dyDescent="0.25">
      <c r="E161" s="244" t="s">
        <v>1447</v>
      </c>
      <c r="F161" s="245">
        <v>7</v>
      </c>
      <c r="G161" s="244" t="s">
        <v>1447</v>
      </c>
      <c r="H161" s="245">
        <v>3</v>
      </c>
    </row>
    <row r="162" spans="5:8" x14ac:dyDescent="0.25">
      <c r="E162" s="244" t="s">
        <v>2074</v>
      </c>
      <c r="F162" s="245">
        <v>2</v>
      </c>
      <c r="G162" s="244" t="s">
        <v>2074</v>
      </c>
      <c r="H162" s="245">
        <v>3</v>
      </c>
    </row>
    <row r="163" spans="5:8" x14ac:dyDescent="0.25">
      <c r="E163" s="244" t="s">
        <v>2075</v>
      </c>
      <c r="F163" s="245">
        <v>2</v>
      </c>
      <c r="G163" s="244" t="s">
        <v>2075</v>
      </c>
      <c r="H163" s="245">
        <v>4</v>
      </c>
    </row>
    <row r="164" spans="5:8" x14ac:dyDescent="0.25">
      <c r="E164" s="244" t="s">
        <v>2076</v>
      </c>
      <c r="F164" s="245">
        <v>1</v>
      </c>
      <c r="G164" s="244" t="s">
        <v>2076</v>
      </c>
      <c r="H164" s="245">
        <v>6</v>
      </c>
    </row>
    <row r="165" spans="5:8" x14ac:dyDescent="0.25">
      <c r="E165" s="244" t="s">
        <v>2077</v>
      </c>
      <c r="F165" s="245">
        <v>1</v>
      </c>
      <c r="G165" s="244" t="s">
        <v>2077</v>
      </c>
      <c r="H165" s="245">
        <v>5</v>
      </c>
    </row>
    <row r="166" spans="5:8" x14ac:dyDescent="0.25">
      <c r="E166" s="244" t="s">
        <v>2078</v>
      </c>
      <c r="F166" s="245">
        <v>1</v>
      </c>
      <c r="G166" s="244" t="s">
        <v>2078</v>
      </c>
      <c r="H166" s="245">
        <v>1</v>
      </c>
    </row>
    <row r="167" spans="5:8" x14ac:dyDescent="0.25">
      <c r="E167" s="244" t="s">
        <v>2079</v>
      </c>
      <c r="F167" s="245">
        <v>2</v>
      </c>
      <c r="G167" s="244" t="s">
        <v>2079</v>
      </c>
      <c r="H167" s="245">
        <v>2</v>
      </c>
    </row>
    <row r="168" spans="5:8" x14ac:dyDescent="0.25">
      <c r="E168" s="244" t="s">
        <v>2080</v>
      </c>
      <c r="F168" s="245">
        <v>1</v>
      </c>
      <c r="G168" s="244" t="s">
        <v>2080</v>
      </c>
      <c r="H168" s="245">
        <v>1</v>
      </c>
    </row>
    <row r="169" spans="5:8" x14ac:dyDescent="0.25">
      <c r="E169" s="244" t="s">
        <v>2081</v>
      </c>
      <c r="F169" s="245">
        <v>4</v>
      </c>
      <c r="G169" s="244" t="s">
        <v>2081</v>
      </c>
      <c r="H169" s="245">
        <v>1</v>
      </c>
    </row>
    <row r="170" spans="5:8" x14ac:dyDescent="0.25">
      <c r="E170" s="244" t="s">
        <v>2082</v>
      </c>
      <c r="F170" s="245">
        <v>1</v>
      </c>
      <c r="G170" s="244" t="s">
        <v>2082</v>
      </c>
      <c r="H170" s="245">
        <v>3</v>
      </c>
    </row>
    <row r="171" spans="5:8" x14ac:dyDescent="0.25">
      <c r="E171" s="244" t="s">
        <v>2083</v>
      </c>
      <c r="F171" s="245">
        <v>3</v>
      </c>
      <c r="G171" s="244" t="s">
        <v>2083</v>
      </c>
      <c r="H171" s="245">
        <v>6</v>
      </c>
    </row>
    <row r="172" spans="5:8" x14ac:dyDescent="0.25">
      <c r="E172" s="244" t="s">
        <v>2084</v>
      </c>
      <c r="F172" s="245">
        <v>1</v>
      </c>
      <c r="G172" s="244" t="s">
        <v>2084</v>
      </c>
      <c r="H172" s="245">
        <v>7</v>
      </c>
    </row>
    <row r="173" spans="5:8" x14ac:dyDescent="0.25">
      <c r="E173" s="244" t="s">
        <v>2085</v>
      </c>
      <c r="F173" s="245">
        <v>2</v>
      </c>
      <c r="G173" s="244" t="s">
        <v>2085</v>
      </c>
      <c r="H173" s="245">
        <v>2</v>
      </c>
    </row>
    <row r="174" spans="5:8" x14ac:dyDescent="0.25">
      <c r="E174" s="244" t="s">
        <v>2086</v>
      </c>
      <c r="F174" s="245">
        <v>5</v>
      </c>
      <c r="G174" s="244" t="s">
        <v>2086</v>
      </c>
      <c r="H174" s="245">
        <v>5</v>
      </c>
    </row>
    <row r="175" spans="5:8" x14ac:dyDescent="0.25">
      <c r="E175" s="244" t="s">
        <v>2087</v>
      </c>
      <c r="F175" s="245">
        <v>2</v>
      </c>
      <c r="G175" s="244" t="s">
        <v>2087</v>
      </c>
      <c r="H175" s="245">
        <v>3</v>
      </c>
    </row>
    <row r="176" spans="5:8" x14ac:dyDescent="0.25">
      <c r="E176" s="244" t="s">
        <v>2088</v>
      </c>
      <c r="F176" s="245">
        <v>3</v>
      </c>
      <c r="G176" s="244" t="s">
        <v>2088</v>
      </c>
      <c r="H176" s="245">
        <v>5</v>
      </c>
    </row>
    <row r="177" spans="5:8" x14ac:dyDescent="0.25">
      <c r="E177" s="244" t="s">
        <v>2089</v>
      </c>
      <c r="F177" s="245">
        <v>2</v>
      </c>
      <c r="G177" s="244" t="s">
        <v>2089</v>
      </c>
      <c r="H177" s="245">
        <v>2</v>
      </c>
    </row>
    <row r="178" spans="5:8" x14ac:dyDescent="0.25">
      <c r="E178" s="244" t="s">
        <v>2090</v>
      </c>
      <c r="F178" s="245">
        <v>3</v>
      </c>
      <c r="G178" s="244" t="s">
        <v>2090</v>
      </c>
      <c r="H178" s="245">
        <v>1</v>
      </c>
    </row>
    <row r="179" spans="5:8" x14ac:dyDescent="0.25">
      <c r="E179" s="244" t="s">
        <v>2091</v>
      </c>
      <c r="F179" s="245">
        <v>1</v>
      </c>
      <c r="G179" s="244" t="s">
        <v>2091</v>
      </c>
      <c r="H179" s="245">
        <v>1</v>
      </c>
    </row>
    <row r="180" spans="5:8" x14ac:dyDescent="0.25">
      <c r="E180" s="244" t="s">
        <v>2092</v>
      </c>
      <c r="F180" s="245">
        <v>5</v>
      </c>
      <c r="G180" s="244" t="s">
        <v>2092</v>
      </c>
      <c r="H180" s="245">
        <v>1</v>
      </c>
    </row>
    <row r="181" spans="5:8" x14ac:dyDescent="0.25">
      <c r="E181" s="244" t="s">
        <v>1480</v>
      </c>
      <c r="F181" s="245">
        <v>2</v>
      </c>
      <c r="G181" s="244" t="s">
        <v>1480</v>
      </c>
      <c r="H181" s="245">
        <v>2</v>
      </c>
    </row>
    <row r="182" spans="5:8" x14ac:dyDescent="0.25">
      <c r="E182" s="244" t="s">
        <v>2093</v>
      </c>
      <c r="F182" s="245">
        <v>1</v>
      </c>
      <c r="G182" s="244" t="s">
        <v>2093</v>
      </c>
      <c r="H182" s="245">
        <v>3</v>
      </c>
    </row>
    <row r="183" spans="5:8" x14ac:dyDescent="0.25">
      <c r="E183" s="244" t="s">
        <v>2094</v>
      </c>
      <c r="F183" s="245">
        <v>2</v>
      </c>
      <c r="G183" s="244" t="s">
        <v>2094</v>
      </c>
      <c r="H183" s="245">
        <v>2</v>
      </c>
    </row>
    <row r="184" spans="5:8" x14ac:dyDescent="0.25">
      <c r="E184" s="244" t="s">
        <v>2095</v>
      </c>
      <c r="F184" s="245">
        <v>4</v>
      </c>
      <c r="G184" s="244" t="s">
        <v>2095</v>
      </c>
      <c r="H184" s="245">
        <v>2</v>
      </c>
    </row>
    <row r="185" spans="5:8" x14ac:dyDescent="0.25">
      <c r="E185" s="244" t="s">
        <v>2096</v>
      </c>
      <c r="F185" s="245">
        <v>2</v>
      </c>
      <c r="G185" s="244" t="s">
        <v>2096</v>
      </c>
      <c r="H185" s="245">
        <v>2</v>
      </c>
    </row>
    <row r="186" spans="5:8" x14ac:dyDescent="0.25">
      <c r="E186" s="244" t="s">
        <v>2097</v>
      </c>
      <c r="F186" s="245">
        <v>2</v>
      </c>
      <c r="G186" s="244" t="s">
        <v>2097</v>
      </c>
      <c r="H186" s="245">
        <v>3</v>
      </c>
    </row>
    <row r="187" spans="5:8" x14ac:dyDescent="0.25">
      <c r="E187" s="244" t="s">
        <v>2098</v>
      </c>
      <c r="F187" s="245">
        <v>1</v>
      </c>
      <c r="G187" s="244" t="s">
        <v>2098</v>
      </c>
      <c r="H187" s="245">
        <v>1</v>
      </c>
    </row>
    <row r="188" spans="5:8" x14ac:dyDescent="0.25">
      <c r="E188" s="244" t="s">
        <v>2099</v>
      </c>
      <c r="F188" s="245">
        <v>1</v>
      </c>
      <c r="G188" s="244" t="s">
        <v>2099</v>
      </c>
      <c r="H188" s="245">
        <v>4</v>
      </c>
    </row>
    <row r="189" spans="5:8" x14ac:dyDescent="0.25">
      <c r="E189" s="244" t="s">
        <v>1454</v>
      </c>
      <c r="F189" s="245">
        <v>1</v>
      </c>
      <c r="G189" s="244" t="s">
        <v>1454</v>
      </c>
      <c r="H189" s="245">
        <v>2</v>
      </c>
    </row>
    <row r="190" spans="5:8" x14ac:dyDescent="0.25">
      <c r="E190" s="244" t="s">
        <v>2100</v>
      </c>
      <c r="F190" s="245">
        <v>7</v>
      </c>
      <c r="G190" s="244" t="s">
        <v>2100</v>
      </c>
      <c r="H190" s="245">
        <v>1</v>
      </c>
    </row>
    <row r="191" spans="5:8" x14ac:dyDescent="0.25">
      <c r="E191" s="244" t="s">
        <v>2101</v>
      </c>
      <c r="F191" s="245">
        <v>2</v>
      </c>
      <c r="G191" s="244" t="s">
        <v>2101</v>
      </c>
      <c r="H191" s="245">
        <v>3</v>
      </c>
    </row>
    <row r="192" spans="5:8" x14ac:dyDescent="0.25">
      <c r="E192" s="244" t="s">
        <v>2102</v>
      </c>
      <c r="F192" s="245">
        <v>2</v>
      </c>
      <c r="G192" s="244" t="s">
        <v>2102</v>
      </c>
      <c r="H192" s="245">
        <v>1</v>
      </c>
    </row>
    <row r="193" spans="5:8" x14ac:dyDescent="0.25">
      <c r="E193" s="244" t="s">
        <v>2103</v>
      </c>
      <c r="F193" s="245">
        <v>3</v>
      </c>
      <c r="G193" s="244" t="s">
        <v>2103</v>
      </c>
      <c r="H193" s="245">
        <v>1</v>
      </c>
    </row>
    <row r="194" spans="5:8" x14ac:dyDescent="0.25">
      <c r="E194" s="244" t="s">
        <v>2104</v>
      </c>
      <c r="F194" s="245">
        <v>3</v>
      </c>
      <c r="G194" s="244" t="s">
        <v>2104</v>
      </c>
      <c r="H194" s="245">
        <v>5</v>
      </c>
    </row>
    <row r="195" spans="5:8" x14ac:dyDescent="0.25">
      <c r="E195" s="244" t="s">
        <v>2105</v>
      </c>
      <c r="F195" s="245">
        <v>2</v>
      </c>
      <c r="G195" s="244" t="s">
        <v>2105</v>
      </c>
      <c r="H195" s="245">
        <v>1</v>
      </c>
    </row>
    <row r="196" spans="5:8" x14ac:dyDescent="0.25">
      <c r="E196" s="244" t="s">
        <v>1455</v>
      </c>
      <c r="F196" s="245">
        <v>1</v>
      </c>
      <c r="G196" s="244" t="s">
        <v>1455</v>
      </c>
      <c r="H196" s="245">
        <v>2</v>
      </c>
    </row>
    <row r="197" spans="5:8" x14ac:dyDescent="0.25">
      <c r="E197" s="244" t="s">
        <v>2106</v>
      </c>
      <c r="F197" s="245">
        <v>2</v>
      </c>
      <c r="G197" s="244" t="s">
        <v>2106</v>
      </c>
      <c r="H197" s="245">
        <v>1</v>
      </c>
    </row>
    <row r="198" spans="5:8" x14ac:dyDescent="0.25">
      <c r="E198" s="244" t="s">
        <v>2107</v>
      </c>
      <c r="F198" s="245">
        <v>3</v>
      </c>
      <c r="G198" s="244" t="s">
        <v>2107</v>
      </c>
      <c r="H198" s="245">
        <v>1</v>
      </c>
    </row>
    <row r="199" spans="5:8" x14ac:dyDescent="0.25">
      <c r="E199" s="244" t="s">
        <v>1458</v>
      </c>
      <c r="F199" s="245">
        <v>3</v>
      </c>
      <c r="G199" s="244" t="s">
        <v>1458</v>
      </c>
      <c r="H199" s="245">
        <v>4</v>
      </c>
    </row>
    <row r="200" spans="5:8" x14ac:dyDescent="0.25">
      <c r="E200" s="244" t="s">
        <v>2108</v>
      </c>
      <c r="F200" s="245">
        <v>4</v>
      </c>
      <c r="G200" s="244" t="s">
        <v>2108</v>
      </c>
      <c r="H200" s="245">
        <v>2</v>
      </c>
    </row>
    <row r="201" spans="5:8" x14ac:dyDescent="0.25">
      <c r="E201" s="244" t="s">
        <v>2109</v>
      </c>
      <c r="F201" s="245">
        <v>1</v>
      </c>
      <c r="G201" s="244" t="s">
        <v>2109</v>
      </c>
      <c r="H201" s="245">
        <v>2</v>
      </c>
    </row>
    <row r="202" spans="5:8" x14ac:dyDescent="0.25">
      <c r="E202" s="244" t="s">
        <v>2110</v>
      </c>
      <c r="F202" s="245">
        <v>1</v>
      </c>
      <c r="G202" s="244" t="s">
        <v>2110</v>
      </c>
      <c r="H202" s="245">
        <v>2</v>
      </c>
    </row>
    <row r="203" spans="5:8" x14ac:dyDescent="0.25">
      <c r="E203" s="244" t="s">
        <v>2111</v>
      </c>
      <c r="F203" s="245">
        <v>3</v>
      </c>
      <c r="G203" s="244" t="s">
        <v>2111</v>
      </c>
      <c r="H203" s="245">
        <v>4</v>
      </c>
    </row>
    <row r="204" spans="5:8" x14ac:dyDescent="0.25">
      <c r="E204" s="244" t="s">
        <v>2112</v>
      </c>
      <c r="F204" s="245">
        <v>1</v>
      </c>
      <c r="G204" s="244" t="s">
        <v>2112</v>
      </c>
      <c r="H204" s="245">
        <v>2</v>
      </c>
    </row>
    <row r="205" spans="5:8" x14ac:dyDescent="0.25">
      <c r="E205" s="244" t="s">
        <v>2113</v>
      </c>
      <c r="F205" s="245">
        <v>2</v>
      </c>
      <c r="G205" s="244" t="s">
        <v>2113</v>
      </c>
      <c r="H205" s="245">
        <v>4</v>
      </c>
    </row>
    <row r="206" spans="5:8" x14ac:dyDescent="0.25">
      <c r="E206" s="244" t="s">
        <v>1464</v>
      </c>
      <c r="F206" s="245">
        <v>7</v>
      </c>
      <c r="G206" s="244" t="s">
        <v>1464</v>
      </c>
      <c r="H206" s="245">
        <v>1</v>
      </c>
    </row>
    <row r="207" spans="5:8" x14ac:dyDescent="0.25">
      <c r="E207" s="244" t="s">
        <v>2114</v>
      </c>
      <c r="F207" s="245">
        <v>4</v>
      </c>
      <c r="G207" s="244" t="s">
        <v>2114</v>
      </c>
      <c r="H207" s="245">
        <v>3</v>
      </c>
    </row>
    <row r="208" spans="5:8" x14ac:dyDescent="0.25">
      <c r="E208" s="244" t="s">
        <v>2115</v>
      </c>
      <c r="F208" s="245">
        <v>3</v>
      </c>
      <c r="G208" s="244" t="s">
        <v>2115</v>
      </c>
      <c r="H208" s="245">
        <v>8</v>
      </c>
    </row>
    <row r="209" spans="5:8" x14ac:dyDescent="0.25">
      <c r="E209" s="244" t="s">
        <v>2116</v>
      </c>
      <c r="F209" s="245">
        <v>2</v>
      </c>
      <c r="G209" s="244" t="s">
        <v>2116</v>
      </c>
      <c r="H209" s="245">
        <v>7</v>
      </c>
    </row>
    <row r="210" spans="5:8" x14ac:dyDescent="0.25">
      <c r="E210" s="244" t="s">
        <v>2117</v>
      </c>
      <c r="F210" s="245">
        <v>1</v>
      </c>
      <c r="G210" s="244" t="s">
        <v>2117</v>
      </c>
      <c r="H210" s="245">
        <v>1</v>
      </c>
    </row>
    <row r="211" spans="5:8" x14ac:dyDescent="0.25">
      <c r="E211" s="244" t="s">
        <v>2118</v>
      </c>
      <c r="F211" s="245">
        <v>3</v>
      </c>
      <c r="G211" s="244" t="s">
        <v>2118</v>
      </c>
      <c r="H211" s="245">
        <v>2</v>
      </c>
    </row>
    <row r="212" spans="5:8" x14ac:dyDescent="0.25">
      <c r="E212" s="244" t="s">
        <v>1482</v>
      </c>
      <c r="F212" s="245">
        <v>1</v>
      </c>
      <c r="G212" s="244" t="s">
        <v>1482</v>
      </c>
      <c r="H212" s="245">
        <v>1</v>
      </c>
    </row>
    <row r="213" spans="5:8" x14ac:dyDescent="0.25">
      <c r="E213" s="244" t="s">
        <v>2119</v>
      </c>
      <c r="F213" s="245">
        <v>2</v>
      </c>
      <c r="G213" s="244" t="s">
        <v>2119</v>
      </c>
      <c r="H213" s="245">
        <v>1</v>
      </c>
    </row>
    <row r="214" spans="5:8" x14ac:dyDescent="0.25">
      <c r="E214" s="244" t="s">
        <v>2120</v>
      </c>
      <c r="F214" s="245">
        <v>1</v>
      </c>
      <c r="G214" s="244" t="s">
        <v>2120</v>
      </c>
      <c r="H214" s="245">
        <v>2</v>
      </c>
    </row>
    <row r="215" spans="5:8" x14ac:dyDescent="0.25">
      <c r="E215" s="244" t="s">
        <v>1440</v>
      </c>
      <c r="F215" s="245">
        <v>4</v>
      </c>
      <c r="G215" s="244" t="s">
        <v>1440</v>
      </c>
      <c r="H215" s="245">
        <v>1</v>
      </c>
    </row>
    <row r="216" spans="5:8" x14ac:dyDescent="0.25">
      <c r="E216" s="244" t="s">
        <v>2121</v>
      </c>
      <c r="F216" s="245">
        <v>1</v>
      </c>
      <c r="G216" s="244" t="s">
        <v>2121</v>
      </c>
      <c r="H216" s="245">
        <v>4</v>
      </c>
    </row>
    <row r="217" spans="5:8" x14ac:dyDescent="0.25">
      <c r="E217" s="244" t="s">
        <v>1481</v>
      </c>
      <c r="F217" s="245">
        <v>2</v>
      </c>
      <c r="G217" s="244" t="s">
        <v>1481</v>
      </c>
      <c r="H217" s="245">
        <v>3</v>
      </c>
    </row>
    <row r="218" spans="5:8" x14ac:dyDescent="0.25">
      <c r="E218" s="244" t="s">
        <v>2122</v>
      </c>
      <c r="F218" s="245">
        <v>2</v>
      </c>
      <c r="G218" s="244" t="s">
        <v>2122</v>
      </c>
      <c r="H218" s="245">
        <v>1</v>
      </c>
    </row>
    <row r="219" spans="5:8" x14ac:dyDescent="0.25">
      <c r="E219" s="244" t="s">
        <v>2123</v>
      </c>
      <c r="F219" s="245">
        <v>6</v>
      </c>
      <c r="G219" s="244" t="s">
        <v>2123</v>
      </c>
      <c r="H219" s="245">
        <v>3</v>
      </c>
    </row>
    <row r="220" spans="5:8" x14ac:dyDescent="0.25">
      <c r="E220" s="244" t="s">
        <v>2124</v>
      </c>
      <c r="F220" s="245">
        <v>4</v>
      </c>
      <c r="G220" s="244" t="s">
        <v>2124</v>
      </c>
      <c r="H220" s="245">
        <v>5</v>
      </c>
    </row>
    <row r="221" spans="5:8" x14ac:dyDescent="0.25">
      <c r="E221" s="244" t="s">
        <v>2125</v>
      </c>
      <c r="F221" s="245">
        <v>1</v>
      </c>
      <c r="G221" s="244" t="s">
        <v>2125</v>
      </c>
      <c r="H221" s="245">
        <v>1</v>
      </c>
    </row>
    <row r="222" spans="5:8" x14ac:dyDescent="0.25">
      <c r="E222" s="244" t="s">
        <v>1446</v>
      </c>
      <c r="F222" s="245">
        <v>3</v>
      </c>
      <c r="G222" s="244" t="s">
        <v>1446</v>
      </c>
      <c r="H222" s="245">
        <v>2</v>
      </c>
    </row>
    <row r="223" spans="5:8" x14ac:dyDescent="0.25">
      <c r="E223" s="244" t="s">
        <v>2126</v>
      </c>
      <c r="F223" s="245">
        <v>1</v>
      </c>
      <c r="G223" s="244" t="s">
        <v>2126</v>
      </c>
      <c r="H223" s="245">
        <v>2</v>
      </c>
    </row>
    <row r="224" spans="5:8" x14ac:dyDescent="0.25">
      <c r="E224" s="244" t="s">
        <v>2127</v>
      </c>
      <c r="F224" s="245">
        <v>3</v>
      </c>
      <c r="G224" s="244" t="s">
        <v>2127</v>
      </c>
      <c r="H224" s="245">
        <v>4</v>
      </c>
    </row>
    <row r="225" spans="5:8" x14ac:dyDescent="0.25">
      <c r="E225" s="244" t="s">
        <v>2128</v>
      </c>
      <c r="F225" s="245">
        <v>1</v>
      </c>
      <c r="G225" s="244" t="s">
        <v>2128</v>
      </c>
      <c r="H225" s="245">
        <v>10</v>
      </c>
    </row>
    <row r="226" spans="5:8" x14ac:dyDescent="0.25">
      <c r="E226" s="244" t="s">
        <v>2129</v>
      </c>
      <c r="F226" s="245">
        <v>4</v>
      </c>
      <c r="G226" s="244" t="s">
        <v>2129</v>
      </c>
      <c r="H226" s="245">
        <v>2</v>
      </c>
    </row>
    <row r="227" spans="5:8" x14ac:dyDescent="0.25">
      <c r="E227" s="244" t="s">
        <v>2130</v>
      </c>
      <c r="F227" s="245">
        <v>4</v>
      </c>
      <c r="G227" s="244" t="s">
        <v>2130</v>
      </c>
      <c r="H227" s="245">
        <v>1</v>
      </c>
    </row>
    <row r="228" spans="5:8" x14ac:dyDescent="0.25">
      <c r="E228" s="244" t="s">
        <v>1439</v>
      </c>
      <c r="F228" s="245">
        <v>6</v>
      </c>
      <c r="G228" s="244" t="s">
        <v>1439</v>
      </c>
      <c r="H228" s="245">
        <v>2</v>
      </c>
    </row>
    <row r="229" spans="5:8" x14ac:dyDescent="0.25">
      <c r="E229" s="244" t="s">
        <v>175</v>
      </c>
      <c r="F229" s="245">
        <v>1</v>
      </c>
      <c r="G229" s="244" t="s">
        <v>175</v>
      </c>
      <c r="H229" s="245">
        <v>2</v>
      </c>
    </row>
    <row r="230" spans="5:8" x14ac:dyDescent="0.25">
      <c r="E230" s="244" t="s">
        <v>1479</v>
      </c>
      <c r="F230" s="245">
        <v>2</v>
      </c>
      <c r="G230" s="244" t="s">
        <v>1479</v>
      </c>
      <c r="H230" s="245">
        <v>1</v>
      </c>
    </row>
    <row r="231" spans="5:8" x14ac:dyDescent="0.25">
      <c r="E231" s="244" t="s">
        <v>1457</v>
      </c>
      <c r="F231" s="245">
        <v>3</v>
      </c>
      <c r="G231" s="244" t="s">
        <v>1457</v>
      </c>
      <c r="H231" s="245">
        <v>2</v>
      </c>
    </row>
    <row r="232" spans="5:8" x14ac:dyDescent="0.25">
      <c r="E232" s="244" t="s">
        <v>2131</v>
      </c>
      <c r="F232" s="245">
        <v>4</v>
      </c>
      <c r="G232" s="244" t="s">
        <v>2131</v>
      </c>
      <c r="H232" s="245">
        <v>3</v>
      </c>
    </row>
    <row r="233" spans="5:8" x14ac:dyDescent="0.25">
      <c r="E233" s="244" t="s">
        <v>2132</v>
      </c>
      <c r="F233" s="245">
        <v>1</v>
      </c>
      <c r="G233" s="244" t="s">
        <v>2132</v>
      </c>
      <c r="H233" s="245">
        <v>1</v>
      </c>
    </row>
    <row r="234" spans="5:8" x14ac:dyDescent="0.25">
      <c r="E234" s="244" t="s">
        <v>1483</v>
      </c>
      <c r="F234" s="245">
        <v>2</v>
      </c>
      <c r="G234" s="244" t="s">
        <v>1483</v>
      </c>
      <c r="H234" s="245">
        <v>4</v>
      </c>
    </row>
    <row r="235" spans="5:8" x14ac:dyDescent="0.25">
      <c r="E235" s="244" t="s">
        <v>2133</v>
      </c>
      <c r="F235" s="245">
        <v>3</v>
      </c>
      <c r="G235" s="244" t="s">
        <v>2133</v>
      </c>
      <c r="H235" s="245">
        <v>1</v>
      </c>
    </row>
    <row r="236" spans="5:8" x14ac:dyDescent="0.25">
      <c r="E236" s="244" t="s">
        <v>2134</v>
      </c>
      <c r="F236" s="245">
        <v>2</v>
      </c>
      <c r="G236" s="244" t="s">
        <v>2134</v>
      </c>
      <c r="H236" s="245">
        <v>2</v>
      </c>
    </row>
    <row r="237" spans="5:8" x14ac:dyDescent="0.25">
      <c r="E237" s="244" t="s">
        <v>1468</v>
      </c>
      <c r="F237" s="245">
        <v>2</v>
      </c>
      <c r="G237" s="244" t="s">
        <v>1468</v>
      </c>
      <c r="H237" s="245">
        <v>2</v>
      </c>
    </row>
    <row r="238" spans="5:8" x14ac:dyDescent="0.25">
      <c r="E238" s="244" t="s">
        <v>2135</v>
      </c>
      <c r="F238" s="245">
        <v>9</v>
      </c>
      <c r="G238" s="244" t="s">
        <v>2135</v>
      </c>
      <c r="H238" s="245">
        <v>4</v>
      </c>
    </row>
    <row r="239" spans="5:8" x14ac:dyDescent="0.25">
      <c r="E239" s="244" t="s">
        <v>2136</v>
      </c>
      <c r="F239" s="245">
        <v>6</v>
      </c>
      <c r="G239" s="244" t="s">
        <v>2136</v>
      </c>
      <c r="H239" s="245">
        <v>3</v>
      </c>
    </row>
    <row r="240" spans="5:8" x14ac:dyDescent="0.25">
      <c r="E240" s="244" t="s">
        <v>1441</v>
      </c>
      <c r="F240" s="245">
        <v>1</v>
      </c>
      <c r="G240" s="244" t="s">
        <v>1441</v>
      </c>
      <c r="H240" s="245">
        <v>9</v>
      </c>
    </row>
    <row r="241" spans="5:8" x14ac:dyDescent="0.25">
      <c r="E241" s="244" t="s">
        <v>2137</v>
      </c>
      <c r="F241" s="245">
        <v>1</v>
      </c>
      <c r="G241" s="244" t="s">
        <v>2137</v>
      </c>
      <c r="H241" s="245">
        <v>5</v>
      </c>
    </row>
    <row r="242" spans="5:8" x14ac:dyDescent="0.25">
      <c r="E242" s="244" t="s">
        <v>2138</v>
      </c>
      <c r="F242" s="245">
        <v>2</v>
      </c>
      <c r="G242" s="244" t="s">
        <v>2138</v>
      </c>
      <c r="H242" s="245">
        <v>2</v>
      </c>
    </row>
    <row r="243" spans="5:8" x14ac:dyDescent="0.25">
      <c r="E243" s="244" t="s">
        <v>2139</v>
      </c>
      <c r="F243" s="245">
        <v>7</v>
      </c>
      <c r="G243" s="244" t="s">
        <v>2139</v>
      </c>
      <c r="H243" s="245">
        <v>3</v>
      </c>
    </row>
    <row r="244" spans="5:8" x14ac:dyDescent="0.25">
      <c r="E244" s="244" t="s">
        <v>2140</v>
      </c>
      <c r="F244" s="245">
        <v>2</v>
      </c>
      <c r="G244" s="244" t="s">
        <v>2140</v>
      </c>
      <c r="H244" s="245">
        <v>3</v>
      </c>
    </row>
    <row r="245" spans="5:8" x14ac:dyDescent="0.25">
      <c r="E245" s="244" t="s">
        <v>2141</v>
      </c>
      <c r="F245" s="245">
        <v>4</v>
      </c>
      <c r="G245" s="244" t="s">
        <v>2141</v>
      </c>
      <c r="H245" s="245">
        <v>2</v>
      </c>
    </row>
    <row r="246" spans="5:8" x14ac:dyDescent="0.25">
      <c r="E246" s="244" t="s">
        <v>2142</v>
      </c>
      <c r="F246" s="245">
        <v>6</v>
      </c>
      <c r="G246" s="244" t="s">
        <v>2142</v>
      </c>
      <c r="H246" s="245">
        <v>3</v>
      </c>
    </row>
    <row r="247" spans="5:8" x14ac:dyDescent="0.25">
      <c r="E247" s="244" t="s">
        <v>2143</v>
      </c>
      <c r="F247" s="245">
        <v>2</v>
      </c>
      <c r="G247" s="244" t="s">
        <v>2143</v>
      </c>
      <c r="H247" s="245">
        <v>1</v>
      </c>
    </row>
    <row r="248" spans="5:8" x14ac:dyDescent="0.25">
      <c r="E248" s="244" t="s">
        <v>2144</v>
      </c>
      <c r="F248" s="245">
        <v>1</v>
      </c>
      <c r="G248" s="244" t="s">
        <v>2144</v>
      </c>
      <c r="H248" s="245">
        <v>2</v>
      </c>
    </row>
    <row r="249" spans="5:8" x14ac:dyDescent="0.25">
      <c r="E249" s="244" t="s">
        <v>2145</v>
      </c>
      <c r="F249" s="245">
        <v>5</v>
      </c>
      <c r="G249" s="244" t="s">
        <v>2145</v>
      </c>
      <c r="H249" s="245">
        <v>1</v>
      </c>
    </row>
    <row r="250" spans="5:8" x14ac:dyDescent="0.25">
      <c r="E250" s="244" t="s">
        <v>2146</v>
      </c>
      <c r="F250" s="245">
        <v>1</v>
      </c>
      <c r="G250" s="244" t="s">
        <v>2146</v>
      </c>
      <c r="H250" s="245">
        <v>2</v>
      </c>
    </row>
    <row r="251" spans="5:8" x14ac:dyDescent="0.25">
      <c r="E251" s="244" t="s">
        <v>1474</v>
      </c>
      <c r="F251" s="245">
        <v>1</v>
      </c>
      <c r="G251" s="244" t="s">
        <v>1474</v>
      </c>
      <c r="H251" s="245">
        <v>1</v>
      </c>
    </row>
    <row r="252" spans="5:8" x14ac:dyDescent="0.25">
      <c r="E252" s="244" t="s">
        <v>2147</v>
      </c>
      <c r="F252" s="245">
        <v>3</v>
      </c>
      <c r="G252" s="244" t="s">
        <v>2147</v>
      </c>
      <c r="H252" s="245">
        <v>2</v>
      </c>
    </row>
    <row r="253" spans="5:8" x14ac:dyDescent="0.25">
      <c r="E253" s="244" t="s">
        <v>2148</v>
      </c>
      <c r="F253" s="245">
        <v>1</v>
      </c>
      <c r="G253" s="244" t="s">
        <v>2148</v>
      </c>
      <c r="H253" s="245">
        <v>1</v>
      </c>
    </row>
    <row r="254" spans="5:8" x14ac:dyDescent="0.25">
      <c r="E254" s="244" t="s">
        <v>1442</v>
      </c>
      <c r="F254" s="245">
        <v>5</v>
      </c>
      <c r="G254" s="244" t="s">
        <v>1442</v>
      </c>
      <c r="H254" s="245">
        <v>2</v>
      </c>
    </row>
    <row r="255" spans="5:8" x14ac:dyDescent="0.25">
      <c r="E255" s="244" t="s">
        <v>2149</v>
      </c>
      <c r="F255" s="245">
        <v>3</v>
      </c>
      <c r="G255" s="244" t="s">
        <v>2149</v>
      </c>
      <c r="H255" s="245">
        <v>2</v>
      </c>
    </row>
    <row r="256" spans="5:8" x14ac:dyDescent="0.25">
      <c r="E256" s="244" t="s">
        <v>2150</v>
      </c>
      <c r="F256" s="245">
        <v>2</v>
      </c>
      <c r="G256" s="244" t="s">
        <v>2150</v>
      </c>
      <c r="H256" s="245">
        <v>2</v>
      </c>
    </row>
    <row r="257" spans="5:8" x14ac:dyDescent="0.25">
      <c r="E257" s="244" t="s">
        <v>2151</v>
      </c>
      <c r="F257" s="245">
        <v>3</v>
      </c>
      <c r="G257" s="244" t="s">
        <v>2151</v>
      </c>
      <c r="H257" s="245">
        <v>4</v>
      </c>
    </row>
    <row r="258" spans="5:8" x14ac:dyDescent="0.25">
      <c r="E258" s="244" t="s">
        <v>1476</v>
      </c>
      <c r="F258" s="245">
        <v>3</v>
      </c>
      <c r="G258" s="244" t="s">
        <v>1476</v>
      </c>
      <c r="H258" s="245">
        <v>1</v>
      </c>
    </row>
    <row r="259" spans="5:8" x14ac:dyDescent="0.25">
      <c r="E259" s="244" t="s">
        <v>2152</v>
      </c>
      <c r="F259" s="245">
        <v>2</v>
      </c>
      <c r="G259" s="244" t="s">
        <v>2152</v>
      </c>
      <c r="H259" s="245">
        <v>1</v>
      </c>
    </row>
    <row r="260" spans="5:8" x14ac:dyDescent="0.25">
      <c r="E260" s="244" t="s">
        <v>2153</v>
      </c>
      <c r="F260" s="245">
        <v>2</v>
      </c>
      <c r="G260" s="244" t="s">
        <v>2153</v>
      </c>
      <c r="H260" s="245">
        <v>6</v>
      </c>
    </row>
    <row r="261" spans="5:8" x14ac:dyDescent="0.25">
      <c r="E261" s="244" t="s">
        <v>1467</v>
      </c>
      <c r="F261" s="245">
        <v>1</v>
      </c>
      <c r="G261" s="244" t="s">
        <v>1467</v>
      </c>
      <c r="H261" s="245">
        <v>1</v>
      </c>
    </row>
    <row r="262" spans="5:8" x14ac:dyDescent="0.25">
      <c r="E262" s="244" t="s">
        <v>2154</v>
      </c>
      <c r="F262" s="245">
        <v>2</v>
      </c>
      <c r="G262" s="244" t="s">
        <v>2154</v>
      </c>
      <c r="H262" s="245">
        <v>2</v>
      </c>
    </row>
    <row r="263" spans="5:8" x14ac:dyDescent="0.25">
      <c r="E263" s="244" t="s">
        <v>2155</v>
      </c>
      <c r="F263" s="245">
        <v>1</v>
      </c>
      <c r="G263" s="244" t="s">
        <v>2155</v>
      </c>
      <c r="H263" s="245">
        <v>2</v>
      </c>
    </row>
    <row r="264" spans="5:8" x14ac:dyDescent="0.25">
      <c r="E264" s="244" t="s">
        <v>2156</v>
      </c>
      <c r="F264" s="245">
        <v>1</v>
      </c>
      <c r="G264" s="244" t="s">
        <v>2156</v>
      </c>
      <c r="H264" s="245">
        <v>3</v>
      </c>
    </row>
    <row r="265" spans="5:8" x14ac:dyDescent="0.25">
      <c r="E265" s="244" t="s">
        <v>1438</v>
      </c>
      <c r="F265" s="245">
        <v>1</v>
      </c>
      <c r="G265" s="244" t="s">
        <v>1438</v>
      </c>
      <c r="H265" s="245">
        <v>4</v>
      </c>
    </row>
    <row r="266" spans="5:8" x14ac:dyDescent="0.25">
      <c r="E266" s="244" t="s">
        <v>2157</v>
      </c>
      <c r="F266" s="245">
        <v>3</v>
      </c>
      <c r="G266" s="244" t="s">
        <v>2157</v>
      </c>
      <c r="H266" s="245">
        <v>1</v>
      </c>
    </row>
    <row r="267" spans="5:8" x14ac:dyDescent="0.25">
      <c r="E267" s="244" t="s">
        <v>2158</v>
      </c>
      <c r="F267" s="245">
        <v>1</v>
      </c>
      <c r="G267" s="244" t="s">
        <v>2158</v>
      </c>
      <c r="H267" s="245">
        <v>3</v>
      </c>
    </row>
    <row r="268" spans="5:8" x14ac:dyDescent="0.25">
      <c r="E268" s="244" t="s">
        <v>2159</v>
      </c>
      <c r="F268" s="245">
        <v>2</v>
      </c>
      <c r="G268" s="244" t="s">
        <v>2159</v>
      </c>
      <c r="H268" s="245">
        <v>4</v>
      </c>
    </row>
    <row r="269" spans="5:8" x14ac:dyDescent="0.25">
      <c r="E269" s="244" t="s">
        <v>1472</v>
      </c>
      <c r="F269" s="245">
        <v>2</v>
      </c>
      <c r="G269" s="244" t="s">
        <v>1472</v>
      </c>
      <c r="H269" s="245">
        <v>3</v>
      </c>
    </row>
    <row r="270" spans="5:8" x14ac:dyDescent="0.25">
      <c r="E270" s="244" t="s">
        <v>2160</v>
      </c>
      <c r="F270" s="245">
        <v>1</v>
      </c>
      <c r="G270" s="244" t="s">
        <v>2160</v>
      </c>
      <c r="H270" s="245">
        <v>1</v>
      </c>
    </row>
    <row r="271" spans="5:8" x14ac:dyDescent="0.25">
      <c r="E271" s="244" t="s">
        <v>2161</v>
      </c>
      <c r="F271" s="245">
        <v>3</v>
      </c>
      <c r="G271" s="244" t="s">
        <v>2161</v>
      </c>
      <c r="H271" s="245">
        <v>3</v>
      </c>
    </row>
    <row r="272" spans="5:8" x14ac:dyDescent="0.25">
      <c r="E272" s="244" t="s">
        <v>2162</v>
      </c>
      <c r="F272" s="245">
        <v>2</v>
      </c>
      <c r="G272" s="244" t="s">
        <v>2162</v>
      </c>
      <c r="H272" s="245">
        <v>6</v>
      </c>
    </row>
    <row r="273" spans="5:8" x14ac:dyDescent="0.25">
      <c r="E273" s="244" t="s">
        <v>2163</v>
      </c>
      <c r="F273" s="245">
        <v>2</v>
      </c>
      <c r="G273" s="244" t="s">
        <v>2163</v>
      </c>
      <c r="H273" s="245">
        <v>1</v>
      </c>
    </row>
    <row r="274" spans="5:8" x14ac:dyDescent="0.25">
      <c r="E274" s="244" t="s">
        <v>2164</v>
      </c>
      <c r="F274" s="245">
        <v>2</v>
      </c>
      <c r="G274" s="244" t="s">
        <v>2164</v>
      </c>
      <c r="H274" s="245">
        <v>7</v>
      </c>
    </row>
    <row r="275" spans="5:8" x14ac:dyDescent="0.25">
      <c r="E275" s="244" t="s">
        <v>2165</v>
      </c>
      <c r="F275" s="245">
        <v>1</v>
      </c>
      <c r="G275" s="244" t="s">
        <v>2165</v>
      </c>
      <c r="H275" s="245">
        <v>1</v>
      </c>
    </row>
    <row r="276" spans="5:8" x14ac:dyDescent="0.25">
      <c r="E276" s="244" t="s">
        <v>2166</v>
      </c>
      <c r="F276" s="245">
        <v>1</v>
      </c>
      <c r="G276" s="244" t="s">
        <v>2166</v>
      </c>
      <c r="H276" s="245">
        <v>2</v>
      </c>
    </row>
    <row r="277" spans="5:8" x14ac:dyDescent="0.25">
      <c r="E277" s="244" t="s">
        <v>2167</v>
      </c>
      <c r="F277" s="245">
        <v>2</v>
      </c>
      <c r="G277" s="244" t="s">
        <v>2167</v>
      </c>
      <c r="H277" s="245">
        <v>4</v>
      </c>
    </row>
    <row r="278" spans="5:8" x14ac:dyDescent="0.25">
      <c r="E278" s="244" t="s">
        <v>1477</v>
      </c>
      <c r="F278" s="245">
        <v>2</v>
      </c>
      <c r="G278" s="244" t="s">
        <v>1477</v>
      </c>
      <c r="H278" s="245">
        <v>1</v>
      </c>
    </row>
    <row r="279" spans="5:8" x14ac:dyDescent="0.25">
      <c r="E279" s="244" t="s">
        <v>2168</v>
      </c>
      <c r="F279" s="245">
        <v>2</v>
      </c>
      <c r="G279" s="244" t="s">
        <v>2168</v>
      </c>
      <c r="H279" s="245">
        <v>1</v>
      </c>
    </row>
    <row r="280" spans="5:8" x14ac:dyDescent="0.25">
      <c r="E280" s="244" t="s">
        <v>2169</v>
      </c>
      <c r="F280" s="245">
        <v>4</v>
      </c>
      <c r="G280" s="244" t="s">
        <v>2169</v>
      </c>
      <c r="H280" s="245">
        <v>1</v>
      </c>
    </row>
    <row r="281" spans="5:8" x14ac:dyDescent="0.25">
      <c r="E281" s="244" t="s">
        <v>2170</v>
      </c>
      <c r="F281" s="245">
        <v>3</v>
      </c>
      <c r="G281" s="244" t="s">
        <v>2170</v>
      </c>
      <c r="H281" s="245">
        <v>3</v>
      </c>
    </row>
    <row r="282" spans="5:8" x14ac:dyDescent="0.25">
      <c r="E282" s="244" t="s">
        <v>2171</v>
      </c>
      <c r="F282" s="245">
        <v>2</v>
      </c>
      <c r="G282" s="244" t="s">
        <v>2171</v>
      </c>
      <c r="H282" s="245">
        <v>1</v>
      </c>
    </row>
    <row r="283" spans="5:8" x14ac:dyDescent="0.25">
      <c r="E283" s="244" t="s">
        <v>2172</v>
      </c>
      <c r="F283" s="245">
        <v>2</v>
      </c>
      <c r="G283" s="244" t="s">
        <v>2172</v>
      </c>
      <c r="H283" s="245">
        <v>1</v>
      </c>
    </row>
    <row r="284" spans="5:8" x14ac:dyDescent="0.25">
      <c r="E284" s="244" t="s">
        <v>2173</v>
      </c>
      <c r="F284" s="245">
        <v>4</v>
      </c>
      <c r="G284" s="244" t="s">
        <v>2173</v>
      </c>
      <c r="H284" s="245">
        <v>1</v>
      </c>
    </row>
    <row r="285" spans="5:8" x14ac:dyDescent="0.25">
      <c r="E285" s="244" t="s">
        <v>1485</v>
      </c>
      <c r="F285" s="245">
        <v>2</v>
      </c>
      <c r="G285" s="244" t="s">
        <v>1485</v>
      </c>
      <c r="H285" s="245">
        <v>5</v>
      </c>
    </row>
    <row r="286" spans="5:8" x14ac:dyDescent="0.25">
      <c r="E286" s="244" t="s">
        <v>2174</v>
      </c>
      <c r="F286" s="245">
        <v>1</v>
      </c>
      <c r="G286" s="244" t="s">
        <v>2174</v>
      </c>
      <c r="H286" s="245">
        <v>2</v>
      </c>
    </row>
    <row r="287" spans="5:8" x14ac:dyDescent="0.25">
      <c r="E287" s="244" t="s">
        <v>2175</v>
      </c>
      <c r="F287" s="245">
        <v>5</v>
      </c>
      <c r="G287" s="244" t="s">
        <v>2175</v>
      </c>
      <c r="H287" s="245">
        <v>4</v>
      </c>
    </row>
    <row r="288" spans="5:8" x14ac:dyDescent="0.25">
      <c r="E288" s="244" t="s">
        <v>2176</v>
      </c>
      <c r="F288" s="245">
        <v>1</v>
      </c>
      <c r="G288" s="244" t="s">
        <v>2176</v>
      </c>
      <c r="H288" s="245">
        <v>3</v>
      </c>
    </row>
    <row r="289" spans="5:8" x14ac:dyDescent="0.25">
      <c r="E289" s="244" t="s">
        <v>1443</v>
      </c>
      <c r="F289" s="245">
        <v>2</v>
      </c>
      <c r="G289" s="244" t="s">
        <v>1443</v>
      </c>
      <c r="H289" s="245">
        <v>1</v>
      </c>
    </row>
    <row r="290" spans="5:8" x14ac:dyDescent="0.25">
      <c r="E290" s="244" t="s">
        <v>2177</v>
      </c>
      <c r="F290" s="245">
        <v>1</v>
      </c>
      <c r="G290" s="244" t="s">
        <v>2177</v>
      </c>
      <c r="H290" s="245">
        <v>2</v>
      </c>
    </row>
    <row r="291" spans="5:8" x14ac:dyDescent="0.25">
      <c r="E291" s="244" t="s">
        <v>2178</v>
      </c>
      <c r="F291" s="245">
        <v>1</v>
      </c>
      <c r="G291" s="244" t="s">
        <v>2178</v>
      </c>
      <c r="H291" s="245">
        <v>3</v>
      </c>
    </row>
    <row r="292" spans="5:8" x14ac:dyDescent="0.25">
      <c r="E292" s="244" t="s">
        <v>2179</v>
      </c>
      <c r="F292" s="245">
        <v>3</v>
      </c>
      <c r="G292" s="244" t="s">
        <v>2179</v>
      </c>
      <c r="H292" s="245">
        <v>2</v>
      </c>
    </row>
    <row r="293" spans="5:8" x14ac:dyDescent="0.25">
      <c r="E293" s="244" t="s">
        <v>2180</v>
      </c>
      <c r="F293" s="245">
        <v>2</v>
      </c>
      <c r="G293" s="244" t="s">
        <v>2180</v>
      </c>
      <c r="H293" s="245">
        <v>1</v>
      </c>
    </row>
    <row r="294" spans="5:8" x14ac:dyDescent="0.25">
      <c r="E294" s="244" t="s">
        <v>1452</v>
      </c>
      <c r="F294" s="245">
        <v>6</v>
      </c>
      <c r="G294" s="244" t="s">
        <v>1452</v>
      </c>
      <c r="H294" s="245">
        <v>3</v>
      </c>
    </row>
    <row r="295" spans="5:8" x14ac:dyDescent="0.25">
      <c r="E295" s="244" t="s">
        <v>1469</v>
      </c>
      <c r="F295" s="245">
        <v>2</v>
      </c>
      <c r="G295" s="244" t="s">
        <v>1469</v>
      </c>
      <c r="H295" s="245">
        <v>4</v>
      </c>
    </row>
    <row r="296" spans="5:8" x14ac:dyDescent="0.25">
      <c r="E296" s="244" t="s">
        <v>2181</v>
      </c>
      <c r="F296" s="245">
        <v>1</v>
      </c>
      <c r="G296" s="244" t="s">
        <v>2181</v>
      </c>
      <c r="H296" s="245">
        <v>2</v>
      </c>
    </row>
    <row r="297" spans="5:8" x14ac:dyDescent="0.25">
      <c r="E297" s="244" t="s">
        <v>2182</v>
      </c>
      <c r="F297" s="245">
        <v>5</v>
      </c>
      <c r="G297" s="244" t="s">
        <v>2182</v>
      </c>
      <c r="H297" s="245">
        <v>1</v>
      </c>
    </row>
    <row r="298" spans="5:8" x14ac:dyDescent="0.25">
      <c r="E298" s="244" t="s">
        <v>2183</v>
      </c>
      <c r="F298" s="245">
        <v>2</v>
      </c>
      <c r="G298" s="244" t="s">
        <v>2183</v>
      </c>
      <c r="H298" s="245">
        <v>3</v>
      </c>
    </row>
    <row r="299" spans="5:8" x14ac:dyDescent="0.25">
      <c r="E299" s="244" t="s">
        <v>2184</v>
      </c>
      <c r="F299" s="245">
        <v>1</v>
      </c>
      <c r="G299" s="244" t="s">
        <v>2184</v>
      </c>
      <c r="H299" s="245">
        <v>1</v>
      </c>
    </row>
    <row r="300" spans="5:8" x14ac:dyDescent="0.25">
      <c r="E300" s="244" t="s">
        <v>2185</v>
      </c>
      <c r="F300" s="245">
        <v>2</v>
      </c>
      <c r="G300" s="244" t="s">
        <v>2185</v>
      </c>
      <c r="H300" s="245">
        <v>3</v>
      </c>
    </row>
    <row r="301" spans="5:8" x14ac:dyDescent="0.25">
      <c r="E301" s="244" t="s">
        <v>2186</v>
      </c>
      <c r="F301" s="245">
        <v>1</v>
      </c>
      <c r="G301" s="244" t="s">
        <v>2186</v>
      </c>
      <c r="H301" s="245">
        <v>5</v>
      </c>
    </row>
    <row r="302" spans="5:8" x14ac:dyDescent="0.25">
      <c r="E302" s="244" t="s">
        <v>2187</v>
      </c>
      <c r="F302" s="245">
        <v>2</v>
      </c>
      <c r="G302" s="244" t="s">
        <v>2187</v>
      </c>
      <c r="H302" s="245">
        <v>2</v>
      </c>
    </row>
  </sheetData>
  <customSheetViews>
    <customSheetView guid="{679A3195-3DEA-4AC2-A535-82AAF5B552BC}" state="hidden" topLeftCell="A26">
      <selection activeCell="A7" sqref="A7"/>
      <pageMargins left="0.7" right="0.7" top="0.75" bottom="0.75" header="0.3" footer="0.3"/>
    </customSheetView>
    <customSheetView guid="{7378B641-E8D1-4C14-8151-CF4CE159D121}" topLeftCell="A26">
      <selection activeCell="E41" sqref="E41"/>
      <pageMargins left="0.7" right="0.7" top="0.75" bottom="0.75" header="0.3" footer="0.3"/>
    </customSheetView>
    <customSheetView guid="{6D63B10B-E1E6-452A-80EB-4B2C7D61CF66}" state="hidden" topLeftCell="A26">
      <selection activeCell="A7" sqref="A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0"/>
  <sheetViews>
    <sheetView zoomScaleNormal="100" workbookViewId="0">
      <selection activeCell="B3" sqref="B3"/>
    </sheetView>
  </sheetViews>
  <sheetFormatPr defaultRowHeight="18.75" x14ac:dyDescent="0.25"/>
  <cols>
    <col min="1" max="1" width="7.7109375" style="593" customWidth="1"/>
    <col min="2" max="2" width="21.42578125" style="4" customWidth="1"/>
    <col min="3" max="3" width="45.5703125" style="4" customWidth="1"/>
    <col min="4" max="4" width="14.42578125" style="4" customWidth="1"/>
    <col min="5" max="5" width="15.7109375" style="4" hidden="1" customWidth="1"/>
    <col min="6" max="6" width="89.5703125" style="4" customWidth="1"/>
    <col min="7" max="11" width="11.7109375" style="4" customWidth="1"/>
    <col min="12" max="13" width="11.7109375" style="304" customWidth="1"/>
    <col min="14" max="14" width="48.140625" style="4" customWidth="1"/>
    <col min="15" max="15" width="33.5703125" style="3" customWidth="1"/>
    <col min="16" max="16384" width="9.140625" style="3"/>
  </cols>
  <sheetData>
    <row r="1" spans="1:15" x14ac:dyDescent="0.25">
      <c r="B1" s="535" t="s">
        <v>3098</v>
      </c>
      <c r="C1" s="537" t="s">
        <v>3312</v>
      </c>
      <c r="G1" s="33" t="s">
        <v>30</v>
      </c>
      <c r="H1" s="33"/>
      <c r="I1" s="33"/>
      <c r="J1" s="33"/>
      <c r="K1" s="33"/>
      <c r="L1" s="33"/>
      <c r="M1" s="33"/>
    </row>
    <row r="2" spans="1:15" s="37" customFormat="1" x14ac:dyDescent="0.25">
      <c r="A2" s="700" t="s">
        <v>3156</v>
      </c>
      <c r="B2" s="571" t="s">
        <v>32</v>
      </c>
      <c r="C2" s="572" t="s">
        <v>25</v>
      </c>
      <c r="D2" s="572" t="s">
        <v>1184</v>
      </c>
      <c r="E2" s="572" t="s">
        <v>28</v>
      </c>
      <c r="F2" s="572" t="s">
        <v>1175</v>
      </c>
      <c r="G2" s="572" t="s">
        <v>1178</v>
      </c>
      <c r="H2" s="572" t="s">
        <v>1179</v>
      </c>
      <c r="I2" s="572" t="s">
        <v>1180</v>
      </c>
      <c r="J2" s="572" t="s">
        <v>1181</v>
      </c>
      <c r="K2" s="572" t="s">
        <v>1182</v>
      </c>
      <c r="L2" s="572" t="s">
        <v>1183</v>
      </c>
      <c r="M2" s="572" t="s">
        <v>2420</v>
      </c>
      <c r="N2" s="570"/>
    </row>
    <row r="3" spans="1:15" ht="196.5" customHeight="1" x14ac:dyDescent="0.25">
      <c r="A3" s="593">
        <v>1</v>
      </c>
      <c r="B3" s="315" t="s">
        <v>2421</v>
      </c>
      <c r="C3" s="304" t="s">
        <v>2422</v>
      </c>
      <c r="D3" s="304" t="s">
        <v>1196</v>
      </c>
      <c r="E3" s="304" t="s">
        <v>1201</v>
      </c>
      <c r="F3" s="304" t="s">
        <v>2423</v>
      </c>
      <c r="G3" s="304"/>
      <c r="H3" s="304"/>
      <c r="I3" s="304"/>
      <c r="J3" s="304"/>
      <c r="K3" s="304"/>
    </row>
    <row r="4" spans="1:15" ht="132" customHeight="1" x14ac:dyDescent="0.25">
      <c r="A4" s="593">
        <v>2</v>
      </c>
      <c r="B4" s="315" t="s">
        <v>2424</v>
      </c>
      <c r="C4" s="304" t="s">
        <v>2425</v>
      </c>
      <c r="D4" s="304" t="s">
        <v>2426</v>
      </c>
      <c r="E4" s="304" t="s">
        <v>1201</v>
      </c>
      <c r="F4" s="304"/>
      <c r="G4" s="541" t="str">
        <f>'32'!B1</f>
        <v>Jobs Completed and In Pipeline</v>
      </c>
      <c r="H4" s="542"/>
      <c r="I4" s="304"/>
      <c r="J4" s="304"/>
      <c r="K4" s="304"/>
    </row>
    <row r="5" spans="1:15" ht="299.25" customHeight="1" x14ac:dyDescent="0.25">
      <c r="A5" s="593">
        <v>3</v>
      </c>
      <c r="B5" s="315" t="s">
        <v>2427</v>
      </c>
      <c r="C5" s="304" t="s">
        <v>2428</v>
      </c>
      <c r="D5" s="304" t="s">
        <v>1201</v>
      </c>
      <c r="E5" s="304" t="s">
        <v>1201</v>
      </c>
      <c r="F5" s="304" t="s">
        <v>2429</v>
      </c>
      <c r="G5" s="304"/>
      <c r="H5" s="304"/>
      <c r="I5" s="304"/>
      <c r="J5" s="304"/>
      <c r="K5" s="304"/>
    </row>
    <row r="6" spans="1:15" ht="256.5" customHeight="1" x14ac:dyDescent="0.25">
      <c r="A6" s="593">
        <v>4</v>
      </c>
      <c r="B6" s="315" t="s">
        <v>2430</v>
      </c>
      <c r="C6" s="304" t="s">
        <v>2431</v>
      </c>
      <c r="D6" s="304" t="s">
        <v>1201</v>
      </c>
      <c r="E6" s="304" t="s">
        <v>1201</v>
      </c>
      <c r="F6" s="304" t="s">
        <v>2432</v>
      </c>
      <c r="G6" s="541" t="str">
        <f>'31'!B1</f>
        <v>Stakeholders Involved in EUC</v>
      </c>
      <c r="H6" s="304"/>
      <c r="I6" s="304"/>
      <c r="J6" s="304"/>
      <c r="K6" s="304"/>
    </row>
    <row r="7" spans="1:15" ht="251.25" customHeight="1" x14ac:dyDescent="0.25">
      <c r="A7" s="593">
        <v>5</v>
      </c>
      <c r="B7" s="4" t="s">
        <v>2433</v>
      </c>
      <c r="C7" s="4" t="s">
        <v>2434</v>
      </c>
      <c r="D7" s="4" t="s">
        <v>1201</v>
      </c>
      <c r="E7" s="4" t="s">
        <v>12</v>
      </c>
      <c r="F7" s="4" t="s">
        <v>2435</v>
      </c>
      <c r="G7" s="535" t="str">
        <f>'45'!B1</f>
        <v>Levels of Exposure to EUC Marketing, Overall and by County (General Population)</v>
      </c>
      <c r="H7" s="535" t="str">
        <f>'62'!B1</f>
        <v>How Participants First Heard about the Program</v>
      </c>
    </row>
    <row r="8" spans="1:15" ht="409.5" x14ac:dyDescent="0.25">
      <c r="A8" s="593">
        <v>6</v>
      </c>
      <c r="B8" s="4" t="s">
        <v>2436</v>
      </c>
      <c r="C8" s="4" t="s">
        <v>2437</v>
      </c>
      <c r="D8" s="4" t="s">
        <v>1201</v>
      </c>
      <c r="E8" s="4" t="s">
        <v>12</v>
      </c>
      <c r="F8" s="4" t="s">
        <v>3169</v>
      </c>
    </row>
    <row r="9" spans="1:15" ht="119.25" customHeight="1" x14ac:dyDescent="0.25">
      <c r="A9" s="593">
        <v>7</v>
      </c>
      <c r="B9" s="4" t="s">
        <v>2438</v>
      </c>
      <c r="C9" s="4" t="s">
        <v>2439</v>
      </c>
      <c r="D9" s="4" t="s">
        <v>46</v>
      </c>
      <c r="E9" s="4" t="s">
        <v>12</v>
      </c>
      <c r="F9" s="4" t="s">
        <v>2440</v>
      </c>
    </row>
    <row r="10" spans="1:15" ht="90" x14ac:dyDescent="0.25">
      <c r="A10" s="593">
        <v>8</v>
      </c>
      <c r="B10" s="4" t="s">
        <v>2441</v>
      </c>
      <c r="C10" s="4" t="s">
        <v>2442</v>
      </c>
      <c r="D10" s="4" t="s">
        <v>1195</v>
      </c>
      <c r="E10" s="4" t="s">
        <v>12</v>
      </c>
      <c r="G10" s="535" t="str">
        <f>'46'!B1</f>
        <v>Where Workshop Participants Heard About Workshops</v>
      </c>
    </row>
    <row r="11" spans="1:15" ht="158.25" customHeight="1" x14ac:dyDescent="0.25">
      <c r="A11" s="593">
        <v>9</v>
      </c>
      <c r="B11" s="4" t="s">
        <v>2443</v>
      </c>
      <c r="C11" s="4" t="s">
        <v>2444</v>
      </c>
      <c r="D11" s="4" t="s">
        <v>1201</v>
      </c>
      <c r="E11" s="4" t="s">
        <v>12</v>
      </c>
      <c r="F11" s="4" t="s">
        <v>2445</v>
      </c>
      <c r="G11" s="535" t="str">
        <f>'47'!B1</f>
        <v xml:space="preserve">Conversion from Workshop to EUC Program Participation </v>
      </c>
    </row>
    <row r="12" spans="1:15" ht="240" x14ac:dyDescent="0.25">
      <c r="A12" s="593">
        <v>10</v>
      </c>
      <c r="B12" s="4" t="s">
        <v>2446</v>
      </c>
      <c r="C12" s="4" t="s">
        <v>2447</v>
      </c>
      <c r="D12" s="4" t="s">
        <v>1201</v>
      </c>
      <c r="E12" s="4" t="s">
        <v>12</v>
      </c>
      <c r="F12" s="4" t="s">
        <v>3132</v>
      </c>
      <c r="G12" s="535" t="str">
        <f>'63'!B1</f>
        <v>Participants EUC Website Visitation and Feedback</v>
      </c>
    </row>
    <row r="13" spans="1:15" ht="90" x14ac:dyDescent="0.25">
      <c r="A13" s="593">
        <v>11</v>
      </c>
      <c r="B13" s="4" t="s">
        <v>2448</v>
      </c>
      <c r="C13" s="4" t="s">
        <v>2449</v>
      </c>
      <c r="D13" s="4" t="s">
        <v>1196</v>
      </c>
      <c r="E13" s="4" t="s">
        <v>12</v>
      </c>
      <c r="F13" s="316" t="s">
        <v>2450</v>
      </c>
    </row>
    <row r="14" spans="1:15" ht="151.5" customHeight="1" x14ac:dyDescent="0.25">
      <c r="A14" s="593">
        <v>12</v>
      </c>
      <c r="B14" s="4" t="s">
        <v>2451</v>
      </c>
      <c r="C14" s="4" t="s">
        <v>2452</v>
      </c>
      <c r="D14" s="4" t="s">
        <v>1201</v>
      </c>
      <c r="E14" s="4" t="s">
        <v>12</v>
      </c>
      <c r="F14" s="4" t="s">
        <v>2453</v>
      </c>
      <c r="G14" s="535" t="str">
        <f>'48'!B1</f>
        <v>Workshop Attendee's Barrier to EUC Participation</v>
      </c>
    </row>
    <row r="15" spans="1:15" ht="288" customHeight="1" x14ac:dyDescent="0.25">
      <c r="A15" s="593">
        <v>13</v>
      </c>
      <c r="B15" s="4" t="s">
        <v>2454</v>
      </c>
      <c r="C15" s="317" t="s">
        <v>2455</v>
      </c>
      <c r="D15" s="4" t="s">
        <v>1201</v>
      </c>
      <c r="E15" s="4" t="s">
        <v>2456</v>
      </c>
      <c r="F15" s="317" t="s">
        <v>2457</v>
      </c>
      <c r="G15" s="535" t="str">
        <f>'35'!B1</f>
        <v>Contractors' Financing Quotes</v>
      </c>
      <c r="H15" s="535" t="str">
        <f>'64'!B1</f>
        <v xml:space="preserve">Participant Characteristics </v>
      </c>
      <c r="I15" s="3"/>
      <c r="J15" s="3"/>
      <c r="N15" s="311"/>
      <c r="O15" s="4"/>
    </row>
    <row r="16" spans="1:15" ht="147.75" customHeight="1" x14ac:dyDescent="0.25">
      <c r="A16" s="593">
        <v>14</v>
      </c>
      <c r="B16" s="4" t="s">
        <v>2458</v>
      </c>
      <c r="C16" s="4" t="s">
        <v>2459</v>
      </c>
      <c r="D16" s="4" t="s">
        <v>1201</v>
      </c>
      <c r="E16" s="4" t="s">
        <v>1201</v>
      </c>
      <c r="F16" s="317"/>
      <c r="G16" s="535" t="str">
        <f>'48'!B1</f>
        <v>Workshop Attendee's Barrier to EUC Participation</v>
      </c>
      <c r="H16" s="535" t="str">
        <f>'67'!B1</f>
        <v>Portions of Recommendations Completed and Reasons for Not Completing Them</v>
      </c>
      <c r="N16" s="311"/>
      <c r="O16" s="4"/>
    </row>
    <row r="17" spans="1:15" ht="405" x14ac:dyDescent="0.25">
      <c r="A17" s="593">
        <v>15</v>
      </c>
      <c r="B17" s="4" t="s">
        <v>2460</v>
      </c>
      <c r="C17" s="4" t="s">
        <v>2461</v>
      </c>
      <c r="D17" s="4" t="s">
        <v>1201</v>
      </c>
      <c r="E17" s="4" t="s">
        <v>12</v>
      </c>
      <c r="F17" s="317" t="s">
        <v>2462</v>
      </c>
      <c r="G17" s="535" t="str">
        <f>'49'!B1</f>
        <v>Top Motivating Marketing Messages for Participation (General Pop)</v>
      </c>
      <c r="H17" s="535" t="str">
        <f>'53'!B1</f>
        <v>Contractor's Suggested Most Effective Marketing Messages</v>
      </c>
      <c r="I17" s="535" t="str">
        <f>'69'!B1</f>
        <v>Participants' Motivations for EUC Participation</v>
      </c>
    </row>
    <row r="18" spans="1:15" ht="105" x14ac:dyDescent="0.25">
      <c r="A18" s="593">
        <v>16</v>
      </c>
      <c r="B18" s="4" t="s">
        <v>2463</v>
      </c>
      <c r="C18" s="4" t="s">
        <v>2464</v>
      </c>
      <c r="D18" s="4" t="s">
        <v>1195</v>
      </c>
      <c r="E18" s="4" t="s">
        <v>12</v>
      </c>
      <c r="G18" s="535" t="str">
        <f>'50'!B1</f>
        <v>Marketing Print Collateral Testing Summary (General Population)</v>
      </c>
    </row>
    <row r="19" spans="1:15" ht="409.5" customHeight="1" x14ac:dyDescent="0.2">
      <c r="A19" s="593">
        <v>17</v>
      </c>
      <c r="B19" s="4" t="s">
        <v>2465</v>
      </c>
      <c r="C19" s="4" t="s">
        <v>2466</v>
      </c>
      <c r="D19" s="4" t="s">
        <v>46</v>
      </c>
      <c r="E19" s="4" t="s">
        <v>1201</v>
      </c>
      <c r="F19" s="4" t="s">
        <v>2467</v>
      </c>
      <c r="G19" s="535" t="str">
        <f>'51'!B1</f>
        <v>Contractor Program Satisfaction Ratings</v>
      </c>
      <c r="H19" s="535" t="str">
        <f>'52'!B1</f>
        <v>Contractors Stating Paperwork is Barrier to Participation</v>
      </c>
      <c r="I19" s="535" t="str">
        <f>'54'!B1</f>
        <v>Contractor Barriers to Submitting Jobs to the Program</v>
      </c>
      <c r="J19" s="535" t="str">
        <f>'55'!B1</f>
        <v>Contractors Completing Jobs Outside of the Program</v>
      </c>
      <c r="K19" s="535" t="str">
        <f>'56'!B1</f>
        <v>EUC Qualified Jobs Not Submitted to Program in 2011</v>
      </c>
      <c r="L19" s="541" t="str">
        <f>'37'!B1</f>
        <v>Contractors' Quotes on Paperwork and QA/QC Requirements</v>
      </c>
      <c r="M19" s="541" t="str">
        <f>'12'!$B$1</f>
        <v>Time Lags Between Key Phases in Projects</v>
      </c>
      <c r="O19" s="318"/>
    </row>
    <row r="20" spans="1:15" ht="409.5" customHeight="1" x14ac:dyDescent="0.25">
      <c r="A20" s="593">
        <v>18</v>
      </c>
      <c r="B20" s="4" t="s">
        <v>2468</v>
      </c>
      <c r="C20" s="4" t="s">
        <v>2469</v>
      </c>
      <c r="D20" s="4" t="s">
        <v>1196</v>
      </c>
      <c r="E20" s="4" t="s">
        <v>21</v>
      </c>
      <c r="F20" s="4" t="s">
        <v>2470</v>
      </c>
      <c r="G20" s="541" t="str">
        <f>'12'!$B$1</f>
        <v>Time Lags Between Key Phases in Projects</v>
      </c>
    </row>
    <row r="21" spans="1:15" ht="308.25" customHeight="1" x14ac:dyDescent="0.25">
      <c r="A21" s="593">
        <v>19</v>
      </c>
      <c r="B21" s="4" t="s">
        <v>2471</v>
      </c>
      <c r="C21" s="4" t="s">
        <v>2472</v>
      </c>
      <c r="D21" s="4" t="s">
        <v>1196</v>
      </c>
      <c r="E21" s="4" t="s">
        <v>21</v>
      </c>
      <c r="F21" s="4" t="s">
        <v>2473</v>
      </c>
      <c r="G21" s="541" t="str">
        <f>'12'!$B$1</f>
        <v>Time Lags Between Key Phases in Projects</v>
      </c>
    </row>
    <row r="22" spans="1:15" ht="165" x14ac:dyDescent="0.25">
      <c r="A22" s="593">
        <v>20</v>
      </c>
      <c r="B22" s="4" t="s">
        <v>3317</v>
      </c>
      <c r="C22" s="4" t="s">
        <v>2474</v>
      </c>
      <c r="D22" s="4" t="s">
        <v>1201</v>
      </c>
      <c r="E22" s="4" t="s">
        <v>2475</v>
      </c>
      <c r="F22" s="4" t="s">
        <v>2476</v>
      </c>
      <c r="G22" s="535" t="str">
        <f>'33'!B1</f>
        <v>Project Activity Among Enrolled Contractors</v>
      </c>
    </row>
    <row r="23" spans="1:15" ht="150" x14ac:dyDescent="0.25">
      <c r="A23" s="593">
        <v>21</v>
      </c>
      <c r="B23" s="317" t="s">
        <v>2477</v>
      </c>
      <c r="C23" s="4" t="s">
        <v>2478</v>
      </c>
      <c r="D23" s="4" t="s">
        <v>1201</v>
      </c>
      <c r="E23" s="4" t="s">
        <v>24</v>
      </c>
      <c r="F23" s="4" t="s">
        <v>2479</v>
      </c>
      <c r="G23" s="535" t="str">
        <f>'34'!B1</f>
        <v>Advanced and Basic Upgrade Package Participation</v>
      </c>
      <c r="H23" s="535" t="str">
        <f>'39'!B1</f>
        <v>Contractors' Quotes on the Basic vs. Advanced Upgrade Options</v>
      </c>
    </row>
    <row r="24" spans="1:15" ht="134.25" customHeight="1" x14ac:dyDescent="0.25">
      <c r="A24" s="593">
        <v>22</v>
      </c>
      <c r="B24" s="4" t="s">
        <v>2480</v>
      </c>
      <c r="C24" s="4" t="s">
        <v>2481</v>
      </c>
      <c r="D24" s="4" t="s">
        <v>46</v>
      </c>
      <c r="E24" s="4" t="s">
        <v>2475</v>
      </c>
      <c r="F24" s="4" t="s">
        <v>2482</v>
      </c>
      <c r="G24" s="535" t="str">
        <f>'57'!B1</f>
        <v>Contractor Satisfaction with Program Training</v>
      </c>
    </row>
    <row r="25" spans="1:15" ht="210" x14ac:dyDescent="0.25">
      <c r="A25" s="593">
        <v>23</v>
      </c>
      <c r="B25" s="4" t="s">
        <v>2483</v>
      </c>
      <c r="C25" s="4" t="s">
        <v>2484</v>
      </c>
      <c r="D25" s="4" t="s">
        <v>46</v>
      </c>
      <c r="E25" s="4" t="s">
        <v>2475</v>
      </c>
      <c r="F25" s="4" t="s">
        <v>2485</v>
      </c>
      <c r="G25" s="535" t="str">
        <f>'58'!B1</f>
        <v>Proportion of Participating Contractors that Learned New Job Skills</v>
      </c>
      <c r="H25" s="535" t="str">
        <f>'59'!B1</f>
        <v>Proportion of Contractors that Have Added Staff due to EUC Program</v>
      </c>
      <c r="I25" s="535" t="str">
        <f>'61'!B1</f>
        <v>Proportion of Active Contractors that Plan to Add Staff</v>
      </c>
    </row>
    <row r="26" spans="1:15" ht="196.5" customHeight="1" x14ac:dyDescent="0.25">
      <c r="A26" s="593">
        <v>24</v>
      </c>
      <c r="B26" s="4" t="s">
        <v>2486</v>
      </c>
      <c r="C26" s="4" t="s">
        <v>2487</v>
      </c>
      <c r="D26" s="4" t="s">
        <v>46</v>
      </c>
      <c r="E26" s="4" t="s">
        <v>2456</v>
      </c>
      <c r="F26" s="4" t="s">
        <v>2488</v>
      </c>
    </row>
    <row r="27" spans="1:15" ht="360" customHeight="1" x14ac:dyDescent="0.25">
      <c r="A27" s="593">
        <v>25</v>
      </c>
      <c r="B27" s="4" t="s">
        <v>2489</v>
      </c>
      <c r="C27" s="4" t="s">
        <v>2490</v>
      </c>
      <c r="D27" s="4" t="s">
        <v>1201</v>
      </c>
      <c r="E27" s="4" t="s">
        <v>2456</v>
      </c>
      <c r="F27" s="4" t="s">
        <v>2491</v>
      </c>
      <c r="G27" s="535" t="str">
        <f>'68'!B1</f>
        <v>IOU Incentive Received Versus Expectation &amp; Proportion Receiving Premium Incentives</v>
      </c>
      <c r="H27" s="535" t="str">
        <f>'43'!B1</f>
        <v>Contractors' Quotes Impact of Premium Incentives</v>
      </c>
      <c r="I27" s="535" t="str">
        <f>'44'!B1</f>
        <v>IOU and Premium Incentives Received</v>
      </c>
    </row>
    <row r="28" spans="1:15" ht="401.25" customHeight="1" x14ac:dyDescent="0.25">
      <c r="A28" s="593">
        <v>26</v>
      </c>
      <c r="B28" s="317" t="s">
        <v>2492</v>
      </c>
      <c r="C28" s="4" t="s">
        <v>2493</v>
      </c>
      <c r="D28" s="4" t="s">
        <v>1201</v>
      </c>
      <c r="E28" s="4" t="s">
        <v>21</v>
      </c>
      <c r="F28" s="4" t="s">
        <v>2494</v>
      </c>
      <c r="G28" s="535" t="str">
        <f>'68'!B1</f>
        <v>IOU Incentive Received Versus Expectation &amp; Proportion Receiving Premium Incentives</v>
      </c>
      <c r="H28" s="535" t="str">
        <f>'40'!B1</f>
        <v>Contractors' Quotes on EnergyPro</v>
      </c>
    </row>
    <row r="29" spans="1:15" ht="358.5" customHeight="1" x14ac:dyDescent="0.25">
      <c r="A29" s="593">
        <v>27</v>
      </c>
      <c r="B29" s="4" t="s">
        <v>2495</v>
      </c>
      <c r="C29" s="4" t="s">
        <v>2496</v>
      </c>
      <c r="D29" s="4" t="s">
        <v>1201</v>
      </c>
      <c r="E29" s="4" t="s">
        <v>21</v>
      </c>
      <c r="F29" s="4" t="s">
        <v>2497</v>
      </c>
    </row>
    <row r="30" spans="1:15" ht="131.25" customHeight="1" x14ac:dyDescent="0.25">
      <c r="A30" s="593">
        <v>28</v>
      </c>
      <c r="B30" s="4" t="s">
        <v>2498</v>
      </c>
      <c r="C30" s="4" t="s">
        <v>3170</v>
      </c>
      <c r="D30" s="4" t="s">
        <v>44</v>
      </c>
      <c r="E30" s="4" t="s">
        <v>12</v>
      </c>
      <c r="G30" s="535" t="str">
        <f>'64'!B1</f>
        <v xml:space="preserve">Participant Characteristics </v>
      </c>
    </row>
    <row r="31" spans="1:15" ht="60" x14ac:dyDescent="0.25">
      <c r="A31" s="593">
        <v>29</v>
      </c>
      <c r="B31" s="4" t="s">
        <v>2499</v>
      </c>
      <c r="C31" s="4" t="s">
        <v>2500</v>
      </c>
      <c r="D31" s="4" t="s">
        <v>44</v>
      </c>
      <c r="E31" s="4" t="s">
        <v>21</v>
      </c>
      <c r="G31" s="535" t="str">
        <f>'65'!B1</f>
        <v>Participant Satisfaction with Contractors</v>
      </c>
    </row>
    <row r="32" spans="1:15" ht="137.25" customHeight="1" x14ac:dyDescent="0.25">
      <c r="A32" s="593">
        <v>30</v>
      </c>
      <c r="B32" s="4" t="s">
        <v>2501</v>
      </c>
      <c r="C32" s="4" t="s">
        <v>2502</v>
      </c>
      <c r="D32" s="4" t="s">
        <v>44</v>
      </c>
      <c r="E32" s="4" t="s">
        <v>21</v>
      </c>
      <c r="G32" s="535" t="str">
        <f>'66'!B1</f>
        <v>Participant Reaction to Assessment Report (among those receiving a report)</v>
      </c>
    </row>
    <row r="33" spans="1:8" ht="115.5" customHeight="1" x14ac:dyDescent="0.25">
      <c r="A33" s="593">
        <v>31</v>
      </c>
      <c r="B33" s="4" t="s">
        <v>2503</v>
      </c>
      <c r="C33" s="4" t="s">
        <v>2504</v>
      </c>
      <c r="D33" s="4" t="s">
        <v>1201</v>
      </c>
      <c r="E33" s="4" t="s">
        <v>21</v>
      </c>
      <c r="F33" s="4" t="s">
        <v>2505</v>
      </c>
      <c r="G33" s="535" t="str">
        <f>'70'!B1</f>
        <v>Effects of Participation on Knowledge and Behavior</v>
      </c>
      <c r="H33" s="535" t="str">
        <f>'71'!B1</f>
        <v>Change in Utility Bill (Participant Opinion) Due to the EUC Upgrade</v>
      </c>
    </row>
    <row r="34" spans="1:8" ht="120" x14ac:dyDescent="0.25">
      <c r="A34" s="593">
        <v>32</v>
      </c>
      <c r="B34" s="4" t="s">
        <v>2506</v>
      </c>
      <c r="C34" s="4" t="s">
        <v>2507</v>
      </c>
      <c r="D34" s="4" t="s">
        <v>44</v>
      </c>
      <c r="E34" s="4" t="s">
        <v>21</v>
      </c>
      <c r="G34" s="535" t="str">
        <f>'72'!B1</f>
        <v>Overall Satisfaction and Suggestions for Improvement</v>
      </c>
      <c r="H34" s="535" t="str">
        <f>'30'!B1</f>
        <v>What Participants Are Saying About the Program</v>
      </c>
    </row>
    <row r="35" spans="1:8" ht="165" x14ac:dyDescent="0.25">
      <c r="A35" s="593">
        <v>33</v>
      </c>
      <c r="B35" s="319" t="s">
        <v>2508</v>
      </c>
      <c r="C35" s="4" t="s">
        <v>2509</v>
      </c>
      <c r="D35" s="4" t="s">
        <v>44</v>
      </c>
      <c r="E35" s="4" t="s">
        <v>12</v>
      </c>
      <c r="G35" s="535" t="str">
        <f>'41'!B1</f>
        <v>Participants' Agreement with Awareness Knowledge Actions-Behaviors Statements</v>
      </c>
    </row>
    <row r="36" spans="1:8" ht="210" x14ac:dyDescent="0.25">
      <c r="A36" s="593">
        <v>34</v>
      </c>
      <c r="B36" s="4" t="s">
        <v>2510</v>
      </c>
      <c r="C36" s="4" t="s">
        <v>2511</v>
      </c>
      <c r="D36" s="4" t="s">
        <v>44</v>
      </c>
      <c r="E36" s="4" t="s">
        <v>12</v>
      </c>
      <c r="G36" s="535" t="str">
        <f>'41'!B1</f>
        <v>Participants' Agreement with Awareness Knowledge Actions-Behaviors Statements</v>
      </c>
    </row>
    <row r="37" spans="1:8" ht="285" x14ac:dyDescent="0.25">
      <c r="A37" s="593">
        <v>35</v>
      </c>
      <c r="B37" s="4" t="s">
        <v>2512</v>
      </c>
      <c r="C37" s="4" t="s">
        <v>2513</v>
      </c>
      <c r="D37" s="4" t="s">
        <v>46</v>
      </c>
      <c r="E37" s="4" t="s">
        <v>2456</v>
      </c>
      <c r="G37" s="535" t="str">
        <f>'42'!B1</f>
        <v>Contractors' Agreement with Awareness, Knowledge, Actions-Behaviors Statements</v>
      </c>
    </row>
    <row r="38" spans="1:8" ht="297.75" customHeight="1" x14ac:dyDescent="0.25">
      <c r="A38" s="593">
        <v>36</v>
      </c>
      <c r="B38" s="4" t="s">
        <v>2514</v>
      </c>
      <c r="C38" s="316" t="s">
        <v>2515</v>
      </c>
      <c r="D38" s="4" t="s">
        <v>46</v>
      </c>
      <c r="E38" s="4" t="s">
        <v>2456</v>
      </c>
      <c r="G38" s="535" t="str">
        <f>'42'!B1</f>
        <v>Contractors' Agreement with Awareness, Knowledge, Actions-Behaviors Statements</v>
      </c>
    </row>
    <row r="39" spans="1:8" ht="135" x14ac:dyDescent="0.25">
      <c r="A39" s="593">
        <v>37</v>
      </c>
      <c r="B39" s="4" t="s">
        <v>2516</v>
      </c>
      <c r="C39" s="4" t="s">
        <v>2517</v>
      </c>
      <c r="D39" s="4" t="s">
        <v>46</v>
      </c>
      <c r="E39" s="4" t="s">
        <v>2456</v>
      </c>
      <c r="G39" s="535" t="str">
        <f>'42'!B1</f>
        <v>Contractors' Agreement with Awareness, Knowledge, Actions-Behaviors Statements</v>
      </c>
    </row>
    <row r="40" spans="1:8" ht="120" x14ac:dyDescent="0.25">
      <c r="A40" s="593">
        <v>38</v>
      </c>
      <c r="B40" s="4" t="s">
        <v>2518</v>
      </c>
      <c r="C40" s="4" t="s">
        <v>2519</v>
      </c>
      <c r="D40" s="4" t="s">
        <v>46</v>
      </c>
      <c r="E40" s="4" t="s">
        <v>2456</v>
      </c>
      <c r="G40" s="535" t="str">
        <f>'42'!B1</f>
        <v>Contractors' Agreement with Awareness, Knowledge, Actions-Behaviors Statements</v>
      </c>
    </row>
    <row r="41" spans="1:8" ht="75" x14ac:dyDescent="0.25">
      <c r="A41" s="593">
        <v>39</v>
      </c>
      <c r="B41" s="4" t="s">
        <v>2520</v>
      </c>
      <c r="C41" s="4" t="s">
        <v>2521</v>
      </c>
      <c r="D41" s="4" t="s">
        <v>2522</v>
      </c>
      <c r="E41" s="4" t="s">
        <v>12</v>
      </c>
      <c r="F41" s="4" t="s">
        <v>2523</v>
      </c>
    </row>
    <row r="42" spans="1:8" ht="90" x14ac:dyDescent="0.25">
      <c r="A42" s="593">
        <v>40</v>
      </c>
      <c r="B42" s="4" t="s">
        <v>2524</v>
      </c>
      <c r="C42" s="4" t="s">
        <v>2525</v>
      </c>
      <c r="D42" s="4" t="s">
        <v>1201</v>
      </c>
      <c r="E42" s="4" t="s">
        <v>1201</v>
      </c>
      <c r="F42" s="4" t="s">
        <v>2526</v>
      </c>
      <c r="G42" s="535" t="str">
        <f>'54'!B1</f>
        <v>Contractor Barriers to Submitting Jobs to the Program</v>
      </c>
    </row>
    <row r="43" spans="1:8" ht="210" x14ac:dyDescent="0.25">
      <c r="A43" s="593">
        <v>41</v>
      </c>
      <c r="B43" s="4" t="s">
        <v>2527</v>
      </c>
      <c r="C43" s="4" t="s">
        <v>2528</v>
      </c>
      <c r="D43" s="4" t="s">
        <v>1197</v>
      </c>
      <c r="E43" s="4" t="s">
        <v>1201</v>
      </c>
      <c r="F43" s="4" t="s">
        <v>3373</v>
      </c>
    </row>
    <row r="44" spans="1:8" ht="120" x14ac:dyDescent="0.25">
      <c r="A44" s="593">
        <v>42</v>
      </c>
      <c r="B44" s="4" t="s">
        <v>2418</v>
      </c>
      <c r="C44" s="4" t="s">
        <v>2419</v>
      </c>
      <c r="D44" s="4" t="s">
        <v>1198</v>
      </c>
      <c r="E44" s="4" t="s">
        <v>21</v>
      </c>
      <c r="G44" s="535" t="str">
        <f>'1'!$B$1</f>
        <v>Distribution of Measures in SCE/SCG Advanced Jobs and Advanced PG&amp;E jobs</v>
      </c>
    </row>
    <row r="45" spans="1:8" ht="120" x14ac:dyDescent="0.25">
      <c r="A45" s="593">
        <v>43</v>
      </c>
      <c r="B45" s="4" t="s">
        <v>2417</v>
      </c>
      <c r="C45" s="4" t="s">
        <v>3183</v>
      </c>
      <c r="D45" s="4" t="s">
        <v>1198</v>
      </c>
      <c r="E45" s="4" t="s">
        <v>21</v>
      </c>
      <c r="G45" s="535" t="str">
        <f>'1'!$B$1</f>
        <v>Distribution of Measures in SCE/SCG Advanced Jobs and Advanced PG&amp;E jobs</v>
      </c>
    </row>
    <row r="46" spans="1:8" ht="180" x14ac:dyDescent="0.25">
      <c r="A46" s="593">
        <v>44</v>
      </c>
      <c r="B46" s="4" t="s">
        <v>2393</v>
      </c>
      <c r="C46" s="4" t="s">
        <v>3184</v>
      </c>
      <c r="D46" s="4" t="s">
        <v>1198</v>
      </c>
      <c r="E46" s="4" t="s">
        <v>21</v>
      </c>
      <c r="G46" s="535" t="str">
        <f>'2'!$B$1</f>
        <v>Percent Difference Between Modeled Annual Energy Use and Billed Use for SCE/SCG and PG&amp;E Advanced jobs</v>
      </c>
    </row>
    <row r="47" spans="1:8" ht="165" x14ac:dyDescent="0.25">
      <c r="A47" s="593">
        <v>45</v>
      </c>
      <c r="B47" s="4" t="s">
        <v>2394</v>
      </c>
      <c r="C47" s="4" t="s">
        <v>2322</v>
      </c>
      <c r="D47" s="4" t="s">
        <v>1198</v>
      </c>
      <c r="E47" s="4" t="s">
        <v>21</v>
      </c>
      <c r="G47" s="535" t="str">
        <f>'5'!$B$1</f>
        <v>Change in Savings Estimates Between Pre and Post Application</v>
      </c>
    </row>
    <row r="48" spans="1:8" ht="251.25" customHeight="1" x14ac:dyDescent="0.25">
      <c r="A48" s="593">
        <v>46</v>
      </c>
      <c r="B48" s="4" t="s">
        <v>1381</v>
      </c>
      <c r="C48" s="4" t="s">
        <v>3185</v>
      </c>
      <c r="D48" s="4" t="s">
        <v>1198</v>
      </c>
      <c r="E48" s="4" t="s">
        <v>21</v>
      </c>
      <c r="G48" s="535" t="str">
        <f>'3'!$B$1</f>
        <v>Percent Reductions in Whole House leakage and Duct Leakage Rates</v>
      </c>
    </row>
    <row r="49" spans="1:10" ht="129.75" customHeight="1" x14ac:dyDescent="0.25">
      <c r="A49" s="593">
        <v>47</v>
      </c>
      <c r="B49" s="4" t="s">
        <v>1934</v>
      </c>
      <c r="C49" s="4" t="s">
        <v>3186</v>
      </c>
      <c r="D49" s="4" t="s">
        <v>1198</v>
      </c>
      <c r="E49" s="4" t="s">
        <v>21</v>
      </c>
      <c r="G49" s="535" t="str">
        <f>'6'!$B$1</f>
        <v>Pre (Advanced) and Post (Advanced and Basic) Leakage Rate (ACH) for SCE/SCG jobs</v>
      </c>
    </row>
    <row r="50" spans="1:10" ht="119.25" customHeight="1" x14ac:dyDescent="0.25">
      <c r="A50" s="593">
        <v>48</v>
      </c>
      <c r="B50" s="4" t="s">
        <v>1905</v>
      </c>
      <c r="C50" s="4" t="s">
        <v>2395</v>
      </c>
      <c r="D50" s="4" t="s">
        <v>1924</v>
      </c>
      <c r="E50" s="4" t="s">
        <v>21</v>
      </c>
      <c r="G50" s="535" t="str">
        <f>'12'!$B$1</f>
        <v>Time Lags Between Key Phases in Projects</v>
      </c>
    </row>
    <row r="51" spans="1:10" ht="101.25" customHeight="1" x14ac:dyDescent="0.25">
      <c r="A51" s="593">
        <v>49</v>
      </c>
      <c r="B51" s="4" t="s">
        <v>1911</v>
      </c>
      <c r="C51" s="4" t="s">
        <v>3187</v>
      </c>
      <c r="D51" s="4" t="s">
        <v>1924</v>
      </c>
      <c r="E51" s="4" t="s">
        <v>21</v>
      </c>
      <c r="G51" s="535" t="str">
        <f>'4'!$B$1</f>
        <v>Total Savings Percentage Claimed in Completed SCE/SCG and PG&amp;E Advanced Jobs</v>
      </c>
    </row>
    <row r="52" spans="1:10" ht="180" x14ac:dyDescent="0.25">
      <c r="A52" s="593">
        <v>50</v>
      </c>
      <c r="B52" s="4" t="s">
        <v>2396</v>
      </c>
      <c r="C52" s="4" t="s">
        <v>3188</v>
      </c>
      <c r="D52" s="4" t="s">
        <v>2206</v>
      </c>
      <c r="E52" s="4" t="s">
        <v>21</v>
      </c>
      <c r="G52" s="535" t="str">
        <f>'7'!$B$1</f>
        <v>Number of Problems Found by QC</v>
      </c>
    </row>
    <row r="53" spans="1:10" ht="135" x14ac:dyDescent="0.25">
      <c r="A53" s="593">
        <v>51</v>
      </c>
      <c r="B53" s="4" t="s">
        <v>2397</v>
      </c>
      <c r="C53" s="4" t="s">
        <v>2332</v>
      </c>
      <c r="D53" s="4" t="s">
        <v>1198</v>
      </c>
      <c r="E53" s="4" t="s">
        <v>21</v>
      </c>
      <c r="G53" s="535" t="str">
        <f>'8'!$B$1</f>
        <v>Common Comments Made by PG&amp;E QC to Contractors on Pre and Post Applications</v>
      </c>
    </row>
    <row r="54" spans="1:10" ht="135" x14ac:dyDescent="0.25">
      <c r="A54" s="593">
        <v>52</v>
      </c>
      <c r="B54" s="4" t="s">
        <v>2205</v>
      </c>
      <c r="C54" s="4" t="s">
        <v>3189</v>
      </c>
      <c r="D54" s="4" t="s">
        <v>1198</v>
      </c>
      <c r="E54" s="4" t="s">
        <v>21</v>
      </c>
      <c r="G54" s="535" t="str">
        <f>'9'!$B$1</f>
        <v>Instances of Safety Issues Noted in File Review of Advanced Jobs</v>
      </c>
      <c r="H54" s="535" t="str">
        <f>'10'!$B$1</f>
        <v>Apparent instance of fire and mold hazard due to incorrect floor insulation installation</v>
      </c>
    </row>
    <row r="55" spans="1:10" ht="60" x14ac:dyDescent="0.25">
      <c r="A55" s="593">
        <v>53</v>
      </c>
      <c r="B55" s="4" t="s">
        <v>2407</v>
      </c>
      <c r="C55" s="4" t="s">
        <v>2408</v>
      </c>
      <c r="D55" s="4" t="s">
        <v>1198</v>
      </c>
      <c r="E55" s="4" t="s">
        <v>21</v>
      </c>
      <c r="F55" s="4" t="s">
        <v>2409</v>
      </c>
    </row>
    <row r="56" spans="1:10" ht="90" x14ac:dyDescent="0.25">
      <c r="A56" s="593">
        <v>54</v>
      </c>
      <c r="B56" s="4" t="s">
        <v>2398</v>
      </c>
      <c r="C56" s="4" t="s">
        <v>3190</v>
      </c>
      <c r="D56" s="4" t="s">
        <v>1198</v>
      </c>
      <c r="E56" s="4" t="s">
        <v>21</v>
      </c>
      <c r="G56" s="535" t="str">
        <f>'11'!$B$1</f>
        <v>Change in HVAC System Capacity</v>
      </c>
    </row>
    <row r="57" spans="1:10" ht="267.75" customHeight="1" x14ac:dyDescent="0.25">
      <c r="A57" s="593">
        <v>55</v>
      </c>
      <c r="B57" s="4" t="s">
        <v>2226</v>
      </c>
      <c r="C57" s="4" t="s">
        <v>3191</v>
      </c>
      <c r="D57" s="4" t="s">
        <v>2227</v>
      </c>
      <c r="E57" s="4" t="s">
        <v>21</v>
      </c>
      <c r="G57" s="535" t="str">
        <f>'14'!$B$1</f>
        <v>Distribution of Job Costs for Advanced and Basic jobs</v>
      </c>
    </row>
    <row r="58" spans="1:10" ht="135" x14ac:dyDescent="0.25">
      <c r="A58" s="593">
        <v>56</v>
      </c>
      <c r="B58" s="4" t="s">
        <v>2399</v>
      </c>
      <c r="C58" s="4" t="s">
        <v>3192</v>
      </c>
      <c r="D58" s="4" t="s">
        <v>2227</v>
      </c>
      <c r="E58" s="4" t="s">
        <v>21</v>
      </c>
      <c r="G58" s="535" t="str">
        <f>'13'!$B$1</f>
        <v>Distribution of Incentives as a Percentage of Measure Costs for Advanced jobs</v>
      </c>
    </row>
    <row r="59" spans="1:10" ht="315" x14ac:dyDescent="0.25">
      <c r="A59" s="593">
        <v>57</v>
      </c>
      <c r="B59" s="4" t="s">
        <v>2400</v>
      </c>
      <c r="C59" s="4" t="s">
        <v>3193</v>
      </c>
      <c r="D59" s="4" t="s">
        <v>1198</v>
      </c>
      <c r="E59" s="4" t="s">
        <v>21</v>
      </c>
      <c r="F59" s="4" t="s">
        <v>3194</v>
      </c>
      <c r="G59" s="535" t="str">
        <f>'15'!$B$1</f>
        <v>Difference in Reported Savings Between Tracking Data and Project Files</v>
      </c>
    </row>
    <row r="60" spans="1:10" ht="294.75" customHeight="1" x14ac:dyDescent="0.25">
      <c r="A60" s="593">
        <v>58</v>
      </c>
      <c r="B60" s="4" t="s">
        <v>2402</v>
      </c>
      <c r="C60" s="4" t="s">
        <v>2401</v>
      </c>
      <c r="D60" s="4" t="s">
        <v>1200</v>
      </c>
      <c r="E60" s="4" t="s">
        <v>21</v>
      </c>
      <c r="G60" s="535" t="str">
        <f>'16'!$B$1</f>
        <v>Site inspections summary (Evaluation on-site surveys of PG&amp;E sites)</v>
      </c>
    </row>
    <row r="61" spans="1:10" ht="75" x14ac:dyDescent="0.25">
      <c r="A61" s="593">
        <v>59</v>
      </c>
      <c r="B61" s="4" t="s">
        <v>2254</v>
      </c>
      <c r="C61" s="4" t="s">
        <v>2254</v>
      </c>
      <c r="D61" s="4" t="s">
        <v>1924</v>
      </c>
      <c r="E61" s="4" t="s">
        <v>21</v>
      </c>
      <c r="G61" s="535" t="str">
        <f>'17'!$B$1</f>
        <v>Savings Summary by Year, Excluding 2012</v>
      </c>
    </row>
    <row r="62" spans="1:10" ht="222" customHeight="1" x14ac:dyDescent="0.25">
      <c r="A62" s="593">
        <v>60</v>
      </c>
      <c r="B62" s="4" t="s">
        <v>3314</v>
      </c>
      <c r="C62" s="4" t="s">
        <v>2338</v>
      </c>
      <c r="D62" s="4" t="s">
        <v>1924</v>
      </c>
      <c r="E62" s="4" t="s">
        <v>21</v>
      </c>
      <c r="F62" s="4" t="s">
        <v>2326</v>
      </c>
    </row>
    <row r="63" spans="1:10" ht="300" x14ac:dyDescent="0.25">
      <c r="A63" s="593">
        <v>61</v>
      </c>
      <c r="B63" s="4" t="s">
        <v>2410</v>
      </c>
      <c r="C63" s="4" t="s">
        <v>2411</v>
      </c>
      <c r="D63" s="4" t="s">
        <v>2412</v>
      </c>
      <c r="E63" s="4" t="s">
        <v>21</v>
      </c>
      <c r="F63" s="4" t="s">
        <v>2413</v>
      </c>
      <c r="G63" s="535" t="str">
        <f>'7'!$B$1</f>
        <v>Number of Problems Found by QC</v>
      </c>
      <c r="H63" s="535" t="str">
        <f>'12'!$B$1</f>
        <v>Time Lags Between Key Phases in Projects</v>
      </c>
      <c r="I63" s="535" t="str">
        <f>'5'!$B$1</f>
        <v>Change in Savings Estimates Between Pre and Post Application</v>
      </c>
      <c r="J63" s="535" t="str">
        <f>'1'!$B$1</f>
        <v>Distribution of Measures in SCE/SCG Advanced Jobs and Advanced PG&amp;E jobs</v>
      </c>
    </row>
    <row r="64" spans="1:10" ht="102" customHeight="1" x14ac:dyDescent="0.25">
      <c r="A64" s="593">
        <v>62</v>
      </c>
      <c r="B64" s="4" t="s">
        <v>2414</v>
      </c>
      <c r="C64" s="4" t="s">
        <v>2415</v>
      </c>
      <c r="D64" s="4" t="s">
        <v>1198</v>
      </c>
      <c r="E64" s="4" t="s">
        <v>21</v>
      </c>
      <c r="F64" s="4" t="s">
        <v>2416</v>
      </c>
    </row>
    <row r="65" spans="1:9" ht="129" customHeight="1" x14ac:dyDescent="0.25">
      <c r="A65" s="593">
        <v>63</v>
      </c>
      <c r="B65" s="4" t="s">
        <v>2261</v>
      </c>
      <c r="C65" s="4" t="s">
        <v>2262</v>
      </c>
      <c r="D65" s="4" t="s">
        <v>2263</v>
      </c>
      <c r="E65" s="4" t="s">
        <v>21</v>
      </c>
      <c r="F65" s="4" t="s">
        <v>2264</v>
      </c>
      <c r="G65" s="535" t="str">
        <f>'19'!$B$1</f>
        <v>EnergyPro &amp; eQUEST Software:  Advantages &amp; Disadvantages</v>
      </c>
    </row>
    <row r="66" spans="1:9" ht="160.5" customHeight="1" x14ac:dyDescent="0.25">
      <c r="A66" s="593">
        <v>64</v>
      </c>
      <c r="B66" s="4" t="s">
        <v>2265</v>
      </c>
      <c r="C66" s="4" t="s">
        <v>2266</v>
      </c>
      <c r="D66" s="4" t="s">
        <v>2263</v>
      </c>
      <c r="E66" s="4" t="s">
        <v>21</v>
      </c>
      <c r="G66" s="535" t="str">
        <f>'20'!$B$1</f>
        <v>Sensitivity to Changes in Duct Leakage Percentage (Site 1-1057, Site 2-1058)</v>
      </c>
      <c r="H66" s="538" t="str">
        <f>'21'!$B$1</f>
        <v>Sensitivity to Changes in Improved Roof U-Value (Site 2-1058)</v>
      </c>
    </row>
    <row r="67" spans="1:9" ht="90" x14ac:dyDescent="0.25">
      <c r="A67" s="593">
        <v>65</v>
      </c>
      <c r="B67" s="4" t="s">
        <v>2267</v>
      </c>
      <c r="C67" s="4" t="s">
        <v>2268</v>
      </c>
      <c r="D67" s="4" t="s">
        <v>2263</v>
      </c>
      <c r="E67" s="4" t="s">
        <v>21</v>
      </c>
      <c r="F67" s="4" t="s">
        <v>2269</v>
      </c>
    </row>
    <row r="68" spans="1:9" ht="150.75" customHeight="1" x14ac:dyDescent="0.25">
      <c r="A68" s="593">
        <v>66</v>
      </c>
      <c r="B68" s="4" t="s">
        <v>2403</v>
      </c>
      <c r="C68" s="4" t="s">
        <v>2270</v>
      </c>
      <c r="D68" s="4" t="s">
        <v>2263</v>
      </c>
      <c r="E68" s="4" t="s">
        <v>21</v>
      </c>
      <c r="G68" s="535" t="str">
        <f>'22'!$B$1</f>
        <v>Site 1-1057 Monthly kWh Comparison</v>
      </c>
      <c r="H68" s="538" t="str">
        <f>'23'!$B$1</f>
        <v>Site 1-1057 Monthly Therms Comparison</v>
      </c>
      <c r="I68" s="535" t="str">
        <f>'24'!$B$1</f>
        <v>Site 1-1057 Energy End Use Comparison</v>
      </c>
    </row>
    <row r="69" spans="1:9" ht="144.75" customHeight="1" x14ac:dyDescent="0.25">
      <c r="A69" s="593">
        <v>67</v>
      </c>
      <c r="B69" s="4" t="s">
        <v>2404</v>
      </c>
      <c r="C69" s="4" t="s">
        <v>2319</v>
      </c>
      <c r="D69" s="4" t="s">
        <v>2263</v>
      </c>
      <c r="E69" s="4" t="s">
        <v>21</v>
      </c>
      <c r="G69" s="538" t="str">
        <f>'25'!$B$1</f>
        <v>Site 2-1058 Monthly kWh Comparison</v>
      </c>
      <c r="H69" s="535" t="str">
        <f>'26'!$B$1</f>
        <v>Site 2-1058 Monthly Therms Comparison</v>
      </c>
      <c r="I69" s="535" t="str">
        <f>'27'!$B$1</f>
        <v>Site 2-1058 Energy End Use Comparison</v>
      </c>
    </row>
    <row r="70" spans="1:9" ht="90" x14ac:dyDescent="0.25">
      <c r="A70" s="593">
        <v>68</v>
      </c>
      <c r="B70" s="4" t="s">
        <v>2405</v>
      </c>
      <c r="C70" s="4" t="s">
        <v>2271</v>
      </c>
      <c r="D70" s="4" t="s">
        <v>2263</v>
      </c>
      <c r="E70" s="4" t="s">
        <v>21</v>
      </c>
      <c r="G70" s="538" t="str">
        <f>'28'!$B$1</f>
        <v>Site 1-1057 Combined Measure Model Savings Comparison</v>
      </c>
    </row>
    <row r="71" spans="1:9" ht="90" x14ac:dyDescent="0.25">
      <c r="A71" s="593">
        <v>69</v>
      </c>
      <c r="B71" s="4" t="s">
        <v>2406</v>
      </c>
      <c r="C71" s="4" t="s">
        <v>2272</v>
      </c>
      <c r="D71" s="4" t="s">
        <v>2263</v>
      </c>
      <c r="E71" s="4" t="s">
        <v>21</v>
      </c>
      <c r="G71" s="538" t="str">
        <f>'29'!$B$1</f>
        <v>Site 2-1058 Combined Measure Model Savings Comparison</v>
      </c>
    </row>
    <row r="72" spans="1:9" ht="126.75" customHeight="1" x14ac:dyDescent="0.25">
      <c r="A72" s="593">
        <v>70</v>
      </c>
      <c r="B72" s="4" t="s">
        <v>2273</v>
      </c>
      <c r="C72" s="4" t="s">
        <v>2325</v>
      </c>
      <c r="D72" s="4" t="s">
        <v>2263</v>
      </c>
      <c r="E72" s="4" t="s">
        <v>21</v>
      </c>
      <c r="F72" s="4" t="s">
        <v>3207</v>
      </c>
    </row>
    <row r="73" spans="1:9" ht="75" x14ac:dyDescent="0.25">
      <c r="A73" s="593">
        <v>71</v>
      </c>
      <c r="B73" s="4" t="s">
        <v>3060</v>
      </c>
      <c r="C73" s="4" t="s">
        <v>3061</v>
      </c>
      <c r="D73" s="4" t="s">
        <v>1199</v>
      </c>
      <c r="E73" s="4" t="s">
        <v>21</v>
      </c>
      <c r="F73" s="4" t="s">
        <v>3208</v>
      </c>
      <c r="G73" s="535"/>
    </row>
    <row r="74" spans="1:9" ht="75.75" customHeight="1" x14ac:dyDescent="0.25">
      <c r="A74" s="593">
        <v>72</v>
      </c>
      <c r="B74" s="4" t="s">
        <v>3062</v>
      </c>
      <c r="C74" s="4" t="s">
        <v>3063</v>
      </c>
      <c r="D74" s="4" t="s">
        <v>1199</v>
      </c>
      <c r="E74" s="4" t="s">
        <v>21</v>
      </c>
      <c r="F74" s="4" t="s">
        <v>3208</v>
      </c>
      <c r="G74" s="535"/>
    </row>
    <row r="75" spans="1:9" ht="165" customHeight="1" x14ac:dyDescent="0.25">
      <c r="A75" s="593">
        <v>73</v>
      </c>
      <c r="B75" s="4" t="s">
        <v>3064</v>
      </c>
      <c r="C75" s="4" t="s">
        <v>3065</v>
      </c>
      <c r="D75" s="4" t="s">
        <v>1199</v>
      </c>
      <c r="E75" s="4" t="s">
        <v>21</v>
      </c>
      <c r="F75" s="4" t="s">
        <v>3208</v>
      </c>
      <c r="G75" s="535"/>
    </row>
    <row r="76" spans="1:9" ht="222.75" customHeight="1" x14ac:dyDescent="0.25">
      <c r="A76" s="593">
        <v>74</v>
      </c>
      <c r="B76" s="4" t="s">
        <v>3066</v>
      </c>
      <c r="C76" s="4" t="s">
        <v>3067</v>
      </c>
      <c r="D76" s="4" t="s">
        <v>1199</v>
      </c>
      <c r="E76" s="4" t="s">
        <v>21</v>
      </c>
      <c r="F76" s="4" t="s">
        <v>3208</v>
      </c>
      <c r="G76" s="535"/>
    </row>
    <row r="77" spans="1:9" ht="133.5" customHeight="1" x14ac:dyDescent="0.25">
      <c r="A77" s="593">
        <v>75</v>
      </c>
      <c r="B77" s="4" t="s">
        <v>3068</v>
      </c>
      <c r="C77" s="4" t="s">
        <v>3069</v>
      </c>
      <c r="D77" s="4" t="s">
        <v>1199</v>
      </c>
      <c r="E77" s="4" t="s">
        <v>21</v>
      </c>
      <c r="F77" s="4" t="s">
        <v>3208</v>
      </c>
      <c r="G77" s="535"/>
    </row>
    <row r="78" spans="1:9" ht="315.75" customHeight="1" x14ac:dyDescent="0.25">
      <c r="A78" s="593">
        <v>76</v>
      </c>
      <c r="B78" s="4" t="s">
        <v>3070</v>
      </c>
      <c r="C78" s="4" t="s">
        <v>3089</v>
      </c>
      <c r="D78" s="4" t="s">
        <v>1199</v>
      </c>
      <c r="E78" s="4" t="s">
        <v>21</v>
      </c>
      <c r="F78" s="4" t="s">
        <v>3209</v>
      </c>
      <c r="G78" s="535" t="str">
        <f>'74'!B1</f>
        <v>Performance Gaps Observed in SCE Whole House Training</v>
      </c>
    </row>
    <row r="79" spans="1:9" ht="165" x14ac:dyDescent="0.25">
      <c r="A79" s="593">
        <v>77</v>
      </c>
      <c r="B79" s="4" t="s">
        <v>3102</v>
      </c>
      <c r="C79" s="4" t="s">
        <v>3121</v>
      </c>
      <c r="D79" s="4" t="s">
        <v>2361</v>
      </c>
      <c r="E79" s="4" t="s">
        <v>22</v>
      </c>
      <c r="G79" s="535" t="str">
        <f>'73'!B1</f>
        <v>BPI Professional Certifications by Type of Certification: January 1, 2010 and November 1, 2011</v>
      </c>
    </row>
    <row r="80" spans="1:9" ht="240" x14ac:dyDescent="0.25">
      <c r="A80" s="593">
        <v>78</v>
      </c>
      <c r="B80" s="4" t="s">
        <v>3163</v>
      </c>
      <c r="C80" s="4" t="s">
        <v>3164</v>
      </c>
      <c r="D80" s="4" t="s">
        <v>1196</v>
      </c>
      <c r="F80" s="4" t="s">
        <v>3210</v>
      </c>
    </row>
  </sheetData>
  <autoFilter ref="A2:O80"/>
  <customSheetViews>
    <customSheetView guid="{679A3195-3DEA-4AC2-A535-82AAF5B552BC}" showAutoFilter="1" hiddenColumns="1">
      <selection activeCell="B3" sqref="B3"/>
      <pageMargins left="0.7" right="0.7" top="0.75" bottom="0.75" header="0.3" footer="0.3"/>
      <pageSetup orientation="portrait" verticalDpi="4294967293" r:id="rId1"/>
      <autoFilter ref="A2:O80"/>
    </customSheetView>
    <customSheetView guid="{7378B641-E8D1-4C14-8151-CF4CE159D121}" showAutoFilter="1" hiddenColumns="1">
      <pane xSplit="3" ySplit="2" topLeftCell="D67" activePane="bottomRight" state="frozen"/>
      <selection pane="bottomRight" activeCell="A67" sqref="A67"/>
      <pageMargins left="0.7" right="0.7" top="0.75" bottom="0.75" header="0.3" footer="0.3"/>
      <pageSetup orientation="portrait" verticalDpi="4294967293" r:id="rId2"/>
      <autoFilter ref="B2:O80"/>
    </customSheetView>
    <customSheetView guid="{6D63B10B-E1E6-452A-80EB-4B2C7D61CF66}" showAutoFilter="1" hiddenColumns="1">
      <selection activeCell="B3" sqref="B3"/>
      <pageMargins left="0.7" right="0.7" top="0.75" bottom="0.75" header="0.3" footer="0.3"/>
      <pageSetup orientation="portrait" verticalDpi="4294967293" r:id="rId3"/>
      <autoFilter ref="A2:O80"/>
    </customSheetView>
  </customSheetViews>
  <dataValidations count="3">
    <dataValidation type="list" allowBlank="1" showInputMessage="1" sqref="D1:D1048576">
      <formula1>DataSource</formula1>
    </dataValidation>
    <dataValidation type="list" allowBlank="1" showInputMessage="1" sqref="E1:E1048576">
      <formula1>Activity</formula1>
    </dataValidation>
    <dataValidation type="list" allowBlank="1" showInputMessage="1" sqref="C1">
      <formula1>Area</formula1>
    </dataValidation>
  </dataValidations>
  <hyperlinks>
    <hyperlink ref="B1" location="Captions!A1" display="Link to Captions"/>
    <hyperlink ref="G4" location="'32'!B1" display="'32'!B1"/>
    <hyperlink ref="G6" location="'31'!B1" display="'31'!B1"/>
    <hyperlink ref="G7" location="'45'!B1" display="'45'!B1"/>
    <hyperlink ref="H7" location="'62'!B1" display="'62'!B1"/>
    <hyperlink ref="G10" location="'46'!B1" display="'46'!B1"/>
    <hyperlink ref="G11" location="'47'!B1" display="'47'!B1"/>
    <hyperlink ref="G12" location="'63'!B1" display="'63'!B1"/>
    <hyperlink ref="G14" location="'48'!B1" display="'48'!B1"/>
    <hyperlink ref="G15" location="'35'!B1" display="'35'!B1"/>
    <hyperlink ref="H15" location="'64'!B1" display="'64'!B1"/>
    <hyperlink ref="G16" location="'48'!B1" display="'48'!B1"/>
    <hyperlink ref="H16" location="'67'!B1" display="'67'!B1"/>
    <hyperlink ref="G17" location="'49'!B1" display="'49'!B1"/>
    <hyperlink ref="H17" location="'53'!B1" display="'53'!B1"/>
    <hyperlink ref="I17" location="'69'!B1" display="'69'!B1"/>
    <hyperlink ref="G18" location="'50'!B1" display="'50'!B1"/>
    <hyperlink ref="K19" location="'56'!B1" display="'56'!B1"/>
    <hyperlink ref="H19" location="'52'!B1" display="'52'!B1"/>
    <hyperlink ref="I19" location="'54'!B1" display="'54'!B1"/>
    <hyperlink ref="J19" location="'55'!B1" display="'55'!B1"/>
    <hyperlink ref="L19" location="'37'!B1" display="'37'!B1"/>
    <hyperlink ref="M19" location="'12'!B1" display="'12'!B1"/>
    <hyperlink ref="G20" location="'12'!B1" display="'12'!B1"/>
    <hyperlink ref="G21" location="'12'!B1" display="'12'!B1"/>
    <hyperlink ref="G22" location="'33'!B1" display="'33'!B1"/>
    <hyperlink ref="G23" location="'34'!B1" display="'34'!B1"/>
    <hyperlink ref="H23" location="'39'!B1" display="'39'!B1"/>
    <hyperlink ref="G24" location="'57'!B1" display="'57'!B1"/>
    <hyperlink ref="G25" location="'58'!B1" display="'58'!B1"/>
    <hyperlink ref="H25" location="'59'!B1" display="'59'!B1"/>
    <hyperlink ref="I25" location="'61'!B1" display="'61'!B1"/>
    <hyperlink ref="G27" location="'68'!B1" display="'68'!B1"/>
    <hyperlink ref="H27" location="'43'!B1" display="'43'!B1"/>
    <hyperlink ref="I27" location="'44'!B1" display="'44'!B1"/>
    <hyperlink ref="G28" location="'68'!B1" display="'68'!B1"/>
    <hyperlink ref="H28" location="'40'!B1" display="'40'!B1"/>
    <hyperlink ref="G30" location="'64'!B1" display="'64'!B1"/>
    <hyperlink ref="G31" location="'65'!B1" display="'65'!B1"/>
    <hyperlink ref="G32" location="'66'!B1" display="'66'!B1"/>
    <hyperlink ref="G33" location="'70'!B1" display="'70'!B1"/>
    <hyperlink ref="H33" location="'71'!B1" display="'71'!B1"/>
    <hyperlink ref="G34" location="'72'!B1" display="'72'!B1"/>
    <hyperlink ref="H34" location="'30'!B1" display="'30'!B1"/>
    <hyperlink ref="G35" location="'41'!B1" display="'41'!B1"/>
    <hyperlink ref="G36" location="'41'!B1" display="'41'!B1"/>
    <hyperlink ref="G37" location="'42'!B1" display="'42'!B1"/>
    <hyperlink ref="G38" location="'42'!B1" display="'42'!B1"/>
    <hyperlink ref="G39" location="'42'!B1" display="'42'!B1"/>
    <hyperlink ref="G40" location="'42'!B1" display="'42'!B1"/>
    <hyperlink ref="G42" location="'54'!B1" display="'54'!B1"/>
    <hyperlink ref="G44" location="'1'!B1" display="'1'!B1"/>
    <hyperlink ref="G45" location="'1'!B1" display="'1'!B1"/>
    <hyperlink ref="G46" location="'2'!B1" display="'2'!B1"/>
    <hyperlink ref="G47" location="'5'!B1" display="'5'!B1"/>
    <hyperlink ref="G48" location="'3'!B1" display="'3'!B1"/>
    <hyperlink ref="G49" location="'6'!B1" display="'6'!B1"/>
    <hyperlink ref="G50" location="'12'!B1" display="'12'!B1"/>
    <hyperlink ref="G51" location="'4'!B1" display="'4'!B1"/>
    <hyperlink ref="G52" location="'7'!B1" display="'7'!B1"/>
    <hyperlink ref="G53" location="'8'!B1" display="'8'!B1"/>
    <hyperlink ref="G54" location="'9'!B1" display="'9'!B1"/>
    <hyperlink ref="H54" location="'10'!B1" display="'10'!B1"/>
    <hyperlink ref="G56" location="'11'!B1" display="'11'!B1"/>
    <hyperlink ref="G57" location="'14'!B1" display="'14'!B1"/>
    <hyperlink ref="G58" location="'13'!B1" display="'13'!B1"/>
    <hyperlink ref="G59" location="'15'!B1" display="'15'!B1"/>
    <hyperlink ref="G60" location="'16'!B1" display="'16'!B1"/>
    <hyperlink ref="G61" location="'17'!B1" display="'17'!B1"/>
    <hyperlink ref="G63" location="'7'!B1" display="'7'!B1"/>
    <hyperlink ref="H63" location="'12'!B1" display="'12'!B1"/>
    <hyperlink ref="I63" location="'5'!B1" display="'5'!B1"/>
    <hyperlink ref="J63" location="'1'!B1" display="'1'!B1"/>
    <hyperlink ref="G65" location="'19'!B1" display="'19'!B1"/>
    <hyperlink ref="G66" location="'20'!B1" display="'20'!B1"/>
    <hyperlink ref="H66" location="'21'!B1" display="'21'!B1"/>
    <hyperlink ref="G68" location="'22'!B1" display="'22'!B1"/>
    <hyperlink ref="H68" location="'23'!B1" display="'23'!B1"/>
    <hyperlink ref="I68" location="'24'!B1" display="'24'!B1"/>
    <hyperlink ref="G69" location="'25'!B1" display="'25'!B1"/>
    <hyperlink ref="H69" location="'26'!B1" display="'26'!B1"/>
    <hyperlink ref="I69" location="'27'!B1" display="'27'!B1"/>
    <hyperlink ref="G70" location="'28'!B1" display="'28'!B1"/>
    <hyperlink ref="G71" location="'29'!B1" display="'29'!B1"/>
    <hyperlink ref="G79" location="'73'!B1" display="'73'!B1"/>
    <hyperlink ref="G19" location="'51'!B1" display="'51'!B1"/>
    <hyperlink ref="G78" location="'74'!B1" display="'74'!B1"/>
    <hyperlink ref="C1" location="Recommendations!A1" display="Go to Recommendations"/>
  </hyperlinks>
  <pageMargins left="0.7" right="0.7" top="0.75" bottom="0.75" header="0.3" footer="0.3"/>
  <pageSetup orientation="portrait" verticalDpi="4294967293"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6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0.7109375" customWidth="1"/>
    <col min="5" max="5" width="13.42578125" customWidth="1"/>
    <col min="6" max="6" width="14" customWidth="1"/>
  </cols>
  <sheetData>
    <row r="1" spans="1:6" ht="21.75" customHeight="1" x14ac:dyDescent="0.25">
      <c r="A1" s="3" t="s">
        <v>26</v>
      </c>
      <c r="B1" s="4" t="s">
        <v>3332</v>
      </c>
      <c r="C1" s="535" t="s">
        <v>3058</v>
      </c>
      <c r="D1" s="558" t="str">
        <f>B1</f>
        <v>Common Comments Made by PG&amp;E QC to Contractors on Pre and Post Applications</v>
      </c>
    </row>
    <row r="2" spans="1:6" ht="12.75" customHeight="1" x14ac:dyDescent="0.25">
      <c r="A2" t="s">
        <v>20</v>
      </c>
      <c r="B2" s="2" t="s">
        <v>58</v>
      </c>
      <c r="C2" s="536" t="s">
        <v>3059</v>
      </c>
    </row>
    <row r="3" spans="1:6" x14ac:dyDescent="0.25">
      <c r="A3" t="s">
        <v>1184</v>
      </c>
      <c r="B3" s="2" t="s">
        <v>1198</v>
      </c>
      <c r="C3" s="536" t="s">
        <v>1193</v>
      </c>
    </row>
    <row r="4" spans="1:6" ht="57" x14ac:dyDescent="0.25">
      <c r="A4" t="s">
        <v>3136</v>
      </c>
      <c r="B4" s="2" t="s">
        <v>2194</v>
      </c>
      <c r="C4" s="80"/>
      <c r="D4" s="605" t="s">
        <v>2193</v>
      </c>
      <c r="E4" s="607" t="s">
        <v>3231</v>
      </c>
      <c r="F4" s="607" t="s">
        <v>3232</v>
      </c>
    </row>
    <row r="5" spans="1:6" x14ac:dyDescent="0.25">
      <c r="B5" s="2"/>
      <c r="D5" s="246" t="s">
        <v>2327</v>
      </c>
      <c r="E5" s="183">
        <v>14</v>
      </c>
      <c r="F5" s="183">
        <v>8</v>
      </c>
    </row>
    <row r="6" spans="1:6" x14ac:dyDescent="0.25">
      <c r="C6" s="81"/>
      <c r="D6" s="82" t="s">
        <v>2328</v>
      </c>
      <c r="E6" s="183">
        <v>8</v>
      </c>
      <c r="F6" s="183">
        <v>1</v>
      </c>
    </row>
    <row r="7" spans="1:6" x14ac:dyDescent="0.25">
      <c r="C7" s="81"/>
      <c r="D7" s="82" t="s">
        <v>2329</v>
      </c>
      <c r="E7" s="183">
        <v>14</v>
      </c>
      <c r="F7" s="183">
        <v>8</v>
      </c>
    </row>
    <row r="8" spans="1:6" ht="30" x14ac:dyDescent="0.25">
      <c r="C8" s="81"/>
      <c r="D8" s="82" t="s">
        <v>2330</v>
      </c>
      <c r="E8" s="183">
        <v>3</v>
      </c>
      <c r="F8" s="183" t="s">
        <v>2331</v>
      </c>
    </row>
    <row r="9" spans="1:6" x14ac:dyDescent="0.25">
      <c r="C9" s="81"/>
      <c r="D9" s="82"/>
      <c r="E9" s="84"/>
    </row>
    <row r="10" spans="1:6" x14ac:dyDescent="0.25">
      <c r="D10" s="82"/>
      <c r="E10" s="84"/>
    </row>
    <row r="11" spans="1:6" x14ac:dyDescent="0.25">
      <c r="C11" s="81"/>
      <c r="D11" s="82"/>
      <c r="E11" s="84"/>
    </row>
    <row r="12" spans="1:6" x14ac:dyDescent="0.25">
      <c r="C12" s="81"/>
      <c r="D12" s="82"/>
      <c r="E12" s="84"/>
    </row>
    <row r="13" spans="1:6" x14ac:dyDescent="0.25">
      <c r="C13" s="81"/>
      <c r="D13" s="82"/>
      <c r="E13" s="84"/>
    </row>
    <row r="14" spans="1:6" x14ac:dyDescent="0.25">
      <c r="C14" s="81"/>
      <c r="D14" s="82"/>
      <c r="E14" s="84"/>
    </row>
    <row r="15" spans="1:6" x14ac:dyDescent="0.25">
      <c r="C15" s="81"/>
      <c r="D15" s="82"/>
    </row>
    <row r="16" spans="1:6" x14ac:dyDescent="0.25">
      <c r="C16" s="81"/>
      <c r="D16" s="82"/>
    </row>
    <row r="17" spans="3:4" x14ac:dyDescent="0.25">
      <c r="C17" s="81"/>
      <c r="D17" s="82"/>
    </row>
    <row r="18" spans="3:4" x14ac:dyDescent="0.25">
      <c r="C18" s="81"/>
      <c r="D18" s="82"/>
    </row>
    <row r="19" spans="3:4" x14ac:dyDescent="0.25">
      <c r="C19" s="81"/>
      <c r="D19" s="82"/>
    </row>
    <row r="20" spans="3:4" x14ac:dyDescent="0.25">
      <c r="C20" s="81"/>
      <c r="D20" s="82"/>
    </row>
    <row r="21" spans="3:4" x14ac:dyDescent="0.25">
      <c r="C21" s="81"/>
      <c r="D21" s="82"/>
    </row>
    <row r="22" spans="3:4" x14ac:dyDescent="0.25">
      <c r="D22" s="82"/>
    </row>
    <row r="23" spans="3:4" x14ac:dyDescent="0.25">
      <c r="C23" s="81"/>
      <c r="D23" s="82"/>
    </row>
    <row r="24" spans="3:4" x14ac:dyDescent="0.25">
      <c r="C24" s="81"/>
      <c r="D24" s="82"/>
    </row>
    <row r="25" spans="3:4" x14ac:dyDescent="0.25">
      <c r="C25" s="81"/>
      <c r="D25" s="82"/>
    </row>
    <row r="26" spans="3:4" x14ac:dyDescent="0.25">
      <c r="C26" s="81"/>
      <c r="D26" s="82"/>
    </row>
    <row r="27" spans="3:4" x14ac:dyDescent="0.25">
      <c r="C27" s="81"/>
      <c r="D27" s="82"/>
    </row>
    <row r="28" spans="3:4" x14ac:dyDescent="0.25">
      <c r="C28" s="81"/>
      <c r="D28" s="82"/>
    </row>
    <row r="29" spans="3:4" x14ac:dyDescent="0.25">
      <c r="C29" s="81"/>
      <c r="D29" s="82"/>
    </row>
    <row r="30" spans="3:4" x14ac:dyDescent="0.25">
      <c r="C30" s="81"/>
      <c r="D30" s="82"/>
    </row>
    <row r="31" spans="3:4" x14ac:dyDescent="0.25">
      <c r="C31" s="81"/>
      <c r="D31" s="82"/>
    </row>
    <row r="32" spans="3:4" x14ac:dyDescent="0.25">
      <c r="C32" s="81"/>
      <c r="D32" s="82"/>
    </row>
    <row r="33" spans="3:4" x14ac:dyDescent="0.25">
      <c r="C33" s="81"/>
      <c r="D33" s="82"/>
    </row>
    <row r="34" spans="3:4" x14ac:dyDescent="0.25">
      <c r="C34" s="81"/>
      <c r="D34" s="82"/>
    </row>
    <row r="35" spans="3:4" x14ac:dyDescent="0.25">
      <c r="C35" s="81"/>
      <c r="D35" s="82"/>
    </row>
    <row r="36" spans="3:4" x14ac:dyDescent="0.25">
      <c r="C36" s="81"/>
      <c r="D36" s="82"/>
    </row>
    <row r="37" spans="3:4" x14ac:dyDescent="0.25">
      <c r="C37" s="81"/>
      <c r="D37" s="82"/>
    </row>
    <row r="38" spans="3:4" x14ac:dyDescent="0.25">
      <c r="C38" s="81"/>
      <c r="D38" s="82"/>
    </row>
    <row r="39" spans="3:4" x14ac:dyDescent="0.25">
      <c r="C39" s="81"/>
      <c r="D39" s="82"/>
    </row>
    <row r="40" spans="3:4" x14ac:dyDescent="0.25">
      <c r="C40" s="81"/>
      <c r="D40" s="82"/>
    </row>
    <row r="41" spans="3:4" x14ac:dyDescent="0.25">
      <c r="C41" s="81"/>
      <c r="D41" s="82"/>
    </row>
    <row r="42" spans="3:4" x14ac:dyDescent="0.25">
      <c r="C42" s="81"/>
      <c r="D42" s="82"/>
    </row>
    <row r="43" spans="3:4" x14ac:dyDescent="0.25">
      <c r="C43" s="81"/>
      <c r="D43" s="82"/>
    </row>
    <row r="44" spans="3:4" x14ac:dyDescent="0.25">
      <c r="C44" s="81"/>
      <c r="D44" s="82"/>
    </row>
    <row r="45" spans="3:4" x14ac:dyDescent="0.25">
      <c r="C45" s="81"/>
      <c r="D45" s="82"/>
    </row>
    <row r="46" spans="3:4" x14ac:dyDescent="0.25">
      <c r="C46" s="81"/>
      <c r="D46" s="82"/>
    </row>
    <row r="47" spans="3:4" x14ac:dyDescent="0.25">
      <c r="C47" s="81"/>
      <c r="D47" s="82"/>
    </row>
    <row r="48" spans="3:4" x14ac:dyDescent="0.25">
      <c r="D48" s="82"/>
    </row>
    <row r="49" spans="4:4" x14ac:dyDescent="0.25">
      <c r="D49" s="82"/>
    </row>
    <row r="50" spans="4:4" x14ac:dyDescent="0.25">
      <c r="D50" s="82"/>
    </row>
    <row r="51" spans="4:4" x14ac:dyDescent="0.25">
      <c r="D51" s="82"/>
    </row>
    <row r="52" spans="4:4" x14ac:dyDescent="0.25">
      <c r="D52" s="82"/>
    </row>
    <row r="53" spans="4:4" x14ac:dyDescent="0.25">
      <c r="D53" s="82"/>
    </row>
    <row r="54" spans="4:4" x14ac:dyDescent="0.25">
      <c r="D54" s="82"/>
    </row>
    <row r="55" spans="4:4" x14ac:dyDescent="0.25">
      <c r="D55" s="82"/>
    </row>
    <row r="56" spans="4:4" x14ac:dyDescent="0.25">
      <c r="D56" s="82"/>
    </row>
    <row r="57" spans="4:4" x14ac:dyDescent="0.25">
      <c r="D57" s="82"/>
    </row>
    <row r="58" spans="4:4" x14ac:dyDescent="0.25">
      <c r="D58" s="82"/>
    </row>
    <row r="59" spans="4:4" x14ac:dyDescent="0.25">
      <c r="D59" s="82"/>
    </row>
    <row r="60" spans="4:4" x14ac:dyDescent="0.25">
      <c r="D60" s="82"/>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I37" sqref="I37"/>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302"/>
  <sheetViews>
    <sheetView workbookViewId="0">
      <selection activeCell="A7" sqref="A7"/>
    </sheetView>
  </sheetViews>
  <sheetFormatPr defaultRowHeight="15" x14ac:dyDescent="0.25"/>
  <cols>
    <col min="1" max="1" width="6.5703125" customWidth="1"/>
    <col min="2" max="2" width="40.42578125" customWidth="1"/>
    <col min="3" max="3" width="46" customWidth="1"/>
    <col min="4" max="4" width="48.28515625" customWidth="1"/>
    <col min="5" max="5" width="32.7109375" customWidth="1"/>
    <col min="6" max="8" width="16.7109375" customWidth="1"/>
  </cols>
  <sheetData>
    <row r="1" spans="1:9" x14ac:dyDescent="0.25">
      <c r="A1" s="185" t="str">
        <f>FileReviewW12!A1</f>
        <v>Trkg_IOU</v>
      </c>
      <c r="B1" s="185" t="str">
        <f>FileReviewW12!DN1</f>
        <v>PreQC_RPT_Issue1</v>
      </c>
      <c r="C1" s="185" t="str">
        <f>FileReviewW12!DO1</f>
        <v>PreQC_RPT_Issue2</v>
      </c>
      <c r="D1" s="185" t="str">
        <f>FileReviewW12!EC1</f>
        <v>PostQC_RPT_Issue1</v>
      </c>
      <c r="E1" s="241" t="str">
        <f>FileReviewW12!ED1</f>
        <v>PostQC_RPT_Issue2</v>
      </c>
      <c r="F1" s="241"/>
      <c r="G1" s="241"/>
      <c r="H1" s="241"/>
      <c r="I1" s="86"/>
    </row>
    <row r="2" spans="1:9" x14ac:dyDescent="0.25">
      <c r="A2" s="186" t="str">
        <f>FileReviewW12!A2</f>
        <v>SCE</v>
      </c>
      <c r="B2" s="186">
        <f>FileReviewW12!DN2</f>
        <v>0</v>
      </c>
      <c r="C2" s="187">
        <f>FileReviewW12!DO2</f>
        <v>0</v>
      </c>
      <c r="D2" s="186" t="str">
        <f>FileReviewW12!EC2</f>
        <v>Asbestos possible in ducts</v>
      </c>
      <c r="E2" s="242" t="str">
        <f>FileReviewW12!ED2</f>
        <v>Gas leakage at furnace</v>
      </c>
      <c r="F2" s="245"/>
      <c r="G2" s="244"/>
      <c r="H2" s="245"/>
      <c r="I2" s="161"/>
    </row>
    <row r="3" spans="1:9" x14ac:dyDescent="0.25">
      <c r="A3" s="186" t="str">
        <f>FileReviewW12!A3</f>
        <v>SCE</v>
      </c>
      <c r="B3" s="186" t="str">
        <f>FileReviewW12!DN3</f>
        <v>Possible asbestos in ducts, 28% assumed</v>
      </c>
      <c r="C3" s="187">
        <f>FileReviewW12!DO3</f>
        <v>0</v>
      </c>
      <c r="D3" s="186" t="str">
        <f>FileReviewW12!EC3</f>
        <v>Building leakage not reduced to .35ACH or 14%</v>
      </c>
      <c r="E3" s="242">
        <f>FileReviewW12!ED3</f>
        <v>0</v>
      </c>
      <c r="F3" s="245"/>
      <c r="G3" s="244"/>
      <c r="H3" s="245"/>
      <c r="I3" s="161"/>
    </row>
    <row r="4" spans="1:9" x14ac:dyDescent="0.25">
      <c r="A4" s="186" t="str">
        <f>FileReviewW12!A4</f>
        <v>SCE</v>
      </c>
      <c r="B4" s="186" t="str">
        <f>FileReviewW12!DN4</f>
        <v>Possible asbestos in ducts, 28% assumed</v>
      </c>
      <c r="C4" s="187">
        <f>FileReviewW12!DO4</f>
        <v>0</v>
      </c>
      <c r="D4" s="186" t="str">
        <f>FileReviewW12!EC4</f>
        <v>Mechanical ventilation recommended - 75% of BAS</v>
      </c>
      <c r="E4" s="242">
        <f>FileReviewW12!ED4</f>
        <v>0</v>
      </c>
      <c r="F4" s="245"/>
      <c r="G4" s="244"/>
      <c r="H4" s="245"/>
      <c r="I4" s="161"/>
    </row>
    <row r="5" spans="1:9" ht="30" x14ac:dyDescent="0.25">
      <c r="A5" s="186" t="str">
        <f>FileReviewW12!A5</f>
        <v>SCE</v>
      </c>
      <c r="B5" s="249" t="str">
        <f>FileReviewW12!DN5</f>
        <v>Duct test did not reach pressure</v>
      </c>
      <c r="C5" s="187">
        <f>FileReviewW12!DO5</f>
        <v>0</v>
      </c>
      <c r="D5" s="2" t="str">
        <f>FileReviewW12!EC5</f>
        <v>Contractor to install mechanical ventilation - 60% of BAS</v>
      </c>
      <c r="E5" s="242">
        <f>FileReviewW12!ED5</f>
        <v>0</v>
      </c>
      <c r="F5" s="245"/>
      <c r="G5" s="244"/>
      <c r="H5" s="245"/>
    </row>
    <row r="6" spans="1:9" x14ac:dyDescent="0.25">
      <c r="A6" s="186" t="str">
        <f>FileReviewW12!A6</f>
        <v>SCE</v>
      </c>
      <c r="B6" s="186" t="str">
        <f>FileReviewW12!DN6</f>
        <v>Mechanical ventilation required</v>
      </c>
      <c r="C6" s="187" t="str">
        <f>FileReviewW12!DO6</f>
        <v>Duct test did not reach pressure</v>
      </c>
      <c r="D6" s="2">
        <f>FileReviewW12!EC6</f>
        <v>0</v>
      </c>
      <c r="E6" s="242">
        <f>FileReviewW12!ED6</f>
        <v>0</v>
      </c>
      <c r="F6" s="245"/>
      <c r="G6" s="244"/>
      <c r="H6" s="245"/>
    </row>
    <row r="7" spans="1:9" x14ac:dyDescent="0.25">
      <c r="A7" s="186" t="str">
        <f>FileReviewW12!A7</f>
        <v>SCE</v>
      </c>
      <c r="B7" s="96">
        <f>FileReviewW12!DN7</f>
        <v>0</v>
      </c>
      <c r="C7" s="187">
        <f>FileReviewW12!DO7</f>
        <v>0</v>
      </c>
      <c r="D7" s="2">
        <f>FileReviewW12!EC7</f>
        <v>0</v>
      </c>
      <c r="E7" s="242">
        <f>FileReviewW12!ED7</f>
        <v>0</v>
      </c>
      <c r="F7" s="245"/>
      <c r="G7" s="244"/>
      <c r="H7" s="245"/>
    </row>
    <row r="8" spans="1:9" x14ac:dyDescent="0.25">
      <c r="A8" s="186" t="str">
        <f>FileReviewW12!A8</f>
        <v>SCE</v>
      </c>
      <c r="B8" s="96">
        <f>FileReviewW12!DN8</f>
        <v>0</v>
      </c>
      <c r="C8" s="187">
        <f>FileReviewW12!DO8</f>
        <v>0</v>
      </c>
      <c r="D8" s="2">
        <f>FileReviewW12!EC8</f>
        <v>0</v>
      </c>
      <c r="E8" s="242">
        <f>FileReviewW12!ED8</f>
        <v>0</v>
      </c>
      <c r="F8" s="245"/>
      <c r="G8" s="244"/>
      <c r="H8" s="245"/>
    </row>
    <row r="9" spans="1:9" x14ac:dyDescent="0.25">
      <c r="A9" s="186" t="str">
        <f>FileReviewW12!A9</f>
        <v>SCE</v>
      </c>
      <c r="B9" s="96" t="str">
        <f>FileReviewW12!DN9</f>
        <v>Possible asbestos in ducts</v>
      </c>
      <c r="C9" s="187">
        <f>FileReviewW12!DO9</f>
        <v>0</v>
      </c>
      <c r="D9" s="2">
        <f>FileReviewW12!EC9</f>
        <v>0</v>
      </c>
      <c r="E9" s="242">
        <f>FileReviewW12!ED9</f>
        <v>0</v>
      </c>
      <c r="F9" s="245"/>
      <c r="G9" s="244"/>
      <c r="H9" s="245"/>
    </row>
    <row r="10" spans="1:9" x14ac:dyDescent="0.25">
      <c r="A10" s="186" t="str">
        <f>FileReviewW12!A10</f>
        <v>SCE</v>
      </c>
      <c r="B10" s="96" t="str">
        <f>FileReviewW12!DN10</f>
        <v>Possible asbestos in ducts</v>
      </c>
      <c r="C10" s="187">
        <f>FileReviewW12!DO10</f>
        <v>0</v>
      </c>
      <c r="D10" s="2">
        <f>FileReviewW12!EC10</f>
        <v>0</v>
      </c>
      <c r="E10" s="242">
        <f>FileReviewW12!ED10</f>
        <v>0</v>
      </c>
      <c r="F10" s="245"/>
      <c r="G10" s="244"/>
      <c r="H10" s="245"/>
    </row>
    <row r="11" spans="1:9" x14ac:dyDescent="0.25">
      <c r="A11" s="186" t="str">
        <f>FileReviewW12!A11</f>
        <v>SCE</v>
      </c>
      <c r="B11" s="96">
        <f>FileReviewW12!DN11</f>
        <v>0</v>
      </c>
      <c r="C11" s="187">
        <f>FileReviewW12!DO11</f>
        <v>0</v>
      </c>
      <c r="D11" s="2">
        <f>FileReviewW12!EC11</f>
        <v>0</v>
      </c>
      <c r="E11" s="242">
        <f>FileReviewW12!ED11</f>
        <v>0</v>
      </c>
      <c r="F11" s="245"/>
      <c r="G11" s="244"/>
      <c r="H11" s="245"/>
    </row>
    <row r="12" spans="1:9" x14ac:dyDescent="0.25">
      <c r="A12" s="186" t="str">
        <f>FileReviewW12!A12</f>
        <v>SCE</v>
      </c>
      <c r="B12" s="96">
        <f>FileReviewW12!DN12</f>
        <v>0</v>
      </c>
      <c r="C12" s="187">
        <f>FileReviewW12!DO12</f>
        <v>0</v>
      </c>
      <c r="D12" s="2">
        <f>FileReviewW12!EC12</f>
        <v>0</v>
      </c>
      <c r="E12" s="242">
        <f>FileReviewW12!ED12</f>
        <v>0</v>
      </c>
      <c r="F12" s="245"/>
      <c r="G12" s="244"/>
      <c r="H12" s="245"/>
    </row>
    <row r="13" spans="1:9" x14ac:dyDescent="0.25">
      <c r="A13" s="186" t="str">
        <f>FileReviewW12!A13</f>
        <v>SCE</v>
      </c>
      <c r="B13" s="250">
        <f>FileReviewW12!DN13</f>
        <v>0</v>
      </c>
      <c r="C13" s="187">
        <f>FileReviewW12!DO13</f>
        <v>0</v>
      </c>
      <c r="D13" s="2">
        <f>FileReviewW12!EC13</f>
        <v>0</v>
      </c>
      <c r="E13" s="242">
        <f>FileReviewW12!ED13</f>
        <v>0</v>
      </c>
      <c r="F13" s="245"/>
      <c r="G13" s="244"/>
      <c r="H13" s="245"/>
    </row>
    <row r="14" spans="1:9" x14ac:dyDescent="0.25">
      <c r="A14" s="186" t="str">
        <f>FileReviewW12!A14</f>
        <v>SCE</v>
      </c>
      <c r="B14" s="96" t="str">
        <f>FileReviewW12!DN14</f>
        <v>CAZ failed</v>
      </c>
      <c r="C14" s="187">
        <f>FileReviewW12!DO14</f>
        <v>0</v>
      </c>
      <c r="D14" s="2" t="str">
        <f>FileReviewW12!EC14</f>
        <v>CAZ failed</v>
      </c>
      <c r="E14" s="242">
        <f>FileReviewW12!ED14</f>
        <v>0</v>
      </c>
      <c r="F14" s="245"/>
      <c r="G14" s="244"/>
      <c r="H14" s="245"/>
    </row>
    <row r="15" spans="1:9" ht="30" x14ac:dyDescent="0.25">
      <c r="A15" s="186" t="str">
        <f>FileReviewW12!A15</f>
        <v>SCE</v>
      </c>
      <c r="B15" s="96" t="str">
        <f>FileReviewW12!DN15</f>
        <v>Possible asbestos in duct - no test</v>
      </c>
      <c r="C15" s="187" t="str">
        <f>FileReviewW12!DO15</f>
        <v>Proposed HVAC system may be undersized</v>
      </c>
      <c r="D15" s="2" t="str">
        <f>FileReviewW12!EC15</f>
        <v>Outside DHW CAZ failed</v>
      </c>
      <c r="E15" s="242" t="str">
        <f>FileReviewW12!ED15</f>
        <v>Shower thermostat valve not installed</v>
      </c>
      <c r="F15" s="245"/>
      <c r="G15" s="244"/>
      <c r="H15" s="245"/>
    </row>
    <row r="16" spans="1:9" x14ac:dyDescent="0.25">
      <c r="A16" s="186" t="str">
        <f>FileReviewW12!A16</f>
        <v>SCE</v>
      </c>
      <c r="B16" s="96">
        <f>FileReviewW12!DN16</f>
        <v>0</v>
      </c>
      <c r="C16" s="187">
        <f>FileReviewW12!DO16</f>
        <v>0</v>
      </c>
      <c r="D16" s="2" t="str">
        <f>FileReviewW12!EC16</f>
        <v>Mechanical ventilation required</v>
      </c>
      <c r="E16" s="242">
        <f>FileReviewW12!ED16</f>
        <v>0</v>
      </c>
      <c r="F16" s="245"/>
      <c r="G16" s="244"/>
      <c r="H16" s="245"/>
    </row>
    <row r="17" spans="1:8" ht="30" x14ac:dyDescent="0.25">
      <c r="A17" s="186" t="str">
        <f>FileReviewW12!A17</f>
        <v>SCE</v>
      </c>
      <c r="B17" s="96" t="str">
        <f>FileReviewW12!DN17</f>
        <v>Possible asbestos in duct - no test</v>
      </c>
      <c r="C17" s="187">
        <f>FileReviewW12!DO17</f>
        <v>0</v>
      </c>
      <c r="D17" s="2" t="str">
        <f>FileReviewW12!EC17</f>
        <v>Post duct-leakage does not meet minimum requirements</v>
      </c>
      <c r="E17" s="242" t="str">
        <f>FileReviewW12!ED17</f>
        <v>Post building leakage does not meet minimum requirements</v>
      </c>
      <c r="F17" s="245"/>
      <c r="G17" s="244"/>
      <c r="H17" s="245"/>
    </row>
    <row r="18" spans="1:8" ht="30" x14ac:dyDescent="0.25">
      <c r="A18" s="186" t="str">
        <f>FileReviewW12!A18</f>
        <v>SCE</v>
      </c>
      <c r="B18" s="96">
        <f>FileReviewW12!DN18</f>
        <v>0</v>
      </c>
      <c r="C18" s="187">
        <f>FileReviewW12!DO18</f>
        <v>0</v>
      </c>
      <c r="D18" s="2" t="str">
        <f>FileReviewW12!EC18</f>
        <v>Post duct-leakage does not meet minimum requirements</v>
      </c>
      <c r="E18" s="242" t="str">
        <f>FileReviewW12!ED18</f>
        <v>Post building leakage does not meet minimum requirements</v>
      </c>
      <c r="F18" s="245"/>
      <c r="G18" s="244"/>
      <c r="H18" s="245"/>
    </row>
    <row r="19" spans="1:8" x14ac:dyDescent="0.25">
      <c r="A19" s="186" t="str">
        <f>FileReviewW12!A19</f>
        <v>SCE</v>
      </c>
      <c r="B19" s="96">
        <f>FileReviewW12!DN19</f>
        <v>0</v>
      </c>
      <c r="C19" s="187">
        <f>FileReviewW12!DO19</f>
        <v>0</v>
      </c>
      <c r="D19" s="2">
        <f>FileReviewW12!EC19</f>
        <v>0</v>
      </c>
      <c r="E19" s="242">
        <f>FileReviewW12!ED19</f>
        <v>0</v>
      </c>
      <c r="F19" s="245"/>
      <c r="G19" s="244"/>
      <c r="H19" s="245"/>
    </row>
    <row r="20" spans="1:8" x14ac:dyDescent="0.25">
      <c r="A20" s="186" t="str">
        <f>FileReviewW12!A20</f>
        <v>SCE</v>
      </c>
      <c r="B20" s="250">
        <f>FileReviewW12!DN20</f>
        <v>0</v>
      </c>
      <c r="C20" s="187">
        <f>FileReviewW12!DO20</f>
        <v>0</v>
      </c>
      <c r="D20" s="2" t="str">
        <f>FileReviewW12!EC20</f>
        <v>CAZ failed worst-case conditions</v>
      </c>
      <c r="E20" s="242">
        <f>FileReviewW12!ED20</f>
        <v>0</v>
      </c>
      <c r="F20" s="245"/>
      <c r="G20" s="244"/>
      <c r="H20" s="245"/>
    </row>
    <row r="21" spans="1:8" ht="30" x14ac:dyDescent="0.25">
      <c r="A21" s="186" t="str">
        <f>FileReviewW12!A21</f>
        <v>SCE</v>
      </c>
      <c r="B21" s="96">
        <f>FileReviewW12!DN21</f>
        <v>0</v>
      </c>
      <c r="C21" s="187">
        <f>FileReviewW12!DO21</f>
        <v>0</v>
      </c>
      <c r="D21" s="2" t="str">
        <f>FileReviewW12!EC21</f>
        <v>Failed CAZ testing</v>
      </c>
      <c r="E21" s="242" t="str">
        <f>FileReviewW12!ED21</f>
        <v>Mechanical ventilation required, not installed</v>
      </c>
      <c r="F21" s="245"/>
      <c r="G21" s="244"/>
      <c r="H21" s="245"/>
    </row>
    <row r="22" spans="1:8" x14ac:dyDescent="0.25">
      <c r="A22" s="186" t="str">
        <f>FileReviewW12!A22</f>
        <v>SCE</v>
      </c>
      <c r="B22" s="96">
        <f>FileReviewW12!DN22</f>
        <v>0</v>
      </c>
      <c r="C22" s="187">
        <f>FileReviewW12!DO22</f>
        <v>0</v>
      </c>
      <c r="D22" s="2">
        <f>FileReviewW12!EC22</f>
        <v>0</v>
      </c>
      <c r="E22" s="242">
        <f>FileReviewW12!ED22</f>
        <v>0</v>
      </c>
      <c r="F22" s="245"/>
      <c r="G22" s="244"/>
      <c r="H22" s="245"/>
    </row>
    <row r="23" spans="1:8" x14ac:dyDescent="0.25">
      <c r="A23" s="186" t="str">
        <f>FileReviewW12!A23</f>
        <v>SCE</v>
      </c>
      <c r="B23" s="96" t="str">
        <f>FileReviewW12!DN23</f>
        <v>Failed CAZ</v>
      </c>
      <c r="C23" s="187" t="str">
        <f>FileReviewW12!DO23</f>
        <v>EPRO model has serious flaws</v>
      </c>
      <c r="D23" s="2" t="str">
        <f>FileReviewW12!EC23</f>
        <v>CAZ failed</v>
      </c>
      <c r="E23" s="242">
        <f>FileReviewW12!ED23</f>
        <v>0</v>
      </c>
      <c r="F23" s="245"/>
      <c r="G23" s="244"/>
      <c r="H23" s="245"/>
    </row>
    <row r="24" spans="1:8" x14ac:dyDescent="0.25">
      <c r="A24" s="186" t="str">
        <f>FileReviewW12!A24</f>
        <v>PG&amp;E</v>
      </c>
      <c r="B24" s="96" t="str">
        <f>FileReviewW12!DN24</f>
        <v>ACHn incorrect</v>
      </c>
      <c r="C24" s="97" t="str">
        <f>FileReviewW12!DO24</f>
        <v>Duct leakage not verified</v>
      </c>
      <c r="D24" s="2">
        <f>FileReviewW12!EC24</f>
        <v>0</v>
      </c>
      <c r="E24" s="242">
        <f>FileReviewW12!ED24</f>
        <v>0</v>
      </c>
      <c r="F24" s="245"/>
      <c r="G24" s="244"/>
      <c r="H24" s="245"/>
    </row>
    <row r="25" spans="1:8" x14ac:dyDescent="0.25">
      <c r="A25" s="186" t="str">
        <f>FileReviewW12!A25</f>
        <v>PG&amp;E</v>
      </c>
      <c r="B25" s="96">
        <f>FileReviewW12!DN25</f>
        <v>0</v>
      </c>
      <c r="C25" s="97">
        <f>FileReviewW12!DO25</f>
        <v>0</v>
      </c>
      <c r="D25" s="2">
        <f>FileReviewW12!EC25</f>
        <v>0</v>
      </c>
      <c r="E25" s="242">
        <f>FileReviewW12!ED25</f>
        <v>0</v>
      </c>
      <c r="F25" s="245"/>
      <c r="G25" s="244"/>
      <c r="H25" s="245"/>
    </row>
    <row r="26" spans="1:8" ht="30" x14ac:dyDescent="0.25">
      <c r="A26" s="186" t="str">
        <f>FileReviewW12!A26</f>
        <v>PG&amp;E</v>
      </c>
      <c r="B26" s="250">
        <f>FileReviewW12!DN26</f>
        <v>0</v>
      </c>
      <c r="C26" s="251">
        <f>FileReviewW12!DO26</f>
        <v>0</v>
      </c>
      <c r="D26" s="2" t="str">
        <f>FileReviewW12!EC26</f>
        <v>1. CAZ Net Depressurization calculated incorrectly, please correct.</v>
      </c>
      <c r="E26" s="242">
        <f>FileReviewW12!ED26</f>
        <v>0</v>
      </c>
      <c r="F26" s="245"/>
      <c r="G26" s="244"/>
      <c r="H26" s="245"/>
    </row>
    <row r="27" spans="1:8" x14ac:dyDescent="0.25">
      <c r="A27" s="186" t="str">
        <f>FileReviewW12!A27</f>
        <v>PG&amp;E</v>
      </c>
      <c r="B27" s="96">
        <f>FileReviewW12!DN27</f>
        <v>0</v>
      </c>
      <c r="C27" s="97">
        <f>FileReviewW12!DO27</f>
        <v>0</v>
      </c>
      <c r="D27" s="2">
        <f>FileReviewW12!EC27</f>
        <v>0</v>
      </c>
      <c r="E27" s="242">
        <f>FileReviewW12!ED27</f>
        <v>0</v>
      </c>
      <c r="F27" s="245"/>
      <c r="G27" s="244"/>
      <c r="H27" s="245"/>
    </row>
    <row r="28" spans="1:8" ht="30" x14ac:dyDescent="0.25">
      <c r="A28" s="186" t="str">
        <f>FileReviewW12!A28</f>
        <v>PG&amp;E</v>
      </c>
      <c r="B28" s="96">
        <f>FileReviewW12!DN28</f>
        <v>0</v>
      </c>
      <c r="C28" s="97">
        <f>FileReviewW12!DO28</f>
        <v>0</v>
      </c>
      <c r="D28" s="2" t="str">
        <f>FileReviewW12!EC28</f>
        <v xml:space="preserve">1. Scope of work is showing R-50 insulation, Energy pro model is showing R66. Please correct </v>
      </c>
      <c r="E28" s="242">
        <f>FileReviewW12!ED28</f>
        <v>0</v>
      </c>
      <c r="F28" s="245"/>
      <c r="G28" s="244"/>
      <c r="H28" s="245"/>
    </row>
    <row r="29" spans="1:8" x14ac:dyDescent="0.25">
      <c r="A29" s="186" t="str">
        <f>FileReviewW12!A29</f>
        <v>PG&amp;E</v>
      </c>
      <c r="B29" s="96">
        <f>FileReviewW12!DN29</f>
        <v>0</v>
      </c>
      <c r="C29" s="97">
        <f>FileReviewW12!DO29</f>
        <v>0</v>
      </c>
      <c r="D29" s="2">
        <f>FileReviewW12!EC29</f>
        <v>0</v>
      </c>
      <c r="E29" s="242">
        <f>FileReviewW12!ED29</f>
        <v>0</v>
      </c>
      <c r="F29" s="245"/>
      <c r="G29" s="244"/>
      <c r="H29" s="245"/>
    </row>
    <row r="30" spans="1:8" ht="45" x14ac:dyDescent="0.25">
      <c r="A30" s="186" t="str">
        <f>FileReviewW12!A30</f>
        <v>PG&amp;E</v>
      </c>
      <c r="B30" s="96" t="str">
        <f>FileReviewW12!DN30</f>
        <v>water heater fail, CO 32 ppm, draft -2.3</v>
      </c>
      <c r="C30" s="97" t="str">
        <f>FileReviewW12!DO30</f>
        <v>Leak at furnace, issue will be fixed when heater is repaired</v>
      </c>
      <c r="D30" s="2" t="str">
        <f>FileReviewW12!EC30</f>
        <v xml:space="preserve">1) The Cas form is missing the test out data for the CAZ and the duct test. Please fix and return to Build It Green. </v>
      </c>
      <c r="E30" s="242">
        <f>FileReviewW12!ED30</f>
        <v>0</v>
      </c>
      <c r="F30" s="245"/>
      <c r="G30" s="244"/>
      <c r="H30" s="245"/>
    </row>
    <row r="31" spans="1:8" ht="120" x14ac:dyDescent="0.25">
      <c r="A31" s="186" t="str">
        <f>FileReviewW12!A31</f>
        <v>PG&amp;E</v>
      </c>
      <c r="B31" s="250" t="str">
        <f>FileReviewW12!DN31</f>
        <v xml:space="preserve">1. The CAS Measurements Form is missing relevant CAZ testing results. Please explain why it is not tested and or provide ALL CAZ test results and resubmit if you have results. If you do not Build It Green will except measurements through the first day of the upgrade work. Please submit for review. </v>
      </c>
      <c r="C31" s="251" t="str">
        <f>FileReviewW12!DO31</f>
        <v xml:space="preserve">2. There are no gas leakage test results in CAS Measurement Form. Even if the gas test did not find gas leak(s), it still needs to be reported in the gas leaks notes as: No Gas Leaks. NO NEED TO RESUBMIT for this item. </v>
      </c>
      <c r="D31" s="2" t="str">
        <f>FileReviewW12!EC31</f>
        <v xml:space="preserve">1. CAZ Zone portion of the CAS Measurements Sheets is not filled out correctly. Please refer to the BPI Technical Standards Pg. 14/17 and correct the form. </v>
      </c>
      <c r="E31" s="242" t="str">
        <f>FileReviewW12!ED31</f>
        <v xml:space="preserve">2. Duct Sealing and Insulation not noted in scope of work/contract, but is included in the Energy Pro alternatives. Please clarify or correct energy pro model. </v>
      </c>
      <c r="F31" s="245"/>
      <c r="G31" s="244"/>
      <c r="H31" s="245"/>
    </row>
    <row r="32" spans="1:8" ht="65.25" customHeight="1" x14ac:dyDescent="0.25">
      <c r="A32" s="186" t="str">
        <f>FileReviewW12!A32</f>
        <v>PG&amp;E</v>
      </c>
      <c r="B32" s="96" t="str">
        <f>FileReviewW12!DN32</f>
        <v>1. Energy Pro Duct leakage needs to be recalculated - 420/(70*21.7)</v>
      </c>
      <c r="C32" s="97" t="str">
        <f>FileReviewW12!DO32</f>
        <v>2. Energy Pro Walls on floor1 and 2nd floor crawl needs to be selected as new, this is how Energy Pro knows not calculate this into the alternative savings.</v>
      </c>
      <c r="D32" s="2">
        <f>FileReviewW12!EC32</f>
        <v>0</v>
      </c>
      <c r="E32" s="242">
        <f>FileReviewW12!ED32</f>
        <v>0</v>
      </c>
      <c r="F32" s="245"/>
      <c r="G32" s="244"/>
      <c r="H32" s="245"/>
    </row>
    <row r="33" spans="1:8" ht="75" x14ac:dyDescent="0.25">
      <c r="A33" s="186" t="str">
        <f>FileReviewW12!A33</f>
        <v>PG&amp;E</v>
      </c>
      <c r="B33" s="96" t="str">
        <f>FileReviewW12!DN33</f>
        <v>1) There are no CAZ test results or CAS test results for the primary heating system. Please collect missing data upon start of job and provide updated test-in results to Build It Green.</v>
      </c>
      <c r="C33" s="97">
        <f>FileReviewW12!DO33</f>
        <v>0</v>
      </c>
      <c r="D33" s="2" t="str">
        <f>FileReviewW12!EC33</f>
        <v xml:space="preserve">1) The Duct Leakage cfm on the CAS Form does not match the credit taken in the Energy Pro bld model. Please fix and return to Build It Green. </v>
      </c>
      <c r="E33" s="242">
        <f>FileReviewW12!ED33</f>
        <v>0</v>
      </c>
      <c r="F33" s="245"/>
      <c r="G33" s="244"/>
      <c r="H33" s="245"/>
    </row>
    <row r="34" spans="1:8" x14ac:dyDescent="0.25">
      <c r="A34" s="186" t="str">
        <f>FileReviewW12!A34</f>
        <v>PG&amp;E</v>
      </c>
      <c r="B34" s="96">
        <f>FileReviewW12!DN34</f>
        <v>0</v>
      </c>
      <c r="C34" s="97">
        <f>FileReviewW12!DO34</f>
        <v>0</v>
      </c>
      <c r="D34" s="2">
        <f>FileReviewW12!EC34</f>
        <v>0</v>
      </c>
      <c r="E34" s="242">
        <f>FileReviewW12!ED34</f>
        <v>0</v>
      </c>
      <c r="F34" s="245"/>
      <c r="G34" s="244"/>
      <c r="H34" s="245"/>
    </row>
    <row r="35" spans="1:8" ht="75" x14ac:dyDescent="0.25">
      <c r="A35" s="186" t="str">
        <f>FileReviewW12!A35</f>
        <v>PG&amp;E</v>
      </c>
      <c r="B35" s="250" t="str">
        <f>FileReviewW12!DN35</f>
        <v>No Combustion air.. Add combustion air</v>
      </c>
      <c r="C35" s="251" t="str">
        <f>FileReviewW12!DO35</f>
        <v>Replace furnace with sealed combustion</v>
      </c>
      <c r="D35" s="2" t="str">
        <f>FileReviewW12!EC35</f>
        <v xml:space="preserve">Airflow and Duct Leakage, CFM 25: No testing... b/c all ducts are unaccessible for sealing.  The ducts exist in soffits and between floors only.   If ducts were found to be leaky there would be no way to seal them. </v>
      </c>
      <c r="E35" s="242">
        <f>FileReviewW12!ED35</f>
        <v>0</v>
      </c>
      <c r="F35" s="245"/>
      <c r="G35" s="244"/>
      <c r="H35" s="245"/>
    </row>
    <row r="36" spans="1:8" ht="75" x14ac:dyDescent="0.25">
      <c r="A36" s="186" t="str">
        <f>FileReviewW12!A36</f>
        <v>PG&amp;E</v>
      </c>
      <c r="B36" s="96" t="str">
        <f>FileReviewW12!DN36</f>
        <v>PRE IJRT is missing 12 month utility usage. Please fill in and return to Build It Green.</v>
      </c>
      <c r="C36" s="97" t="str">
        <f>FileReviewW12!DO36</f>
        <v xml:space="preserve">Warning: we are approving but are a bit confused as to the amount of floors. IJRT and Compass show one floor but BLD shows two floors. Is the BLD right or the Compass and IJRT. Please make sure to correct before project finals. </v>
      </c>
      <c r="D36" s="2" t="str">
        <f>FileReviewW12!EC36</f>
        <v xml:space="preserve">The CAS form is still incomplete, There should be 2 zones, one for w/h and one for heating. </v>
      </c>
      <c r="E36" s="242" t="str">
        <f>FileReviewW12!ED36</f>
        <v xml:space="preserve">Test out is the same as test in. Change on CAS form and Compass and IJRT, KB </v>
      </c>
      <c r="F36" s="245"/>
      <c r="G36" s="244"/>
      <c r="H36" s="245"/>
    </row>
    <row r="37" spans="1:8" ht="45" x14ac:dyDescent="0.25">
      <c r="A37" s="186" t="str">
        <f>FileReviewW12!A37</f>
        <v>PG&amp;E</v>
      </c>
      <c r="B37" s="87">
        <f>FileReviewW12!DN37</f>
        <v>0</v>
      </c>
      <c r="C37" s="88">
        <f>FileReviewW12!DO37</f>
        <v>0</v>
      </c>
      <c r="D37" s="2" t="str">
        <f>FileReviewW12!EC37</f>
        <v xml:space="preserve">1. On test out- there should still be a worst case testing, even with sealed combustion appliances. kb </v>
      </c>
      <c r="E37" s="242">
        <f>FileReviewW12!ED37</f>
        <v>0</v>
      </c>
      <c r="F37" s="245"/>
      <c r="G37" s="244"/>
      <c r="H37" s="245"/>
    </row>
    <row r="38" spans="1:8" x14ac:dyDescent="0.25">
      <c r="A38" s="186" t="str">
        <f>FileReviewW12!A38</f>
        <v>PG&amp;E</v>
      </c>
      <c r="B38" s="252" t="str">
        <f>FileReviewW12!DN38</f>
        <v>legacy - no pre install files/info</v>
      </c>
      <c r="C38" s="2">
        <f>FileReviewW12!DO38</f>
        <v>0</v>
      </c>
      <c r="D38" s="2" t="str">
        <f>FileReviewW12!EC38</f>
        <v>post-install files missing</v>
      </c>
      <c r="E38" s="242">
        <f>FileReviewW12!ED38</f>
        <v>0</v>
      </c>
      <c r="F38" s="245"/>
      <c r="G38" s="244"/>
      <c r="H38" s="245"/>
    </row>
    <row r="39" spans="1:8" ht="75" x14ac:dyDescent="0.25">
      <c r="A39" s="186" t="str">
        <f>FileReviewW12!A39</f>
        <v>PG&amp;E</v>
      </c>
      <c r="B39" s="252" t="str">
        <f>FileReviewW12!DN39</f>
        <v>legacy - no pre install files/info</v>
      </c>
      <c r="C39" s="2">
        <f>FileReviewW12!DO39</f>
        <v>0</v>
      </c>
      <c r="D39" s="2" t="str">
        <f>FileReviewW12!EC39</f>
        <v xml:space="preserve">BIG staff did not input a test-in blower door number when entering this job to Compass, so test-in number says zero. Actual test-in was 5600 CFM50. I'm not sure if the zero test in number is lowering the calculated rebate. </v>
      </c>
      <c r="E39" s="242">
        <f>FileReviewW12!ED39</f>
        <v>0</v>
      </c>
      <c r="F39" s="245"/>
      <c r="G39" s="244"/>
      <c r="H39" s="245"/>
    </row>
    <row r="40" spans="1:8" ht="75" x14ac:dyDescent="0.25">
      <c r="A40" s="186" t="str">
        <f>FileReviewW12!A40</f>
        <v>PG&amp;E</v>
      </c>
      <c r="B40" s="252" t="str">
        <f>FileReviewW12!DN40</f>
        <v xml:space="preserve">No CAZ testing was done. Please collect missing CAZ data upon start of job and provide updated test-in results to Build It Green. </v>
      </c>
      <c r="C40" s="2">
        <f>FileReviewW12!DO40</f>
        <v>0</v>
      </c>
      <c r="D40" s="2" t="str">
        <f>FileReviewW12!EC40</f>
        <v xml:space="preserve">1) The Building Leakage from the CAS form test-in does not match the test-in leakage in the Energy Pro bld model. Please fix and return to Build It Green.
2) Please provide the BA BPI numbers for the test-n and test-out persons and return to Build It Green. </v>
      </c>
      <c r="E40" s="242">
        <f>FileReviewW12!ED40</f>
        <v>0</v>
      </c>
      <c r="F40" s="245"/>
      <c r="G40" s="244"/>
      <c r="H40" s="245"/>
    </row>
    <row r="41" spans="1:8" ht="45" x14ac:dyDescent="0.25">
      <c r="A41" s="186" t="str">
        <f>FileReviewW12!A41</f>
        <v>PG&amp;E</v>
      </c>
      <c r="B41" s="252">
        <f>FileReviewW12!DN41</f>
        <v>0</v>
      </c>
      <c r="C41" s="2">
        <f>FileReviewW12!DO41</f>
        <v>0</v>
      </c>
      <c r="D41" s="2" t="str">
        <f>FileReviewW12!EC41</f>
        <v xml:space="preserve">Existing house was run with R12 attic in Energy Pro. Code for that vintage is R19. Submit photo that demonstrates actual value is R12. </v>
      </c>
      <c r="E41" s="242">
        <f>FileReviewW12!ED41</f>
        <v>0</v>
      </c>
      <c r="F41" s="245"/>
      <c r="G41" s="244"/>
      <c r="H41" s="245"/>
    </row>
    <row r="42" spans="1:8" x14ac:dyDescent="0.25">
      <c r="A42" s="186" t="str">
        <f>FileReviewW12!A42</f>
        <v>PG&amp;E</v>
      </c>
      <c r="B42" s="252">
        <f>FileReviewW12!DN42</f>
        <v>0</v>
      </c>
      <c r="C42" s="2">
        <f>FileReviewW12!DO42</f>
        <v>0</v>
      </c>
      <c r="D42" s="2">
        <f>FileReviewW12!EC42</f>
        <v>0</v>
      </c>
      <c r="E42" s="242">
        <f>FileReviewW12!ED42</f>
        <v>0</v>
      </c>
      <c r="F42" s="245"/>
      <c r="G42" s="244"/>
      <c r="H42" s="245"/>
    </row>
    <row r="43" spans="1:8" ht="60" x14ac:dyDescent="0.25">
      <c r="A43" s="186" t="str">
        <f>FileReviewW12!A43</f>
        <v>PG&amp;E</v>
      </c>
      <c r="B43" s="252" t="str">
        <f>FileReviewW12!DN43</f>
        <v>replace water heater</v>
      </c>
      <c r="C43" s="2" t="str">
        <f>FileReviewW12!DO43</f>
        <v xml:space="preserve">1) There are no CAZ test results or CAS test results for the primary heating system. Please collect missing data upon start of job and provide updated test-in results to Build It Green. </v>
      </c>
      <c r="D43" s="2">
        <f>FileReviewW12!EC43</f>
        <v>0</v>
      </c>
      <c r="E43" s="242">
        <f>FileReviewW12!ED43</f>
        <v>0</v>
      </c>
      <c r="F43" s="245"/>
      <c r="G43" s="244"/>
      <c r="H43" s="245"/>
    </row>
    <row r="44" spans="1:8" x14ac:dyDescent="0.25">
      <c r="A44" s="186" t="str">
        <f>FileReviewW12!A44</f>
        <v>PG&amp;E</v>
      </c>
      <c r="B44" s="252">
        <f>FileReviewW12!DN44</f>
        <v>0</v>
      </c>
      <c r="C44" s="2">
        <f>FileReviewW12!DO44</f>
        <v>0</v>
      </c>
      <c r="D44" s="2">
        <f>FileReviewW12!EC44</f>
        <v>0</v>
      </c>
      <c r="E44" s="242">
        <f>FileReviewW12!ED44</f>
        <v>0</v>
      </c>
      <c r="F44" s="245"/>
      <c r="G44" s="244"/>
      <c r="H44" s="245"/>
    </row>
    <row r="45" spans="1:8" ht="105" x14ac:dyDescent="0.25">
      <c r="A45" s="186" t="str">
        <f>FileReviewW12!A45</f>
        <v>PG&amp;E</v>
      </c>
      <c r="B45" s="252" t="str">
        <f>FileReviewW12!DN45</f>
        <v xml:space="preserve">1. Please do not put in a duct leakage percentage, since no duct test was performed you cannot say it was verified with a percentage. Please change to duct leakage not verified, also any future submitted application should reflect this if no duct blaster was performed. </v>
      </c>
      <c r="C45" s="2" t="str">
        <f>FileReviewW12!DO45</f>
        <v xml:space="preserve">home has asbestos present </v>
      </c>
      <c r="D45" s="2">
        <f>FileReviewW12!EC45</f>
        <v>0</v>
      </c>
      <c r="E45" s="242">
        <f>FileReviewW12!ED45</f>
        <v>0</v>
      </c>
      <c r="F45" s="245"/>
      <c r="G45" s="244"/>
      <c r="H45" s="245"/>
    </row>
    <row r="46" spans="1:8" ht="75" x14ac:dyDescent="0.25">
      <c r="A46" s="186" t="str">
        <f>FileReviewW12!A46</f>
        <v>PG&amp;E</v>
      </c>
      <c r="B46" s="252" t="str">
        <f>FileReviewW12!DN46</f>
        <v xml:space="preserve">3. Duct leakage is very high. Please confirm leakage cfm with a picture of manometer reading and pictures of duct system to explain such high leakage. Please resubmit.
</v>
      </c>
      <c r="C46" s="2">
        <f>FileReviewW12!DO46</f>
        <v>0</v>
      </c>
      <c r="D46" s="2">
        <f>FileReviewW12!EC46</f>
        <v>0</v>
      </c>
      <c r="E46" s="242">
        <f>FileReviewW12!ED46</f>
        <v>0</v>
      </c>
      <c r="F46" s="245"/>
      <c r="G46" s="244"/>
      <c r="H46" s="245"/>
    </row>
    <row r="47" spans="1:8" ht="75" x14ac:dyDescent="0.25">
      <c r="A47" s="186" t="str">
        <f>FileReviewW12!A47</f>
        <v>PG&amp;E</v>
      </c>
      <c r="B47" s="252" t="str">
        <f>FileReviewW12!DN47</f>
        <v xml:space="preserve">1) There are no CAZ test results or CAS test results for the primary heating system. Please collect missing data upon start of job and provide updated test-in results to Build It Green. </v>
      </c>
      <c r="C47" s="2">
        <f>FileReviewW12!DO47</f>
        <v>0</v>
      </c>
      <c r="D47" s="2">
        <f>FileReviewW12!EC47</f>
        <v>0</v>
      </c>
      <c r="E47" s="242">
        <f>FileReviewW12!ED47</f>
        <v>0</v>
      </c>
      <c r="F47" s="245"/>
      <c r="G47" s="244"/>
      <c r="H47" s="245"/>
    </row>
    <row r="48" spans="1:8" ht="270" x14ac:dyDescent="0.25">
      <c r="A48" s="186" t="str">
        <f>FileReviewW12!A48</f>
        <v>PG&amp;E</v>
      </c>
      <c r="B48" s="252" t="str">
        <f>FileReviewW12!DN48</f>
        <v xml:space="preserve">1. Energy Pro 5 model duct leakage appears to be calculated incorrectly. Cooling loads should be used over heating since cooling requires more energy. Please recalculate for 400cfm/ton of cooling on future submitted applications.
</v>
      </c>
      <c r="C48" s="2" t="str">
        <f>FileReviewW12!DO48</f>
        <v xml:space="preserve">  2. Energy Pro 5 model is showing all the walls and floor as having an R-13 value. The roof is showing an R-19. Insulation was not required on homes during the year this home was built. Can you verify this as being the correct R-values? 
1. Energy Pro 5 model duct leakage appears to be calculated incorrectly. Cooling loads should be used over heating since cooling requires more energy. Please recalculate for 400cfm/ton of cooling on future submitted applications.
2. Energy Pro 5 model is showing all the walls and floor as having an R-13 value. The roof is showing an R-19. Insulation was not required on homes during the year this home was built. Can you verify this as being the correct R-values? 
 </v>
      </c>
      <c r="D48" s="2">
        <f>FileReviewW12!EC48</f>
        <v>0</v>
      </c>
      <c r="E48" s="242">
        <f>FileReviewW12!ED48</f>
        <v>0</v>
      </c>
      <c r="F48" s="245"/>
      <c r="G48" s="244"/>
      <c r="H48" s="245"/>
    </row>
    <row r="49" spans="1:8" ht="150" x14ac:dyDescent="0.25">
      <c r="A49" s="186" t="str">
        <f>FileReviewW12!A49</f>
        <v>PG&amp;E</v>
      </c>
      <c r="B49" s="252">
        <f>FileReviewW12!DN49</f>
        <v>0</v>
      </c>
      <c r="C49" s="2">
        <f>FileReviewW12!DO49</f>
        <v>0</v>
      </c>
      <c r="D49" s="2" t="str">
        <f>FileReviewW12!EC49</f>
        <v>Ventilation Required/Recommended (BAS or ASHRAE 62.2): VENTILATION NOT REQUIRED HOWEVER WE DID INSTALL 2  PANASONIC VENTILATING BATH FANS 
DHW NOT DRAFT TESTED DUE TO B VENT PIPE (NO DRILL BVENT)
HEATING UNIT EXISTS OUTSIDE OF HOME AND IS UNEFFECTED BY WORSTCASE 
HEATING UNIT NOT DRAFT TESTED DUE TO LACK OF PIPE AT INDUCER MOTOR</v>
      </c>
      <c r="E49" s="242">
        <f>FileReviewW12!ED49</f>
        <v>0</v>
      </c>
      <c r="F49" s="245"/>
      <c r="G49" s="244"/>
      <c r="H49" s="245"/>
    </row>
    <row r="50" spans="1:8" ht="150" x14ac:dyDescent="0.25">
      <c r="A50" s="186" t="str">
        <f>FileReviewW12!A50</f>
        <v>PG&amp;E</v>
      </c>
      <c r="B50" s="252" t="str">
        <f>FileReviewW12!DN50</f>
        <v>1. The PG&amp;E Service IDs are incorrect. They are two unique 10-digit numbers, labeled Service ID that can be found on the homeowner's utility bill. They are different from the meter #. If the job is all-electric, or only one utility is provided by PG&amp;E, only one service ID is required. We need these numbers in order to submit the job. Build It Green has supplied, please correct this on all future submittals.</v>
      </c>
      <c r="C50" s="2" t="str">
        <f>FileReviewW12!DO50</f>
        <v>3. CAZ Zone all zeroes indicates CAZ was not tested. Please clarify.</v>
      </c>
      <c r="D50" s="2">
        <f>FileReviewW12!EC50</f>
        <v>0</v>
      </c>
      <c r="E50" s="242">
        <f>FileReviewW12!ED50</f>
        <v>0</v>
      </c>
      <c r="F50" s="245"/>
      <c r="G50" s="244"/>
      <c r="H50" s="245"/>
    </row>
    <row r="51" spans="1:8" ht="75" x14ac:dyDescent="0.25">
      <c r="A51" s="186" t="str">
        <f>FileReviewW12!A51</f>
        <v>PG&amp;E</v>
      </c>
      <c r="B51" s="252" t="str">
        <f>FileReviewW12!DN51</f>
        <v>1. Energy Pro model building square footage does not match IJRT report. Please correct but no need to resubmit.</v>
      </c>
      <c r="C51" s="2" t="str">
        <f>FileReviewW12!DO51</f>
        <v>2. - There are no gas leakage test results in CAS Measurement Form. Even if the gas test did not find gas leak(s), it still needs to be reported in the gas leaks notes as: No Gas Leaks. NO NEED TO RESUBMIT.</v>
      </c>
      <c r="D51" s="2">
        <f>FileReviewW12!EC51</f>
        <v>0</v>
      </c>
      <c r="E51" s="242">
        <f>FileReviewW12!ED51</f>
        <v>0</v>
      </c>
      <c r="F51" s="245"/>
      <c r="G51" s="244"/>
      <c r="H51" s="245"/>
    </row>
    <row r="52" spans="1:8" ht="210" x14ac:dyDescent="0.25">
      <c r="A52" s="186" t="str">
        <f>FileReviewW12!A52</f>
        <v>PG&amp;E</v>
      </c>
      <c r="B52" s="252" t="str">
        <f>FileReviewW12!DN52</f>
        <v>TEST OUT:water heater: "Gas leak at valve.. fix in scope of work"</v>
      </c>
      <c r="C52" s="2">
        <f>FileReviewW12!DO52</f>
        <v>0</v>
      </c>
      <c r="D52" s="2" t="str">
        <f>FileReviewW12!EC52</f>
        <v>TEST OUT: CFM 25: No testing- Supply Ducts in soffits and are un-able to seal if found leaky.    But we did seal  the return air duct b/c it was a key area of the homes building leakage.</v>
      </c>
      <c r="E52" s="242" t="str">
        <f>FileReviewW12!ED52</f>
        <v xml:space="preserve">Hi David: (PRE) IJRT has absolutely NO information. The post is fine, but the PRE must have customer name, address, phone, etc plus all the utility information, Test in results, house information, hot water heater info, HVAC system info, Proposed job data, PG&amp;E EUC Rebate value info....the whole sheet is empty. IF you open it here on Compass, can you see it and all the red to the right? It won't let me Approve without it. Please. Thank you. </v>
      </c>
      <c r="F52" s="245"/>
      <c r="G52" s="244"/>
      <c r="H52" s="245"/>
    </row>
    <row r="53" spans="1:8" ht="75" x14ac:dyDescent="0.25">
      <c r="A53" s="186" t="str">
        <f>FileReviewW12!A53</f>
        <v>PG&amp;E</v>
      </c>
      <c r="B53" s="252" t="str">
        <f>FileReviewW12!DN53</f>
        <v xml:space="preserve">BLD has been adjusted to duct leakage not verified, as the leakage is greater then 30% and no solid pictures showing the leaky areas. </v>
      </c>
      <c r="C53" s="2" t="str">
        <f>FileReviewW12!DO53</f>
        <v xml:space="preserve">TEST OUT: NOTES: NO GAS LEAKS, HVAC and DHW not working </v>
      </c>
      <c r="D53" s="2" t="str">
        <f>FileReviewW12!EC53</f>
        <v xml:space="preserve">1. It appears the BPI put his CAZ limit in the Ambient c/o box, Please advise them they need to be very careful when filling in the boxes. The name was incorrect as well. These errors can cause PG&amp;E to reject projects. </v>
      </c>
      <c r="E53" s="242">
        <f>FileReviewW12!ED53</f>
        <v>0</v>
      </c>
      <c r="F53" s="245"/>
      <c r="G53" s="244"/>
      <c r="H53" s="245"/>
    </row>
    <row r="54" spans="1:8" ht="165" x14ac:dyDescent="0.25">
      <c r="A54" t="str">
        <f>FileReviewW12!A54</f>
        <v>PG&amp;E</v>
      </c>
      <c r="B54" s="2" t="str">
        <f>FileReviewW12!DN54</f>
        <v>1. On the Test Measurements (CAS) form, duct leakage is listed as 25 CFM25. Calculated based on existing HVAC equipment specs (Nominal), existing leakage rounds up to 2%, not 10% as called out in EnergyPro (please enter CFM25 used to calculate duct leakage percentage in the HVAC Distribution tab, it’s currently listed as “0”). Please clarify, correct and resubmit whichever file is incorrect (CAS form or BLD and XML files).</v>
      </c>
      <c r="C54" s="2">
        <f>FileReviewW12!DO54</f>
        <v>0</v>
      </c>
      <c r="D54" s="2">
        <f>FileReviewW12!EC54</f>
        <v>0</v>
      </c>
      <c r="E54" s="242">
        <f>FileReviewW12!ED54</f>
        <v>0</v>
      </c>
      <c r="F54" s="245"/>
      <c r="G54" s="244"/>
      <c r="H54" s="245"/>
    </row>
    <row r="55" spans="1:8" ht="105" x14ac:dyDescent="0.25">
      <c r="A55" t="str">
        <f>FileReviewW12!A55</f>
        <v>PG&amp;E</v>
      </c>
      <c r="B55" s="2" t="str">
        <f>FileReviewW12!DN55</f>
        <v xml:space="preserve">2. Duct leakage is very high. Please confirm leakage cfm with a picture of manometer reading and pictures of duct system to explain such high leakage. In the future, any duct leakage over 30% Build It Green will need photos of ducts and manometer reading. </v>
      </c>
      <c r="C55" s="2">
        <f>FileReviewW12!DO55</f>
        <v>0</v>
      </c>
      <c r="D55" s="2">
        <f>FileReviewW12!EC55</f>
        <v>0</v>
      </c>
      <c r="E55" s="242">
        <f>FileReviewW12!ED55</f>
        <v>0</v>
      </c>
      <c r="F55" s="245"/>
      <c r="G55" s="244"/>
      <c r="H55" s="245"/>
    </row>
    <row r="56" spans="1:8" x14ac:dyDescent="0.25">
      <c r="A56" t="str">
        <f>FileReviewW12!A56</f>
        <v>PG&amp;E</v>
      </c>
      <c r="B56" s="2">
        <f>FileReviewW12!DN56</f>
        <v>0</v>
      </c>
      <c r="C56" s="2">
        <f>FileReviewW12!DO56</f>
        <v>0</v>
      </c>
      <c r="D56" s="2">
        <f>FileReviewW12!EC56</f>
        <v>0</v>
      </c>
      <c r="E56" s="242">
        <f>FileReviewW12!ED56</f>
        <v>0</v>
      </c>
      <c r="F56" s="245"/>
      <c r="G56" s="244"/>
      <c r="H56" s="245"/>
    </row>
    <row r="57" spans="1:8" ht="30" x14ac:dyDescent="0.25">
      <c r="A57" t="str">
        <f>FileReviewW12!A57</f>
        <v>PG&amp;E</v>
      </c>
      <c r="B57" s="2">
        <f>FileReviewW12!DN57</f>
        <v>0</v>
      </c>
      <c r="C57" s="2">
        <f>FileReviewW12!DO57</f>
        <v>0</v>
      </c>
      <c r="D57" s="2" t="str">
        <f>FileReviewW12!EC57</f>
        <v xml:space="preserve">test out: HVAC is high efficiency furnace, mechanically assisted, can't drill pipe for draft </v>
      </c>
      <c r="E57" s="242">
        <f>FileReviewW12!ED57</f>
        <v>0</v>
      </c>
      <c r="F57" s="245"/>
      <c r="G57" s="244"/>
      <c r="H57" s="245"/>
    </row>
    <row r="58" spans="1:8" ht="75" x14ac:dyDescent="0.25">
      <c r="A58" t="str">
        <f>FileReviewW12!A58</f>
        <v>PG&amp;E</v>
      </c>
      <c r="B58" s="2" t="str">
        <f>FileReviewW12!DN58</f>
        <v>1)Cas report needs Test In Duct Leakage.</v>
      </c>
      <c r="C58" s="2" t="str">
        <f>FileReviewW12!DO58</f>
        <v xml:space="preserve">2)EnergyPro Bld Orientation is off. Bld 0, Front Wall 270, Rear Wall 270, R Wall 0, L Wall 0. This throws
the calculations off. Remove one bld file from Compass. </v>
      </c>
      <c r="D58" s="2" t="str">
        <f>FileReviewW12!EC58</f>
        <v>3) Energy pro, under "building" is showing walls off orientation. 2 walls are modeled at 270 and 2 at 0</v>
      </c>
      <c r="E58" s="242">
        <f>FileReviewW12!ED58</f>
        <v>0</v>
      </c>
      <c r="F58" s="245"/>
      <c r="G58" s="244"/>
      <c r="H58" s="245"/>
    </row>
    <row r="59" spans="1:8" ht="75" x14ac:dyDescent="0.25">
      <c r="A59" t="str">
        <f>FileReviewW12!A59</f>
        <v>PG&amp;E</v>
      </c>
      <c r="B59" s="2" t="str">
        <f>FileReviewW12!DN59</f>
        <v xml:space="preserve">1) There are no CAZ test results or CAS test results for the primary heating system. Please collect missing data upon start of job and provide updated test-in results to Build It Green. </v>
      </c>
      <c r="C59" s="2">
        <f>FileReviewW12!DO59</f>
        <v>0</v>
      </c>
      <c r="D59" s="2">
        <f>FileReviewW12!EC59</f>
        <v>0</v>
      </c>
      <c r="E59" s="242">
        <f>FileReviewW12!ED59</f>
        <v>0</v>
      </c>
      <c r="F59" s="245"/>
      <c r="G59" s="244"/>
      <c r="H59" s="245"/>
    </row>
    <row r="60" spans="1:8" ht="105" x14ac:dyDescent="0.25">
      <c r="A60" t="str">
        <f>FileReviewW12!A60</f>
        <v>PG&amp;E</v>
      </c>
      <c r="B60" s="2" t="str">
        <f>FileReviewW12!DN60</f>
        <v>3. The duct insulation is inconsistent with the vintage of the building. Update the insulation on the ducts to be consistent with vintage of building (R-2.1) or confirm that there is currently no insulation.</v>
      </c>
      <c r="C60" s="2" t="str">
        <f>FileReviewW12!DO60</f>
        <v>4. The duct leakage calculation is high. If you are using actual airflow to calculate the leakage, please provide the actual airflow you’re using as the basis for your calculation. If you are using nominal airflow, the calculations is incorrect—please correct and resubmit the EnergyPro BLD and XML files.</v>
      </c>
      <c r="D60" s="2">
        <f>FileReviewW12!EC60</f>
        <v>0</v>
      </c>
      <c r="E60" s="242">
        <f>FileReviewW12!ED60</f>
        <v>0</v>
      </c>
      <c r="F60" s="245"/>
      <c r="G60" s="244"/>
      <c r="H60" s="245"/>
    </row>
    <row r="61" spans="1:8" ht="45" x14ac:dyDescent="0.25">
      <c r="A61" t="str">
        <f>FileReviewW12!A61</f>
        <v>PG&amp;E</v>
      </c>
      <c r="B61" s="2" t="str">
        <f>FileReviewW12!DN61</f>
        <v xml:space="preserve">Still not seeing any CAS measurements for furnace or water heater. Were those performed? </v>
      </c>
      <c r="C61" s="2">
        <f>FileReviewW12!DO61</f>
        <v>0</v>
      </c>
      <c r="D61" s="2">
        <f>FileReviewW12!EC61</f>
        <v>0</v>
      </c>
      <c r="E61" s="242">
        <f>FileReviewW12!ED61</f>
        <v>0</v>
      </c>
      <c r="F61" s="245"/>
      <c r="G61" s="244"/>
      <c r="H61" s="245"/>
    </row>
    <row r="62" spans="1:8" ht="60" x14ac:dyDescent="0.25">
      <c r="A62" t="str">
        <f>FileReviewW12!A62</f>
        <v>PG&amp;E</v>
      </c>
      <c r="B62" s="2" t="str">
        <f>FileReviewW12!DN62</f>
        <v>4. Please change HVAC system new to existing in the distribution tab, and calculate duct leakage based on cooling load 400cfm/ton.</v>
      </c>
      <c r="C62" s="2" t="str">
        <f>FileReviewW12!DO62</f>
        <v xml:space="preserve">5. Scope of work is stating attic insulation, Energy Pro is stating Roof insulation. please clarify how roof is going to R-38. </v>
      </c>
      <c r="D62" s="2" t="str">
        <f>FileReviewW12!EC62</f>
        <v>1. No indication on CAS Form that the house was tested for gas leaks. Please clarify if test was performed.</v>
      </c>
      <c r="E62" s="242">
        <f>FileReviewW12!ED62</f>
        <v>0</v>
      </c>
      <c r="F62" s="245"/>
      <c r="G62" s="244"/>
      <c r="H62" s="245"/>
    </row>
    <row r="63" spans="1:8" x14ac:dyDescent="0.25">
      <c r="A63" t="str">
        <f>FileReviewW12!A63</f>
        <v>PG&amp;E</v>
      </c>
      <c r="B63" s="2">
        <f>FileReviewW12!DN63</f>
        <v>0</v>
      </c>
      <c r="C63" s="2">
        <f>FileReviewW12!DO63</f>
        <v>0</v>
      </c>
      <c r="D63" s="2">
        <f>FileReviewW12!EC63</f>
        <v>0</v>
      </c>
      <c r="E63" s="242">
        <f>FileReviewW12!ED63</f>
        <v>0</v>
      </c>
      <c r="F63" s="245"/>
      <c r="G63" s="244"/>
      <c r="H63" s="245"/>
    </row>
    <row r="64" spans="1:8" x14ac:dyDescent="0.25">
      <c r="A64" t="str">
        <f>FileReviewW12!A64</f>
        <v>PG&amp;E</v>
      </c>
      <c r="B64" s="2">
        <f>FileReviewW12!DN64</f>
        <v>0</v>
      </c>
      <c r="C64" s="2">
        <f>FileReviewW12!DO64</f>
        <v>0</v>
      </c>
      <c r="D64" s="2">
        <f>FileReviewW12!EC64</f>
        <v>0</v>
      </c>
      <c r="E64" s="242">
        <f>FileReviewW12!ED64</f>
        <v>0</v>
      </c>
      <c r="F64" s="245"/>
      <c r="G64" s="244"/>
      <c r="H64" s="245"/>
    </row>
    <row r="65" spans="1:8" ht="75" x14ac:dyDescent="0.25">
      <c r="A65" t="str">
        <f>FileReviewW12!A65</f>
        <v>PG&amp;E</v>
      </c>
      <c r="B65" s="2" t="str">
        <f>FileReviewW12!DN65</f>
        <v xml:space="preserve">1) There are no CAZ test results or CAS test results for the primary heating system. Please collect missing data upon start of job and provide updated test-in results to Build It Green. </v>
      </c>
      <c r="C65" s="2">
        <f>FileReviewW12!DO65</f>
        <v>0</v>
      </c>
      <c r="D65" s="2" t="str">
        <f>FileReviewW12!EC65</f>
        <v xml:space="preserve">1) The EnergyPro bld model took credit for Duct Leakage less than or equal to 9% leakage, the CAS report shows that the final Duct Leakage based on a 4 ton system replacement at 50% . Please address this and return to Build It Green. </v>
      </c>
      <c r="E65" s="242">
        <f>FileReviewW12!ED65</f>
        <v>0</v>
      </c>
      <c r="F65" s="245"/>
      <c r="G65" s="244"/>
      <c r="H65" s="245"/>
    </row>
    <row r="66" spans="1:8" ht="120" x14ac:dyDescent="0.25">
      <c r="A66" t="str">
        <f>FileReviewW12!A66</f>
        <v>PG&amp;E</v>
      </c>
      <c r="B66" s="2" t="str">
        <f>FileReviewW12!DN66</f>
        <v xml:space="preserve">1. The CAS Measurements Form is missing relevant CAZ testing results. Please explain why it is not tested and or provide ALL CAZ test results and resubmit if you have results. If you do not Build It Green will except measurements through the first day of the upgrade work. Please submit for review. </v>
      </c>
      <c r="C66" s="2">
        <f>FileReviewW12!DO66</f>
        <v>0</v>
      </c>
      <c r="D66" s="2" t="str">
        <f>FileReviewW12!EC66</f>
        <v>2) The EnergyPro bld model took credit for Duct Leakage less than or equal to 15% leakage, the CAS report shows that the final Duct Leakage based on an existing 3.5 ton system is 23% . Please address this and return to Build It Green.</v>
      </c>
      <c r="E66" s="242" t="str">
        <f>FileReviewW12!ED66</f>
        <v xml:space="preserve">3) The EnergyPro model took a credit for building Leakage of 1613 CFM at CFM50 the test out leakage on the CAS report is 2992 CFM, please correct data and return to Build It Green. </v>
      </c>
      <c r="F66" s="245"/>
      <c r="G66" s="244"/>
      <c r="H66" s="245"/>
    </row>
    <row r="67" spans="1:8" ht="195" x14ac:dyDescent="0.25">
      <c r="A67" t="str">
        <f>FileReviewW12!A67</f>
        <v>PG&amp;E</v>
      </c>
      <c r="B67" s="2" t="str">
        <f>FileReviewW12!DN67</f>
        <v xml:space="preserve">2. The roof alternative initially said R-0 roof with attic I believe. It did not reflect the building model which shows the roof as a cathedral ceiling. I suggested the building roof be corrected to have an attic. Also, the scope of work says blow in cellulose in attic. So, the models ceiling is still incorrectly modeled. It appears that changing this will drop the saving below 15%. Please correct the Energy Pro Model, if it is below 15% you will have to re apply as a Basic application, not advanced.
</v>
      </c>
      <c r="C67" s="2" t="str">
        <f>FileReviewW12!DO67</f>
        <v xml:space="preserve">3. No Duct leakage CFM 25 in CAS Measurements Form. How was 28% duct leakage in EP5 calculated? </v>
      </c>
      <c r="D67" s="2">
        <f>FileReviewW12!EC67</f>
        <v>0</v>
      </c>
      <c r="E67" s="242">
        <f>FileReviewW12!ED67</f>
        <v>0</v>
      </c>
      <c r="F67" s="245"/>
      <c r="G67" s="244"/>
      <c r="H67" s="245"/>
    </row>
    <row r="68" spans="1:8" x14ac:dyDescent="0.25">
      <c r="A68" t="str">
        <f>FileReviewW12!A68</f>
        <v>PG&amp;E</v>
      </c>
      <c r="B68" s="2">
        <f>FileReviewW12!DN68</f>
        <v>0</v>
      </c>
      <c r="C68" s="2">
        <f>FileReviewW12!DO68</f>
        <v>0</v>
      </c>
      <c r="D68" s="2">
        <f>FileReviewW12!EC68</f>
        <v>0</v>
      </c>
      <c r="E68" s="242">
        <f>FileReviewW12!ED68</f>
        <v>0</v>
      </c>
      <c r="F68" s="245"/>
      <c r="G68" s="244"/>
      <c r="H68" s="245"/>
    </row>
    <row r="69" spans="1:8" ht="60" x14ac:dyDescent="0.25">
      <c r="A69" t="str">
        <f>FileReviewW12!A69</f>
        <v>PG&amp;E</v>
      </c>
      <c r="B69" s="2">
        <f>FileReviewW12!DN69</f>
        <v>0</v>
      </c>
      <c r="C69" s="2">
        <f>FileReviewW12!DO69</f>
        <v>0</v>
      </c>
      <c r="D69" s="2" t="str">
        <f>FileReviewW12!EC69</f>
        <v>1. Duct leakage calculated incorrectly, Please calculate 21.7cfm/1000 btuh output, for heating only systems. Please calculate correctly on future submitted applications</v>
      </c>
      <c r="E69" s="242">
        <f>FileReviewW12!ED69</f>
        <v>0</v>
      </c>
      <c r="F69" s="245"/>
      <c r="G69" s="244"/>
      <c r="H69" s="245"/>
    </row>
    <row r="70" spans="1:8" ht="120" x14ac:dyDescent="0.25">
      <c r="A70" t="str">
        <f>FileReviewW12!A70</f>
        <v>PG&amp;E</v>
      </c>
      <c r="B70" s="2" t="str">
        <f>FileReviewW12!DN70</f>
        <v xml:space="preserve">1) The square footage of the floors makes no sense. You have the 1st floor as 1238 SF, the 2nd floor as 1239, yet on the IJRT you have a total square footage of 1238 for two stories. Please correct the slab and the roof as necessary as you make changes and then resubmit the EnergyPro model and XML file. </v>
      </c>
      <c r="C70" s="2">
        <f>FileReviewW12!DO70</f>
        <v>0</v>
      </c>
      <c r="D70" s="2">
        <f>FileReviewW12!EC70</f>
        <v>0</v>
      </c>
      <c r="E70" s="242">
        <f>FileReviewW12!ED70</f>
        <v>0</v>
      </c>
      <c r="F70" s="245"/>
      <c r="G70" s="244"/>
      <c r="H70" s="245"/>
    </row>
    <row r="71" spans="1:8" ht="120" x14ac:dyDescent="0.25">
      <c r="A71" t="str">
        <f>FileReviewW12!A71</f>
        <v>PG&amp;E</v>
      </c>
      <c r="B71" s="2" t="str">
        <f>FileReviewW12!DN71</f>
        <v xml:space="preserve">1. Water Heater fuel type does not match between docs. Please update docs. No Need To Resubmit. </v>
      </c>
      <c r="C71" s="2">
        <f>FileReviewW12!DO71</f>
        <v>0</v>
      </c>
      <c r="D71" s="2" t="str">
        <f>FileReviewW12!EC71</f>
        <v xml:space="preserve">Not Approved. Please correct the CAS Measurements form with the correct owner name (there is no such person as Larry O'Neil associated with this address--the PG&amp;E account holder is Lawrence Boyd and the other person listed on your contract is Alice O'Neil). Please upload revised CAS form, then the project will be approved and move forward for rebate. </v>
      </c>
      <c r="E71" s="242" t="str">
        <f>FileReviewW12!ED71</f>
        <v xml:space="preserve">1. The BPI analyst needs to include their certification # on the CAS Measurements form. Please provide. </v>
      </c>
      <c r="F71" s="245"/>
      <c r="G71" s="244"/>
      <c r="H71" s="245"/>
    </row>
    <row r="72" spans="1:8" ht="45" x14ac:dyDescent="0.25">
      <c r="A72" t="str">
        <f>FileReviewW12!A72</f>
        <v>PG&amp;E</v>
      </c>
      <c r="B72" s="2" t="str">
        <f>FileReviewW12!DN72</f>
        <v>4. Please select duct leakage not verified in Energy Pro since ducts were not tested due to Asbestos.</v>
      </c>
      <c r="C72" s="2" t="str">
        <f>FileReviewW12!DO72</f>
        <v xml:space="preserve">1. Blower Door CFM50 in IJRT/Compass does not match CAS Measurements Form and Energy Pro. Please Clarify </v>
      </c>
      <c r="D72" s="2"/>
      <c r="E72" s="242"/>
      <c r="F72" s="245"/>
      <c r="G72" s="244"/>
      <c r="H72" s="245"/>
    </row>
    <row r="73" spans="1:8" ht="75" x14ac:dyDescent="0.25">
      <c r="A73" t="str">
        <f>FileReviewW12!A73</f>
        <v>PG&amp;E</v>
      </c>
      <c r="B73" s="2" t="str">
        <f>FileReviewW12!DN73</f>
        <v>1) Proposal states that windows to be installed will have u factor of .30 and SHGC of .30 but your energy pro model is showing them modeled at .40. Please correct for full phase.</v>
      </c>
      <c r="C73" s="2" t="str">
        <f>FileReviewW12!DO73</f>
        <v xml:space="preserve">2) Compass is missing utility account numbers. Please correct before going on to Full phase.  </v>
      </c>
      <c r="D73" s="2"/>
      <c r="E73" s="242"/>
      <c r="F73" s="245"/>
      <c r="G73" s="244"/>
      <c r="H73" s="245"/>
    </row>
    <row r="74" spans="1:8" ht="120" x14ac:dyDescent="0.25">
      <c r="A74" t="str">
        <f>FileReviewW12!A74</f>
        <v>PG&amp;E</v>
      </c>
      <c r="B74" s="2" t="str">
        <f>FileReviewW12!DN74</f>
        <v xml:space="preserve">Rejected. This job was not reviewed. 1. Duct leakage is high. Please confirm leakage cfm with pictures of duct system to explain such high leakage. Any duct leakage over 30% Build It Green will need photos of ducts. The other option is to select “Duct Leakage Not Verified” which calculates a 30% leakage. </v>
      </c>
      <c r="C74" s="2" t="str">
        <f>FileReviewW12!DO74</f>
        <v xml:space="preserve">Bld shows 15% duct leakage. And this number (CFM 25=185) is not in agreement with CAS form. But both figures are under 30% as far as we could calculate. Marisa: you will want all info to agree as far as BLD and CAS form. </v>
      </c>
      <c r="D74" s="2"/>
      <c r="E74" s="242"/>
      <c r="F74" s="245"/>
      <c r="G74" s="244"/>
      <c r="H74" s="245"/>
    </row>
    <row r="75" spans="1:8" ht="120" x14ac:dyDescent="0.25">
      <c r="A75" t="str">
        <f>FileReviewW12!A75</f>
        <v>PG&amp;E</v>
      </c>
      <c r="B75" s="2" t="str">
        <f>FileReviewW12!DN75</f>
        <v>1. The PG&amp;E Service IDs are incorrect. They are two unique 10-digit numbers, labeled Service ID, that can be found on the homeowner's utility bill. They are different from the meter #. If the job is all-electric, or only one utility is provided by PG&amp;E, only one service ID is required. We need these numbers in order to submit the job.</v>
      </c>
      <c r="C75" s="2" t="str">
        <f>FileReviewW12!DO75</f>
        <v>3. Energy Pro shows existing wall heater but zero btu for output. Please correct the EnergyPro model and resubmit the BLD and SML files.</v>
      </c>
      <c r="D75" s="2"/>
      <c r="E75" s="242"/>
      <c r="F75" s="245"/>
      <c r="G75" s="244"/>
      <c r="H75" s="245"/>
    </row>
    <row r="76" spans="1:8" x14ac:dyDescent="0.25">
      <c r="E76" s="244"/>
      <c r="F76" s="245"/>
      <c r="G76" s="244"/>
      <c r="H76" s="245"/>
    </row>
    <row r="77" spans="1:8" x14ac:dyDescent="0.25">
      <c r="E77" s="244"/>
      <c r="F77" s="245"/>
      <c r="G77" s="244"/>
      <c r="H77" s="245"/>
    </row>
    <row r="78" spans="1:8" x14ac:dyDescent="0.25">
      <c r="E78" s="244"/>
      <c r="F78" s="245"/>
      <c r="G78" s="244"/>
      <c r="H78" s="245"/>
    </row>
    <row r="79" spans="1:8" x14ac:dyDescent="0.25">
      <c r="E79" s="244"/>
      <c r="F79" s="245"/>
      <c r="G79" s="244"/>
      <c r="H79" s="245"/>
    </row>
    <row r="80" spans="1:8" x14ac:dyDescent="0.25">
      <c r="E80" s="244"/>
      <c r="F80" s="245"/>
      <c r="G80" s="244"/>
      <c r="H80" s="245"/>
    </row>
    <row r="81" spans="5:8" x14ac:dyDescent="0.25">
      <c r="E81" s="244"/>
      <c r="F81" s="245"/>
      <c r="G81" s="244"/>
      <c r="H81" s="245"/>
    </row>
    <row r="82" spans="5:8" x14ac:dyDescent="0.25">
      <c r="E82" s="244"/>
      <c r="F82" s="245"/>
      <c r="G82" s="244"/>
      <c r="H82" s="245"/>
    </row>
    <row r="83" spans="5:8" x14ac:dyDescent="0.25">
      <c r="E83" s="244"/>
      <c r="F83" s="245"/>
      <c r="G83" s="244"/>
      <c r="H83" s="245"/>
    </row>
    <row r="84" spans="5:8" x14ac:dyDescent="0.25">
      <c r="E84" s="244"/>
      <c r="F84" s="245"/>
      <c r="G84" s="244"/>
      <c r="H84" s="245"/>
    </row>
    <row r="85" spans="5:8" x14ac:dyDescent="0.25">
      <c r="E85" s="244"/>
      <c r="F85" s="245"/>
      <c r="G85" s="244"/>
      <c r="H85" s="245"/>
    </row>
    <row r="86" spans="5:8" x14ac:dyDescent="0.25">
      <c r="E86" s="244"/>
      <c r="F86" s="245"/>
      <c r="G86" s="244"/>
      <c r="H86" s="245"/>
    </row>
    <row r="87" spans="5:8" x14ac:dyDescent="0.25">
      <c r="E87" s="244"/>
      <c r="F87" s="245"/>
      <c r="G87" s="244"/>
      <c r="H87" s="245"/>
    </row>
    <row r="88" spans="5:8" x14ac:dyDescent="0.25">
      <c r="E88" s="244"/>
      <c r="F88" s="245"/>
      <c r="G88" s="244"/>
      <c r="H88" s="245"/>
    </row>
    <row r="89" spans="5:8" x14ac:dyDescent="0.25">
      <c r="E89" s="244"/>
      <c r="F89" s="245"/>
      <c r="G89" s="244"/>
      <c r="H89" s="245"/>
    </row>
    <row r="90" spans="5:8" x14ac:dyDescent="0.25">
      <c r="E90" s="244"/>
      <c r="F90" s="245"/>
      <c r="G90" s="244"/>
      <c r="H90" s="245"/>
    </row>
    <row r="91" spans="5:8" x14ac:dyDescent="0.25">
      <c r="E91" s="244"/>
      <c r="F91" s="245"/>
      <c r="G91" s="244"/>
      <c r="H91" s="245"/>
    </row>
    <row r="92" spans="5:8" x14ac:dyDescent="0.25">
      <c r="E92" s="244"/>
      <c r="F92" s="245"/>
      <c r="G92" s="244"/>
      <c r="H92" s="245"/>
    </row>
    <row r="93" spans="5:8" x14ac:dyDescent="0.25">
      <c r="E93" s="244"/>
      <c r="F93" s="245"/>
      <c r="G93" s="244"/>
      <c r="H93" s="245"/>
    </row>
    <row r="94" spans="5:8" x14ac:dyDescent="0.25">
      <c r="E94" s="244"/>
      <c r="F94" s="245"/>
      <c r="G94" s="244"/>
      <c r="H94" s="245"/>
    </row>
    <row r="95" spans="5:8" x14ac:dyDescent="0.25">
      <c r="E95" s="244"/>
      <c r="F95" s="245"/>
      <c r="G95" s="244"/>
      <c r="H95" s="245"/>
    </row>
    <row r="96" spans="5:8" x14ac:dyDescent="0.25">
      <c r="E96" s="244"/>
      <c r="F96" s="245"/>
      <c r="G96" s="244"/>
      <c r="H96" s="245"/>
    </row>
    <row r="97" spans="5:8" x14ac:dyDescent="0.25">
      <c r="E97" s="244"/>
      <c r="F97" s="245"/>
      <c r="G97" s="244"/>
      <c r="H97" s="245"/>
    </row>
    <row r="98" spans="5:8" x14ac:dyDescent="0.25">
      <c r="E98" s="244"/>
      <c r="F98" s="245"/>
      <c r="G98" s="244"/>
      <c r="H98" s="245"/>
    </row>
    <row r="99" spans="5:8" x14ac:dyDescent="0.25">
      <c r="E99" s="244"/>
      <c r="F99" s="245"/>
      <c r="G99" s="244"/>
      <c r="H99" s="245"/>
    </row>
    <row r="100" spans="5:8" x14ac:dyDescent="0.25">
      <c r="E100" s="244"/>
      <c r="F100" s="245"/>
      <c r="G100" s="244"/>
      <c r="H100" s="245"/>
    </row>
    <row r="101" spans="5:8" x14ac:dyDescent="0.25">
      <c r="E101" s="244"/>
      <c r="F101" s="245"/>
      <c r="G101" s="244"/>
      <c r="H101" s="245"/>
    </row>
    <row r="102" spans="5:8" x14ac:dyDescent="0.25">
      <c r="E102" s="244"/>
      <c r="F102" s="245"/>
      <c r="G102" s="244"/>
      <c r="H102" s="245"/>
    </row>
    <row r="103" spans="5:8" x14ac:dyDescent="0.25">
      <c r="E103" s="244"/>
      <c r="F103" s="245"/>
      <c r="G103" s="244"/>
      <c r="H103" s="245"/>
    </row>
    <row r="104" spans="5:8" x14ac:dyDescent="0.25">
      <c r="E104" s="244"/>
      <c r="F104" s="245"/>
      <c r="G104" s="244"/>
      <c r="H104" s="245"/>
    </row>
    <row r="105" spans="5:8" x14ac:dyDescent="0.25">
      <c r="E105" s="244"/>
      <c r="F105" s="245"/>
      <c r="G105" s="244"/>
      <c r="H105" s="245"/>
    </row>
    <row r="106" spans="5:8" x14ac:dyDescent="0.25">
      <c r="E106" s="244"/>
      <c r="F106" s="245"/>
      <c r="G106" s="244"/>
      <c r="H106" s="245"/>
    </row>
    <row r="107" spans="5:8" x14ac:dyDescent="0.25">
      <c r="E107" s="244"/>
      <c r="F107" s="245"/>
      <c r="G107" s="244"/>
      <c r="H107" s="245"/>
    </row>
    <row r="108" spans="5:8" x14ac:dyDescent="0.25">
      <c r="E108" s="244"/>
      <c r="F108" s="245"/>
      <c r="G108" s="244"/>
      <c r="H108" s="245"/>
    </row>
    <row r="109" spans="5:8" x14ac:dyDescent="0.25">
      <c r="E109" s="244"/>
      <c r="F109" s="245"/>
      <c r="G109" s="244"/>
      <c r="H109" s="245"/>
    </row>
    <row r="110" spans="5:8" x14ac:dyDescent="0.25">
      <c r="E110" s="244"/>
      <c r="F110" s="245"/>
      <c r="G110" s="244"/>
      <c r="H110" s="245"/>
    </row>
    <row r="111" spans="5:8" x14ac:dyDescent="0.25">
      <c r="E111" s="244"/>
      <c r="F111" s="245"/>
      <c r="G111" s="244"/>
      <c r="H111" s="245"/>
    </row>
    <row r="112" spans="5:8" x14ac:dyDescent="0.25">
      <c r="E112" s="244"/>
      <c r="F112" s="245"/>
      <c r="G112" s="244"/>
      <c r="H112" s="245"/>
    </row>
    <row r="113" spans="5:8" x14ac:dyDescent="0.25">
      <c r="E113" s="244"/>
      <c r="F113" s="245"/>
      <c r="G113" s="244"/>
      <c r="H113" s="245"/>
    </row>
    <row r="114" spans="5:8" x14ac:dyDescent="0.25">
      <c r="E114" s="244"/>
      <c r="F114" s="245"/>
      <c r="G114" s="244"/>
      <c r="H114" s="245"/>
    </row>
    <row r="115" spans="5:8" x14ac:dyDescent="0.25">
      <c r="E115" s="244"/>
      <c r="F115" s="245"/>
      <c r="G115" s="244"/>
      <c r="H115" s="245"/>
    </row>
    <row r="116" spans="5:8" x14ac:dyDescent="0.25">
      <c r="E116" s="244"/>
      <c r="F116" s="245"/>
      <c r="G116" s="244"/>
      <c r="H116" s="245"/>
    </row>
    <row r="117" spans="5:8" x14ac:dyDescent="0.25">
      <c r="E117" s="244"/>
      <c r="F117" s="245"/>
      <c r="G117" s="244"/>
      <c r="H117" s="245"/>
    </row>
    <row r="118" spans="5:8" x14ac:dyDescent="0.25">
      <c r="E118" s="244"/>
      <c r="F118" s="245"/>
      <c r="G118" s="244"/>
      <c r="H118" s="245"/>
    </row>
    <row r="119" spans="5:8" x14ac:dyDescent="0.25">
      <c r="E119" s="244"/>
      <c r="F119" s="245"/>
      <c r="G119" s="244"/>
      <c r="H119" s="245"/>
    </row>
    <row r="120" spans="5:8" x14ac:dyDescent="0.25">
      <c r="E120" s="244"/>
      <c r="F120" s="245"/>
      <c r="G120" s="244"/>
      <c r="H120" s="245"/>
    </row>
    <row r="121" spans="5:8" x14ac:dyDescent="0.25">
      <c r="E121" s="244"/>
      <c r="F121" s="245"/>
      <c r="G121" s="244"/>
      <c r="H121" s="245"/>
    </row>
    <row r="122" spans="5:8" x14ac:dyDescent="0.25">
      <c r="E122" s="244"/>
      <c r="F122" s="245"/>
      <c r="G122" s="244"/>
      <c r="H122" s="245"/>
    </row>
    <row r="123" spans="5:8" x14ac:dyDescent="0.25">
      <c r="E123" s="244"/>
      <c r="F123" s="245"/>
      <c r="G123" s="244"/>
      <c r="H123" s="245"/>
    </row>
    <row r="124" spans="5:8" x14ac:dyDescent="0.25">
      <c r="E124" s="244"/>
      <c r="F124" s="245"/>
      <c r="G124" s="244"/>
      <c r="H124" s="245"/>
    </row>
    <row r="125" spans="5:8" x14ac:dyDescent="0.25">
      <c r="E125" s="244"/>
      <c r="F125" s="245"/>
      <c r="G125" s="244"/>
      <c r="H125" s="245"/>
    </row>
    <row r="126" spans="5:8" x14ac:dyDescent="0.25">
      <c r="E126" s="244"/>
      <c r="F126" s="245"/>
      <c r="G126" s="244"/>
      <c r="H126" s="245"/>
    </row>
    <row r="127" spans="5:8" x14ac:dyDescent="0.25">
      <c r="E127" s="244"/>
      <c r="F127" s="245"/>
      <c r="G127" s="244"/>
      <c r="H127" s="245"/>
    </row>
    <row r="128" spans="5:8" x14ac:dyDescent="0.25">
      <c r="E128" s="244"/>
      <c r="F128" s="245"/>
      <c r="G128" s="244"/>
      <c r="H128" s="245"/>
    </row>
    <row r="129" spans="5:8" x14ac:dyDescent="0.25">
      <c r="E129" s="244"/>
      <c r="F129" s="245"/>
      <c r="G129" s="244"/>
      <c r="H129" s="245"/>
    </row>
    <row r="130" spans="5:8" x14ac:dyDescent="0.25">
      <c r="E130" s="244"/>
      <c r="F130" s="245"/>
      <c r="G130" s="244"/>
      <c r="H130" s="245"/>
    </row>
    <row r="131" spans="5:8" x14ac:dyDescent="0.25">
      <c r="E131" s="244"/>
      <c r="F131" s="245"/>
      <c r="G131" s="244"/>
      <c r="H131" s="245"/>
    </row>
    <row r="132" spans="5:8" x14ac:dyDescent="0.25">
      <c r="E132" s="244"/>
      <c r="F132" s="245"/>
      <c r="G132" s="244"/>
      <c r="H132" s="245"/>
    </row>
    <row r="133" spans="5:8" x14ac:dyDescent="0.25">
      <c r="E133" s="244"/>
      <c r="F133" s="245"/>
      <c r="G133" s="244"/>
      <c r="H133" s="245"/>
    </row>
    <row r="134" spans="5:8" x14ac:dyDescent="0.25">
      <c r="E134" s="244"/>
      <c r="F134" s="245"/>
      <c r="G134" s="244"/>
      <c r="H134" s="245"/>
    </row>
    <row r="135" spans="5:8" x14ac:dyDescent="0.25">
      <c r="E135" s="244"/>
      <c r="F135" s="245"/>
      <c r="G135" s="244"/>
      <c r="H135" s="245"/>
    </row>
    <row r="136" spans="5:8" x14ac:dyDescent="0.25">
      <c r="E136" s="244"/>
      <c r="F136" s="245"/>
      <c r="G136" s="244"/>
      <c r="H136" s="245"/>
    </row>
    <row r="137" spans="5:8" x14ac:dyDescent="0.25">
      <c r="E137" s="244"/>
      <c r="F137" s="245"/>
      <c r="G137" s="244"/>
      <c r="H137" s="245"/>
    </row>
    <row r="138" spans="5:8" x14ac:dyDescent="0.25">
      <c r="E138" s="244"/>
      <c r="F138" s="245"/>
      <c r="G138" s="244"/>
      <c r="H138" s="245"/>
    </row>
    <row r="139" spans="5:8" x14ac:dyDescent="0.25">
      <c r="E139" s="244"/>
      <c r="F139" s="245"/>
      <c r="G139" s="244"/>
      <c r="H139" s="245"/>
    </row>
    <row r="140" spans="5:8" x14ac:dyDescent="0.25">
      <c r="E140" s="244"/>
      <c r="F140" s="245"/>
      <c r="G140" s="244"/>
      <c r="H140" s="245"/>
    </row>
    <row r="141" spans="5:8" x14ac:dyDescent="0.25">
      <c r="E141" s="244"/>
      <c r="F141" s="245"/>
      <c r="G141" s="244"/>
      <c r="H141" s="245"/>
    </row>
    <row r="142" spans="5:8" x14ac:dyDescent="0.25">
      <c r="E142" s="244"/>
      <c r="F142" s="245"/>
      <c r="G142" s="244"/>
      <c r="H142" s="245"/>
    </row>
    <row r="143" spans="5:8" x14ac:dyDescent="0.25">
      <c r="E143" s="244"/>
      <c r="F143" s="245"/>
      <c r="G143" s="244"/>
      <c r="H143" s="245"/>
    </row>
    <row r="144" spans="5:8" x14ac:dyDescent="0.25">
      <c r="E144" s="244"/>
      <c r="F144" s="245"/>
      <c r="G144" s="244"/>
      <c r="H144" s="245"/>
    </row>
    <row r="145" spans="5:8" x14ac:dyDescent="0.25">
      <c r="E145" s="244"/>
      <c r="F145" s="245"/>
      <c r="G145" s="244"/>
      <c r="H145" s="245"/>
    </row>
    <row r="146" spans="5:8" x14ac:dyDescent="0.25">
      <c r="E146" s="244"/>
      <c r="F146" s="245"/>
      <c r="G146" s="244"/>
      <c r="H146" s="245"/>
    </row>
    <row r="147" spans="5:8" x14ac:dyDescent="0.25">
      <c r="E147" s="244"/>
      <c r="F147" s="245"/>
      <c r="G147" s="244"/>
      <c r="H147" s="245"/>
    </row>
    <row r="148" spans="5:8" x14ac:dyDescent="0.25">
      <c r="E148" s="244"/>
      <c r="F148" s="245"/>
      <c r="G148" s="244"/>
      <c r="H148" s="245"/>
    </row>
    <row r="149" spans="5:8" x14ac:dyDescent="0.25">
      <c r="E149" s="244"/>
      <c r="F149" s="245"/>
      <c r="G149" s="244"/>
      <c r="H149" s="245"/>
    </row>
    <row r="150" spans="5:8" x14ac:dyDescent="0.25">
      <c r="E150" s="244"/>
      <c r="F150" s="245"/>
      <c r="G150" s="244"/>
      <c r="H150" s="245"/>
    </row>
    <row r="151" spans="5:8" x14ac:dyDescent="0.25">
      <c r="E151" s="244"/>
      <c r="F151" s="245"/>
      <c r="G151" s="244"/>
      <c r="H151" s="245"/>
    </row>
    <row r="152" spans="5:8" x14ac:dyDescent="0.25">
      <c r="E152" s="244"/>
      <c r="F152" s="245"/>
      <c r="G152" s="244"/>
      <c r="H152" s="245"/>
    </row>
    <row r="153" spans="5:8" x14ac:dyDescent="0.25">
      <c r="E153" s="244"/>
      <c r="F153" s="245"/>
      <c r="G153" s="244"/>
      <c r="H153" s="245"/>
    </row>
    <row r="154" spans="5:8" x14ac:dyDescent="0.25">
      <c r="E154" s="244"/>
      <c r="F154" s="245"/>
      <c r="G154" s="244"/>
      <c r="H154" s="245"/>
    </row>
    <row r="155" spans="5:8" x14ac:dyDescent="0.25">
      <c r="E155" s="244"/>
      <c r="F155" s="245"/>
      <c r="G155" s="244"/>
      <c r="H155" s="245"/>
    </row>
    <row r="156" spans="5:8" x14ac:dyDescent="0.25">
      <c r="E156" s="244"/>
      <c r="F156" s="245"/>
      <c r="G156" s="244"/>
      <c r="H156" s="245"/>
    </row>
    <row r="157" spans="5:8" x14ac:dyDescent="0.25">
      <c r="E157" s="244"/>
      <c r="F157" s="245"/>
      <c r="G157" s="244"/>
      <c r="H157" s="245"/>
    </row>
    <row r="158" spans="5:8" x14ac:dyDescent="0.25">
      <c r="E158" s="244"/>
      <c r="F158" s="245"/>
      <c r="G158" s="244"/>
      <c r="H158" s="245"/>
    </row>
    <row r="159" spans="5:8" x14ac:dyDescent="0.25">
      <c r="E159" s="244"/>
      <c r="F159" s="245"/>
      <c r="G159" s="244"/>
      <c r="H159" s="245"/>
    </row>
    <row r="160" spans="5:8" x14ac:dyDescent="0.25">
      <c r="E160" s="244"/>
      <c r="F160" s="245"/>
      <c r="G160" s="244"/>
      <c r="H160" s="245"/>
    </row>
    <row r="161" spans="5:8" x14ac:dyDescent="0.25">
      <c r="E161" s="244"/>
      <c r="F161" s="245"/>
      <c r="G161" s="244"/>
      <c r="H161" s="245"/>
    </row>
    <row r="162" spans="5:8" x14ac:dyDescent="0.25">
      <c r="E162" s="244"/>
      <c r="F162" s="245"/>
      <c r="G162" s="244"/>
      <c r="H162" s="245"/>
    </row>
    <row r="163" spans="5:8" x14ac:dyDescent="0.25">
      <c r="E163" s="244"/>
      <c r="F163" s="245"/>
      <c r="G163" s="244"/>
      <c r="H163" s="245"/>
    </row>
    <row r="164" spans="5:8" x14ac:dyDescent="0.25">
      <c r="E164" s="244"/>
      <c r="F164" s="245"/>
      <c r="G164" s="244"/>
      <c r="H164" s="245"/>
    </row>
    <row r="165" spans="5:8" x14ac:dyDescent="0.25">
      <c r="E165" s="244"/>
      <c r="F165" s="245"/>
      <c r="G165" s="244"/>
      <c r="H165" s="245"/>
    </row>
    <row r="166" spans="5:8" x14ac:dyDescent="0.25">
      <c r="E166" s="244"/>
      <c r="F166" s="245"/>
      <c r="G166" s="244"/>
      <c r="H166" s="245"/>
    </row>
    <row r="167" spans="5:8" x14ac:dyDescent="0.25">
      <c r="E167" s="244"/>
      <c r="F167" s="245"/>
      <c r="G167" s="244"/>
      <c r="H167" s="245"/>
    </row>
    <row r="168" spans="5:8" x14ac:dyDescent="0.25">
      <c r="E168" s="244"/>
      <c r="F168" s="245"/>
      <c r="G168" s="244"/>
      <c r="H168" s="245"/>
    </row>
    <row r="169" spans="5:8" x14ac:dyDescent="0.25">
      <c r="E169" s="244"/>
      <c r="F169" s="245"/>
      <c r="G169" s="244"/>
      <c r="H169" s="245"/>
    </row>
    <row r="170" spans="5:8" x14ac:dyDescent="0.25">
      <c r="E170" s="244"/>
      <c r="F170" s="245"/>
      <c r="G170" s="244"/>
      <c r="H170" s="245"/>
    </row>
    <row r="171" spans="5:8" x14ac:dyDescent="0.25">
      <c r="E171" s="244"/>
      <c r="F171" s="245"/>
      <c r="G171" s="244"/>
      <c r="H171" s="245"/>
    </row>
    <row r="172" spans="5:8" x14ac:dyDescent="0.25">
      <c r="E172" s="244"/>
      <c r="F172" s="245"/>
      <c r="G172" s="244"/>
      <c r="H172" s="245"/>
    </row>
    <row r="173" spans="5:8" x14ac:dyDescent="0.25">
      <c r="E173" s="244"/>
      <c r="F173" s="245"/>
      <c r="G173" s="244"/>
      <c r="H173" s="245"/>
    </row>
    <row r="174" spans="5:8" x14ac:dyDescent="0.25">
      <c r="E174" s="244"/>
      <c r="F174" s="245"/>
      <c r="G174" s="244"/>
      <c r="H174" s="245"/>
    </row>
    <row r="175" spans="5:8" x14ac:dyDescent="0.25">
      <c r="E175" s="244"/>
      <c r="F175" s="245"/>
      <c r="G175" s="244"/>
      <c r="H175" s="245"/>
    </row>
    <row r="176" spans="5:8" x14ac:dyDescent="0.25">
      <c r="E176" s="244"/>
      <c r="F176" s="245"/>
      <c r="G176" s="244"/>
      <c r="H176" s="245"/>
    </row>
    <row r="177" spans="5:8" x14ac:dyDescent="0.25">
      <c r="E177" s="244"/>
      <c r="F177" s="245"/>
      <c r="G177" s="244"/>
      <c r="H177" s="245"/>
    </row>
    <row r="178" spans="5:8" x14ac:dyDescent="0.25">
      <c r="E178" s="244"/>
      <c r="F178" s="245"/>
      <c r="G178" s="244"/>
      <c r="H178" s="245"/>
    </row>
    <row r="179" spans="5:8" x14ac:dyDescent="0.25">
      <c r="E179" s="244"/>
      <c r="F179" s="245"/>
      <c r="G179" s="244"/>
      <c r="H179" s="245"/>
    </row>
    <row r="180" spans="5:8" x14ac:dyDescent="0.25">
      <c r="E180" s="244"/>
      <c r="F180" s="245"/>
      <c r="G180" s="244"/>
      <c r="H180" s="245"/>
    </row>
    <row r="181" spans="5:8" x14ac:dyDescent="0.25">
      <c r="E181" s="244"/>
      <c r="F181" s="245"/>
      <c r="G181" s="244"/>
      <c r="H181" s="245"/>
    </row>
    <row r="182" spans="5:8" x14ac:dyDescent="0.25">
      <c r="E182" s="244"/>
      <c r="F182" s="245"/>
      <c r="G182" s="244"/>
      <c r="H182" s="245"/>
    </row>
    <row r="183" spans="5:8" x14ac:dyDescent="0.25">
      <c r="E183" s="244"/>
      <c r="F183" s="245"/>
      <c r="G183" s="244"/>
      <c r="H183" s="245"/>
    </row>
    <row r="184" spans="5:8" x14ac:dyDescent="0.25">
      <c r="E184" s="244"/>
      <c r="F184" s="245"/>
      <c r="G184" s="244"/>
      <c r="H184" s="245"/>
    </row>
    <row r="185" spans="5:8" x14ac:dyDescent="0.25">
      <c r="E185" s="244"/>
      <c r="F185" s="245"/>
      <c r="G185" s="244"/>
      <c r="H185" s="245"/>
    </row>
    <row r="186" spans="5:8" x14ac:dyDescent="0.25">
      <c r="E186" s="244"/>
      <c r="F186" s="245"/>
      <c r="G186" s="244"/>
      <c r="H186" s="245"/>
    </row>
    <row r="187" spans="5:8" x14ac:dyDescent="0.25">
      <c r="E187" s="244"/>
      <c r="F187" s="245"/>
      <c r="G187" s="244"/>
      <c r="H187" s="245"/>
    </row>
    <row r="188" spans="5:8" x14ac:dyDescent="0.25">
      <c r="E188" s="244"/>
      <c r="F188" s="245"/>
      <c r="G188" s="244"/>
      <c r="H188" s="245"/>
    </row>
    <row r="189" spans="5:8" x14ac:dyDescent="0.25">
      <c r="E189" s="244"/>
      <c r="F189" s="245"/>
      <c r="G189" s="244"/>
      <c r="H189" s="245"/>
    </row>
    <row r="190" spans="5:8" x14ac:dyDescent="0.25">
      <c r="E190" s="244"/>
      <c r="F190" s="245"/>
      <c r="G190" s="244"/>
      <c r="H190" s="245"/>
    </row>
    <row r="191" spans="5:8" x14ac:dyDescent="0.25">
      <c r="E191" s="244"/>
      <c r="F191" s="245"/>
      <c r="G191" s="244"/>
      <c r="H191" s="245"/>
    </row>
    <row r="192" spans="5:8" x14ac:dyDescent="0.25">
      <c r="E192" s="244"/>
      <c r="F192" s="245"/>
      <c r="G192" s="244"/>
      <c r="H192" s="245"/>
    </row>
    <row r="193" spans="5:8" x14ac:dyDescent="0.25">
      <c r="E193" s="244"/>
      <c r="F193" s="245"/>
      <c r="G193" s="244"/>
      <c r="H193" s="245"/>
    </row>
    <row r="194" spans="5:8" x14ac:dyDescent="0.25">
      <c r="E194" s="244"/>
      <c r="F194" s="245"/>
      <c r="G194" s="244"/>
      <c r="H194" s="245"/>
    </row>
    <row r="195" spans="5:8" x14ac:dyDescent="0.25">
      <c r="E195" s="244"/>
      <c r="F195" s="245"/>
      <c r="G195" s="244"/>
      <c r="H195" s="245"/>
    </row>
    <row r="196" spans="5:8" x14ac:dyDescent="0.25">
      <c r="E196" s="244"/>
      <c r="F196" s="245"/>
      <c r="G196" s="244"/>
      <c r="H196" s="245"/>
    </row>
    <row r="197" spans="5:8" x14ac:dyDescent="0.25">
      <c r="E197" s="244"/>
      <c r="F197" s="245"/>
      <c r="G197" s="244"/>
      <c r="H197" s="245"/>
    </row>
    <row r="198" spans="5:8" x14ac:dyDescent="0.25">
      <c r="E198" s="244"/>
      <c r="F198" s="245"/>
      <c r="G198" s="244"/>
      <c r="H198" s="245"/>
    </row>
    <row r="199" spans="5:8" x14ac:dyDescent="0.25">
      <c r="E199" s="244"/>
      <c r="F199" s="245"/>
      <c r="G199" s="244"/>
      <c r="H199" s="245"/>
    </row>
    <row r="200" spans="5:8" x14ac:dyDescent="0.25">
      <c r="E200" s="244"/>
      <c r="F200" s="245"/>
      <c r="G200" s="244"/>
      <c r="H200" s="245"/>
    </row>
    <row r="201" spans="5:8" x14ac:dyDescent="0.25">
      <c r="E201" s="244"/>
      <c r="F201" s="245"/>
      <c r="G201" s="244"/>
      <c r="H201" s="245"/>
    </row>
    <row r="202" spans="5:8" x14ac:dyDescent="0.25">
      <c r="E202" s="244"/>
      <c r="F202" s="245"/>
      <c r="G202" s="244"/>
      <c r="H202" s="245"/>
    </row>
    <row r="203" spans="5:8" x14ac:dyDescent="0.25">
      <c r="E203" s="244"/>
      <c r="F203" s="245"/>
      <c r="G203" s="244"/>
      <c r="H203" s="245"/>
    </row>
    <row r="204" spans="5:8" x14ac:dyDescent="0.25">
      <c r="E204" s="244"/>
      <c r="F204" s="245"/>
      <c r="G204" s="244"/>
      <c r="H204" s="245"/>
    </row>
    <row r="205" spans="5:8" x14ac:dyDescent="0.25">
      <c r="E205" s="244"/>
      <c r="F205" s="245"/>
      <c r="G205" s="244"/>
      <c r="H205" s="245"/>
    </row>
    <row r="206" spans="5:8" x14ac:dyDescent="0.25">
      <c r="E206" s="244"/>
      <c r="F206" s="245"/>
      <c r="G206" s="244"/>
      <c r="H206" s="245"/>
    </row>
    <row r="207" spans="5:8" x14ac:dyDescent="0.25">
      <c r="E207" s="244"/>
      <c r="F207" s="245"/>
      <c r="G207" s="244"/>
      <c r="H207" s="245"/>
    </row>
    <row r="208" spans="5:8" x14ac:dyDescent="0.25">
      <c r="E208" s="244"/>
      <c r="F208" s="245"/>
      <c r="G208" s="244"/>
      <c r="H208" s="245"/>
    </row>
    <row r="209" spans="5:8" x14ac:dyDescent="0.25">
      <c r="E209" s="244"/>
      <c r="F209" s="245"/>
      <c r="G209" s="244"/>
      <c r="H209" s="245"/>
    </row>
    <row r="210" spans="5:8" x14ac:dyDescent="0.25">
      <c r="E210" s="244"/>
      <c r="F210" s="245"/>
      <c r="G210" s="244"/>
      <c r="H210" s="245"/>
    </row>
    <row r="211" spans="5:8" x14ac:dyDescent="0.25">
      <c r="E211" s="244"/>
      <c r="F211" s="245"/>
      <c r="G211" s="244"/>
      <c r="H211" s="245"/>
    </row>
    <row r="212" spans="5:8" x14ac:dyDescent="0.25">
      <c r="E212" s="244"/>
      <c r="F212" s="245"/>
      <c r="G212" s="244"/>
      <c r="H212" s="245"/>
    </row>
    <row r="213" spans="5:8" x14ac:dyDescent="0.25">
      <c r="E213" s="244"/>
      <c r="F213" s="245"/>
      <c r="G213" s="244"/>
      <c r="H213" s="245"/>
    </row>
    <row r="214" spans="5:8" x14ac:dyDescent="0.25">
      <c r="E214" s="244"/>
      <c r="F214" s="245"/>
      <c r="G214" s="244"/>
      <c r="H214" s="245"/>
    </row>
    <row r="215" spans="5:8" x14ac:dyDescent="0.25">
      <c r="E215" s="244"/>
      <c r="F215" s="245"/>
      <c r="G215" s="244"/>
      <c r="H215" s="245"/>
    </row>
    <row r="216" spans="5:8" x14ac:dyDescent="0.25">
      <c r="E216" s="244"/>
      <c r="F216" s="245"/>
      <c r="G216" s="244"/>
      <c r="H216" s="245"/>
    </row>
    <row r="217" spans="5:8" x14ac:dyDescent="0.25">
      <c r="E217" s="244"/>
      <c r="F217" s="245"/>
      <c r="G217" s="244"/>
      <c r="H217" s="245"/>
    </row>
    <row r="218" spans="5:8" x14ac:dyDescent="0.25">
      <c r="E218" s="244"/>
      <c r="F218" s="245"/>
      <c r="G218" s="244"/>
      <c r="H218" s="245"/>
    </row>
    <row r="219" spans="5:8" x14ac:dyDescent="0.25">
      <c r="E219" s="244"/>
      <c r="F219" s="245"/>
      <c r="G219" s="244"/>
      <c r="H219" s="245"/>
    </row>
    <row r="220" spans="5:8" x14ac:dyDescent="0.25">
      <c r="E220" s="244"/>
      <c r="F220" s="245"/>
      <c r="G220" s="244"/>
      <c r="H220" s="245"/>
    </row>
    <row r="221" spans="5:8" x14ac:dyDescent="0.25">
      <c r="E221" s="244"/>
      <c r="F221" s="245"/>
      <c r="G221" s="244"/>
      <c r="H221" s="245"/>
    </row>
    <row r="222" spans="5:8" x14ac:dyDescent="0.25">
      <c r="E222" s="244"/>
      <c r="F222" s="245"/>
      <c r="G222" s="244"/>
      <c r="H222" s="245"/>
    </row>
    <row r="223" spans="5:8" x14ac:dyDescent="0.25">
      <c r="E223" s="244"/>
      <c r="F223" s="245"/>
      <c r="G223" s="244"/>
      <c r="H223" s="245"/>
    </row>
    <row r="224" spans="5:8" x14ac:dyDescent="0.25">
      <c r="E224" s="244"/>
      <c r="F224" s="245"/>
      <c r="G224" s="244"/>
      <c r="H224" s="245"/>
    </row>
    <row r="225" spans="5:8" x14ac:dyDescent="0.25">
      <c r="E225" s="244"/>
      <c r="F225" s="245"/>
      <c r="G225" s="244"/>
      <c r="H225" s="245"/>
    </row>
    <row r="226" spans="5:8" x14ac:dyDescent="0.25">
      <c r="E226" s="244"/>
      <c r="F226" s="245"/>
      <c r="G226" s="244"/>
      <c r="H226" s="245"/>
    </row>
    <row r="227" spans="5:8" x14ac:dyDescent="0.25">
      <c r="E227" s="244"/>
      <c r="F227" s="245"/>
      <c r="G227" s="244"/>
      <c r="H227" s="245"/>
    </row>
    <row r="228" spans="5:8" x14ac:dyDescent="0.25">
      <c r="E228" s="244"/>
      <c r="F228" s="245"/>
      <c r="G228" s="244"/>
      <c r="H228" s="245"/>
    </row>
    <row r="229" spans="5:8" x14ac:dyDescent="0.25">
      <c r="E229" s="244"/>
      <c r="F229" s="245"/>
      <c r="G229" s="244"/>
      <c r="H229" s="245"/>
    </row>
    <row r="230" spans="5:8" x14ac:dyDescent="0.25">
      <c r="E230" s="244"/>
      <c r="F230" s="245"/>
      <c r="G230" s="244"/>
      <c r="H230" s="245"/>
    </row>
    <row r="231" spans="5:8" x14ac:dyDescent="0.25">
      <c r="E231" s="244"/>
      <c r="F231" s="245"/>
      <c r="G231" s="244"/>
      <c r="H231" s="245"/>
    </row>
    <row r="232" spans="5:8" x14ac:dyDescent="0.25">
      <c r="E232" s="244"/>
      <c r="F232" s="245"/>
      <c r="G232" s="244"/>
      <c r="H232" s="245"/>
    </row>
    <row r="233" spans="5:8" x14ac:dyDescent="0.25">
      <c r="E233" s="244"/>
      <c r="F233" s="245"/>
      <c r="G233" s="244"/>
      <c r="H233" s="245"/>
    </row>
    <row r="234" spans="5:8" x14ac:dyDescent="0.25">
      <c r="E234" s="244"/>
      <c r="F234" s="245"/>
      <c r="G234" s="244"/>
      <c r="H234" s="245"/>
    </row>
    <row r="235" spans="5:8" x14ac:dyDescent="0.25">
      <c r="E235" s="244"/>
      <c r="F235" s="245"/>
      <c r="G235" s="244"/>
      <c r="H235" s="245"/>
    </row>
    <row r="236" spans="5:8" x14ac:dyDescent="0.25">
      <c r="E236" s="244"/>
      <c r="F236" s="245"/>
      <c r="G236" s="244"/>
      <c r="H236" s="245"/>
    </row>
    <row r="237" spans="5:8" x14ac:dyDescent="0.25">
      <c r="E237" s="244"/>
      <c r="F237" s="245"/>
      <c r="G237" s="244"/>
      <c r="H237" s="245"/>
    </row>
    <row r="238" spans="5:8" x14ac:dyDescent="0.25">
      <c r="E238" s="244"/>
      <c r="F238" s="245"/>
      <c r="G238" s="244"/>
      <c r="H238" s="245"/>
    </row>
    <row r="239" spans="5:8" x14ac:dyDescent="0.25">
      <c r="E239" s="244"/>
      <c r="F239" s="245"/>
      <c r="G239" s="244"/>
      <c r="H239" s="245"/>
    </row>
    <row r="240" spans="5:8" x14ac:dyDescent="0.25">
      <c r="E240" s="244"/>
      <c r="F240" s="245"/>
      <c r="G240" s="244"/>
      <c r="H240" s="245"/>
    </row>
    <row r="241" spans="5:8" x14ac:dyDescent="0.25">
      <c r="E241" s="244"/>
      <c r="F241" s="245"/>
      <c r="G241" s="244"/>
      <c r="H241" s="245"/>
    </row>
    <row r="242" spans="5:8" x14ac:dyDescent="0.25">
      <c r="E242" s="244"/>
      <c r="F242" s="245"/>
      <c r="G242" s="244"/>
      <c r="H242" s="245"/>
    </row>
    <row r="243" spans="5:8" x14ac:dyDescent="0.25">
      <c r="E243" s="244"/>
      <c r="F243" s="245"/>
      <c r="G243" s="244"/>
      <c r="H243" s="245"/>
    </row>
    <row r="244" spans="5:8" x14ac:dyDescent="0.25">
      <c r="E244" s="244"/>
      <c r="F244" s="245"/>
      <c r="G244" s="244"/>
      <c r="H244" s="245"/>
    </row>
    <row r="245" spans="5:8" x14ac:dyDescent="0.25">
      <c r="E245" s="244"/>
      <c r="F245" s="245"/>
      <c r="G245" s="244"/>
      <c r="H245" s="245"/>
    </row>
    <row r="246" spans="5:8" x14ac:dyDescent="0.25">
      <c r="E246" s="244"/>
      <c r="F246" s="245"/>
      <c r="G246" s="244"/>
      <c r="H246" s="245"/>
    </row>
    <row r="247" spans="5:8" x14ac:dyDescent="0.25">
      <c r="E247" s="244"/>
      <c r="F247" s="245"/>
      <c r="G247" s="244"/>
      <c r="H247" s="245"/>
    </row>
    <row r="248" spans="5:8" x14ac:dyDescent="0.25">
      <c r="E248" s="244"/>
      <c r="F248" s="245"/>
      <c r="G248" s="244"/>
      <c r="H248" s="245"/>
    </row>
    <row r="249" spans="5:8" x14ac:dyDescent="0.25">
      <c r="E249" s="244"/>
      <c r="F249" s="245"/>
      <c r="G249" s="244"/>
      <c r="H249" s="245"/>
    </row>
    <row r="250" spans="5:8" x14ac:dyDescent="0.25">
      <c r="E250" s="244"/>
      <c r="F250" s="245"/>
      <c r="G250" s="244"/>
      <c r="H250" s="245"/>
    </row>
    <row r="251" spans="5:8" x14ac:dyDescent="0.25">
      <c r="E251" s="244"/>
      <c r="F251" s="245"/>
      <c r="G251" s="244"/>
      <c r="H251" s="245"/>
    </row>
    <row r="252" spans="5:8" x14ac:dyDescent="0.25">
      <c r="E252" s="244"/>
      <c r="F252" s="245"/>
      <c r="G252" s="244"/>
      <c r="H252" s="245"/>
    </row>
    <row r="253" spans="5:8" x14ac:dyDescent="0.25">
      <c r="E253" s="244"/>
      <c r="F253" s="245"/>
      <c r="G253" s="244"/>
      <c r="H253" s="245"/>
    </row>
    <row r="254" spans="5:8" x14ac:dyDescent="0.25">
      <c r="E254" s="244"/>
      <c r="F254" s="245"/>
      <c r="G254" s="244"/>
      <c r="H254" s="245"/>
    </row>
    <row r="255" spans="5:8" x14ac:dyDescent="0.25">
      <c r="E255" s="244"/>
      <c r="F255" s="245"/>
      <c r="G255" s="244"/>
      <c r="H255" s="245"/>
    </row>
    <row r="256" spans="5:8" x14ac:dyDescent="0.25">
      <c r="E256" s="244"/>
      <c r="F256" s="245"/>
      <c r="G256" s="244"/>
      <c r="H256" s="245"/>
    </row>
    <row r="257" spans="5:8" x14ac:dyDescent="0.25">
      <c r="E257" s="244"/>
      <c r="F257" s="245"/>
      <c r="G257" s="244"/>
      <c r="H257" s="245"/>
    </row>
    <row r="258" spans="5:8" x14ac:dyDescent="0.25">
      <c r="E258" s="244"/>
      <c r="F258" s="245"/>
      <c r="G258" s="244"/>
      <c r="H258" s="245"/>
    </row>
    <row r="259" spans="5:8" x14ac:dyDescent="0.25">
      <c r="E259" s="244"/>
      <c r="F259" s="245"/>
      <c r="G259" s="244"/>
      <c r="H259" s="245"/>
    </row>
    <row r="260" spans="5:8" x14ac:dyDescent="0.25">
      <c r="E260" s="244"/>
      <c r="F260" s="245"/>
      <c r="G260" s="244"/>
      <c r="H260" s="245"/>
    </row>
    <row r="261" spans="5:8" x14ac:dyDescent="0.25">
      <c r="E261" s="244"/>
      <c r="F261" s="245"/>
      <c r="G261" s="244"/>
      <c r="H261" s="245"/>
    </row>
    <row r="262" spans="5:8" x14ac:dyDescent="0.25">
      <c r="E262" s="244"/>
      <c r="F262" s="245"/>
      <c r="G262" s="244"/>
      <c r="H262" s="245"/>
    </row>
    <row r="263" spans="5:8" x14ac:dyDescent="0.25">
      <c r="E263" s="244"/>
      <c r="F263" s="245"/>
      <c r="G263" s="244"/>
      <c r="H263" s="245"/>
    </row>
    <row r="264" spans="5:8" x14ac:dyDescent="0.25">
      <c r="E264" s="244"/>
      <c r="F264" s="245"/>
      <c r="G264" s="244"/>
      <c r="H264" s="245"/>
    </row>
    <row r="265" spans="5:8" x14ac:dyDescent="0.25">
      <c r="E265" s="244"/>
      <c r="F265" s="245"/>
      <c r="G265" s="244"/>
      <c r="H265" s="245"/>
    </row>
    <row r="266" spans="5:8" x14ac:dyDescent="0.25">
      <c r="E266" s="244"/>
      <c r="F266" s="245"/>
      <c r="G266" s="244"/>
      <c r="H266" s="245"/>
    </row>
    <row r="267" spans="5:8" x14ac:dyDescent="0.25">
      <c r="E267" s="244"/>
      <c r="F267" s="245"/>
      <c r="G267" s="244"/>
      <c r="H267" s="245"/>
    </row>
    <row r="268" spans="5:8" x14ac:dyDescent="0.25">
      <c r="E268" s="244"/>
      <c r="F268" s="245"/>
      <c r="G268" s="244"/>
      <c r="H268" s="245"/>
    </row>
    <row r="269" spans="5:8" x14ac:dyDescent="0.25">
      <c r="E269" s="244"/>
      <c r="F269" s="245"/>
      <c r="G269" s="244"/>
      <c r="H269" s="245"/>
    </row>
    <row r="270" spans="5:8" x14ac:dyDescent="0.25">
      <c r="E270" s="244"/>
      <c r="F270" s="245"/>
      <c r="G270" s="244"/>
      <c r="H270" s="245"/>
    </row>
    <row r="271" spans="5:8" x14ac:dyDescent="0.25">
      <c r="E271" s="244"/>
      <c r="F271" s="245"/>
      <c r="G271" s="244"/>
      <c r="H271" s="245"/>
    </row>
    <row r="272" spans="5:8" x14ac:dyDescent="0.25">
      <c r="E272" s="244"/>
      <c r="F272" s="245"/>
      <c r="G272" s="244"/>
      <c r="H272" s="245"/>
    </row>
    <row r="273" spans="5:8" x14ac:dyDescent="0.25">
      <c r="E273" s="244"/>
      <c r="F273" s="245"/>
      <c r="G273" s="244"/>
      <c r="H273" s="245"/>
    </row>
    <row r="274" spans="5:8" x14ac:dyDescent="0.25">
      <c r="E274" s="244"/>
      <c r="F274" s="245"/>
      <c r="G274" s="244"/>
      <c r="H274" s="245"/>
    </row>
    <row r="275" spans="5:8" x14ac:dyDescent="0.25">
      <c r="E275" s="244"/>
      <c r="F275" s="245"/>
      <c r="G275" s="244"/>
      <c r="H275" s="245"/>
    </row>
    <row r="276" spans="5:8" x14ac:dyDescent="0.25">
      <c r="E276" s="244"/>
      <c r="F276" s="245"/>
      <c r="G276" s="244"/>
      <c r="H276" s="245"/>
    </row>
    <row r="277" spans="5:8" x14ac:dyDescent="0.25">
      <c r="E277" s="244"/>
      <c r="F277" s="245"/>
      <c r="G277" s="244"/>
      <c r="H277" s="245"/>
    </row>
    <row r="278" spans="5:8" x14ac:dyDescent="0.25">
      <c r="E278" s="244"/>
      <c r="F278" s="245"/>
      <c r="G278" s="244"/>
      <c r="H278" s="245"/>
    </row>
    <row r="279" spans="5:8" x14ac:dyDescent="0.25">
      <c r="E279" s="244"/>
      <c r="F279" s="245"/>
      <c r="G279" s="244"/>
      <c r="H279" s="245"/>
    </row>
    <row r="280" spans="5:8" x14ac:dyDescent="0.25">
      <c r="E280" s="244"/>
      <c r="F280" s="245"/>
      <c r="G280" s="244"/>
      <c r="H280" s="245"/>
    </row>
    <row r="281" spans="5:8" x14ac:dyDescent="0.25">
      <c r="E281" s="244"/>
      <c r="F281" s="245"/>
      <c r="G281" s="244"/>
      <c r="H281" s="245"/>
    </row>
    <row r="282" spans="5:8" x14ac:dyDescent="0.25">
      <c r="E282" s="244"/>
      <c r="F282" s="245"/>
      <c r="G282" s="244"/>
      <c r="H282" s="245"/>
    </row>
    <row r="283" spans="5:8" x14ac:dyDescent="0.25">
      <c r="E283" s="244"/>
      <c r="F283" s="245"/>
      <c r="G283" s="244"/>
      <c r="H283" s="245"/>
    </row>
    <row r="284" spans="5:8" x14ac:dyDescent="0.25">
      <c r="E284" s="244"/>
      <c r="F284" s="245"/>
      <c r="G284" s="244"/>
      <c r="H284" s="245"/>
    </row>
    <row r="285" spans="5:8" x14ac:dyDescent="0.25">
      <c r="E285" s="244"/>
      <c r="F285" s="245"/>
      <c r="G285" s="244"/>
      <c r="H285" s="245"/>
    </row>
    <row r="286" spans="5:8" x14ac:dyDescent="0.25">
      <c r="E286" s="244"/>
      <c r="F286" s="245"/>
      <c r="G286" s="244"/>
      <c r="H286" s="245"/>
    </row>
    <row r="287" spans="5:8" x14ac:dyDescent="0.25">
      <c r="E287" s="244"/>
      <c r="F287" s="245"/>
      <c r="G287" s="244"/>
      <c r="H287" s="245"/>
    </row>
    <row r="288" spans="5:8" x14ac:dyDescent="0.25">
      <c r="E288" s="244"/>
      <c r="F288" s="245"/>
      <c r="G288" s="244"/>
      <c r="H288" s="245"/>
    </row>
    <row r="289" spans="5:8" x14ac:dyDescent="0.25">
      <c r="E289" s="244"/>
      <c r="F289" s="245"/>
      <c r="G289" s="244"/>
      <c r="H289" s="245"/>
    </row>
    <row r="290" spans="5:8" x14ac:dyDescent="0.25">
      <c r="E290" s="244"/>
      <c r="F290" s="245"/>
      <c r="G290" s="244"/>
      <c r="H290" s="245"/>
    </row>
    <row r="291" spans="5:8" x14ac:dyDescent="0.25">
      <c r="E291" s="244"/>
      <c r="F291" s="245"/>
      <c r="G291" s="244"/>
      <c r="H291" s="245"/>
    </row>
    <row r="292" spans="5:8" x14ac:dyDescent="0.25">
      <c r="E292" s="244"/>
      <c r="F292" s="245"/>
      <c r="G292" s="244"/>
      <c r="H292" s="245"/>
    </row>
    <row r="293" spans="5:8" x14ac:dyDescent="0.25">
      <c r="E293" s="244"/>
      <c r="F293" s="245"/>
      <c r="G293" s="244"/>
      <c r="H293" s="245"/>
    </row>
    <row r="294" spans="5:8" x14ac:dyDescent="0.25">
      <c r="E294" s="244"/>
      <c r="F294" s="245"/>
      <c r="G294" s="244"/>
      <c r="H294" s="245"/>
    </row>
    <row r="295" spans="5:8" x14ac:dyDescent="0.25">
      <c r="E295" s="244"/>
      <c r="F295" s="245"/>
      <c r="G295" s="244"/>
      <c r="H295" s="245"/>
    </row>
    <row r="296" spans="5:8" x14ac:dyDescent="0.25">
      <c r="E296" s="244"/>
      <c r="F296" s="245"/>
      <c r="G296" s="244"/>
      <c r="H296" s="245"/>
    </row>
    <row r="297" spans="5:8" x14ac:dyDescent="0.25">
      <c r="E297" s="244"/>
      <c r="F297" s="245"/>
      <c r="G297" s="244"/>
      <c r="H297" s="245"/>
    </row>
    <row r="298" spans="5:8" x14ac:dyDescent="0.25">
      <c r="E298" s="244"/>
      <c r="F298" s="245"/>
      <c r="G298" s="244"/>
      <c r="H298" s="245"/>
    </row>
    <row r="299" spans="5:8" x14ac:dyDescent="0.25">
      <c r="E299" s="244"/>
      <c r="F299" s="245"/>
      <c r="G299" s="244"/>
      <c r="H299" s="245"/>
    </row>
    <row r="300" spans="5:8" x14ac:dyDescent="0.25">
      <c r="E300" s="244"/>
      <c r="F300" s="245"/>
      <c r="G300" s="244"/>
      <c r="H300" s="245"/>
    </row>
    <row r="301" spans="5:8" x14ac:dyDescent="0.25">
      <c r="E301" s="244"/>
      <c r="F301" s="245"/>
      <c r="G301" s="244"/>
      <c r="H301" s="245"/>
    </row>
    <row r="302" spans="5:8" x14ac:dyDescent="0.25">
      <c r="E302" s="244"/>
      <c r="F302" s="245"/>
      <c r="G302" s="244"/>
      <c r="H302" s="245"/>
    </row>
  </sheetData>
  <customSheetViews>
    <customSheetView guid="{679A3195-3DEA-4AC2-A535-82AAF5B552BC}" state="hidden">
      <selection activeCell="A7" sqref="A7"/>
      <pageMargins left="0.7" right="0.7" top="0.75" bottom="0.75" header="0.3" footer="0.3"/>
    </customSheetView>
    <customSheetView guid="{7378B641-E8D1-4C14-8151-CF4CE159D121}">
      <selection activeCell="E41" sqref="E41"/>
      <pageMargins left="0.7" right="0.7" top="0.75" bottom="0.75" header="0.3" footer="0.3"/>
    </customSheetView>
    <customSheetView guid="{6D63B10B-E1E6-452A-80EB-4B2C7D61CF66}" state="hidden">
      <selection activeCell="A7" sqref="A7"/>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6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50.42578125" customWidth="1"/>
    <col min="5" max="5" width="18.7109375" customWidth="1"/>
    <col min="6" max="6" width="14" customWidth="1"/>
    <col min="7" max="7" width="17.85546875" customWidth="1"/>
  </cols>
  <sheetData>
    <row r="1" spans="1:7" ht="18" customHeight="1" x14ac:dyDescent="0.25">
      <c r="A1" s="3" t="s">
        <v>26</v>
      </c>
      <c r="B1" s="4" t="s">
        <v>3331</v>
      </c>
      <c r="C1" s="535" t="s">
        <v>3058</v>
      </c>
      <c r="D1" s="558" t="str">
        <f>B1</f>
        <v>Instances of Safety Issues Noted in File Review of Advanced Jobs</v>
      </c>
    </row>
    <row r="2" spans="1:7" x14ac:dyDescent="0.25">
      <c r="A2" t="s">
        <v>20</v>
      </c>
      <c r="B2" s="2" t="s">
        <v>60</v>
      </c>
      <c r="C2" s="536" t="s">
        <v>3059</v>
      </c>
    </row>
    <row r="3" spans="1:7" x14ac:dyDescent="0.25">
      <c r="A3" t="s">
        <v>1184</v>
      </c>
      <c r="B3" s="2" t="s">
        <v>1198</v>
      </c>
      <c r="C3" s="536" t="s">
        <v>1193</v>
      </c>
    </row>
    <row r="4" spans="1:7" x14ac:dyDescent="0.25">
      <c r="A4" t="s">
        <v>3136</v>
      </c>
      <c r="B4" s="2" t="s">
        <v>2194</v>
      </c>
      <c r="D4" s="608" t="s">
        <v>2196</v>
      </c>
      <c r="E4" s="605" t="s">
        <v>3172</v>
      </c>
      <c r="F4" s="607" t="s">
        <v>2197</v>
      </c>
      <c r="G4" s="81"/>
    </row>
    <row r="5" spans="1:7" x14ac:dyDescent="0.25">
      <c r="B5" s="2"/>
      <c r="C5" s="2"/>
      <c r="D5" s="82" t="s">
        <v>2198</v>
      </c>
      <c r="E5" s="83">
        <v>7</v>
      </c>
      <c r="F5" s="183" t="s">
        <v>2189</v>
      </c>
      <c r="G5" s="248"/>
    </row>
    <row r="6" spans="1:7" x14ac:dyDescent="0.25">
      <c r="D6" s="82" t="s">
        <v>2199</v>
      </c>
      <c r="E6" s="83">
        <v>3</v>
      </c>
      <c r="F6" s="83">
        <v>2</v>
      </c>
      <c r="G6" s="247"/>
    </row>
    <row r="7" spans="1:7" x14ac:dyDescent="0.25">
      <c r="D7" s="82" t="s">
        <v>2200</v>
      </c>
      <c r="E7" s="83">
        <v>4</v>
      </c>
      <c r="F7" s="83">
        <v>12</v>
      </c>
      <c r="G7" s="188"/>
    </row>
    <row r="8" spans="1:7" x14ac:dyDescent="0.25">
      <c r="D8" s="82" t="s">
        <v>2201</v>
      </c>
      <c r="E8" s="83">
        <v>6</v>
      </c>
      <c r="F8" s="83">
        <v>3</v>
      </c>
    </row>
    <row r="9" spans="1:7" x14ac:dyDescent="0.25">
      <c r="D9" s="82" t="s">
        <v>2202</v>
      </c>
      <c r="E9" s="83">
        <v>2</v>
      </c>
      <c r="F9" s="83">
        <v>0</v>
      </c>
    </row>
    <row r="10" spans="1:7" ht="30" x14ac:dyDescent="0.25">
      <c r="D10" s="82" t="s">
        <v>2203</v>
      </c>
      <c r="E10" s="83">
        <v>1</v>
      </c>
      <c r="F10" s="83">
        <v>4</v>
      </c>
    </row>
    <row r="11" spans="1:7" ht="30" x14ac:dyDescent="0.25">
      <c r="D11" s="82" t="s">
        <v>2204</v>
      </c>
      <c r="E11" s="83">
        <v>7</v>
      </c>
      <c r="F11" s="83">
        <v>7</v>
      </c>
    </row>
    <row r="12" spans="1:7" x14ac:dyDescent="0.25">
      <c r="D12" s="81"/>
      <c r="E12" s="82"/>
      <c r="F12" s="84"/>
    </row>
    <row r="13" spans="1:7" x14ac:dyDescent="0.25">
      <c r="D13" s="81"/>
      <c r="E13" s="82"/>
      <c r="F13" s="84"/>
    </row>
    <row r="14" spans="1:7" x14ac:dyDescent="0.25">
      <c r="D14" s="81"/>
      <c r="E14" s="82"/>
      <c r="F14" s="84"/>
    </row>
    <row r="15" spans="1:7" x14ac:dyDescent="0.25">
      <c r="D15" s="81"/>
      <c r="E15" s="82"/>
    </row>
    <row r="16" spans="1:7" x14ac:dyDescent="0.25">
      <c r="D16" s="81"/>
      <c r="E16" s="82"/>
    </row>
    <row r="17" spans="4:5" x14ac:dyDescent="0.25">
      <c r="D17" s="81"/>
      <c r="E17" s="82"/>
    </row>
    <row r="18" spans="4:5" x14ac:dyDescent="0.25">
      <c r="D18" s="81"/>
      <c r="E18" s="82"/>
    </row>
    <row r="19" spans="4:5" x14ac:dyDescent="0.25">
      <c r="D19" s="81"/>
      <c r="E19" s="82"/>
    </row>
    <row r="20" spans="4:5" x14ac:dyDescent="0.25">
      <c r="D20" s="81"/>
      <c r="E20" s="82"/>
    </row>
    <row r="21" spans="4:5" x14ac:dyDescent="0.25">
      <c r="D21" s="81"/>
      <c r="E21" s="82"/>
    </row>
    <row r="22" spans="4:5" x14ac:dyDescent="0.25">
      <c r="D22" s="81"/>
      <c r="E22" s="82"/>
    </row>
    <row r="23" spans="4:5" x14ac:dyDescent="0.25">
      <c r="D23" s="81"/>
      <c r="E23" s="82"/>
    </row>
    <row r="24" spans="4:5" x14ac:dyDescent="0.25">
      <c r="D24" s="81"/>
      <c r="E24" s="82"/>
    </row>
    <row r="25" spans="4:5" x14ac:dyDescent="0.25">
      <c r="D25" s="81"/>
      <c r="E25" s="82"/>
    </row>
    <row r="26" spans="4:5" x14ac:dyDescent="0.25">
      <c r="D26" s="81"/>
      <c r="E26" s="82"/>
    </row>
    <row r="27" spans="4:5" x14ac:dyDescent="0.25">
      <c r="D27" s="81"/>
      <c r="E27" s="82"/>
    </row>
    <row r="28" spans="4:5" x14ac:dyDescent="0.25">
      <c r="D28" s="81"/>
      <c r="E28" s="82"/>
    </row>
    <row r="29" spans="4:5" x14ac:dyDescent="0.25">
      <c r="D29" s="81"/>
      <c r="E29" s="82"/>
    </row>
    <row r="30" spans="4:5" x14ac:dyDescent="0.25">
      <c r="D30" s="81"/>
      <c r="E30" s="82"/>
    </row>
    <row r="31" spans="4:5" x14ac:dyDescent="0.25">
      <c r="D31" s="81"/>
      <c r="E31" s="82"/>
    </row>
    <row r="32" spans="4:5" x14ac:dyDescent="0.25">
      <c r="D32" s="81"/>
      <c r="E32" s="82"/>
    </row>
    <row r="33" spans="4:5" x14ac:dyDescent="0.25">
      <c r="D33" s="81"/>
      <c r="E33" s="82"/>
    </row>
    <row r="34" spans="4:5" x14ac:dyDescent="0.25">
      <c r="D34" s="81"/>
      <c r="E34" s="82"/>
    </row>
    <row r="35" spans="4:5" x14ac:dyDescent="0.25">
      <c r="D35" s="81"/>
      <c r="E35" s="82"/>
    </row>
    <row r="36" spans="4:5" x14ac:dyDescent="0.25">
      <c r="D36" s="81"/>
      <c r="E36" s="82"/>
    </row>
    <row r="37" spans="4:5" x14ac:dyDescent="0.25">
      <c r="D37" s="81"/>
      <c r="E37" s="82"/>
    </row>
    <row r="38" spans="4:5" x14ac:dyDescent="0.25">
      <c r="D38" s="81"/>
      <c r="E38" s="82"/>
    </row>
    <row r="39" spans="4:5" x14ac:dyDescent="0.25">
      <c r="D39" s="81"/>
      <c r="E39" s="82"/>
    </row>
    <row r="40" spans="4:5" x14ac:dyDescent="0.25">
      <c r="D40" s="81"/>
      <c r="E40" s="82"/>
    </row>
    <row r="41" spans="4:5" x14ac:dyDescent="0.25">
      <c r="D41" s="81"/>
      <c r="E41" s="82"/>
    </row>
    <row r="42" spans="4:5" x14ac:dyDescent="0.25">
      <c r="D42" s="81"/>
      <c r="E42" s="82"/>
    </row>
    <row r="43" spans="4:5" x14ac:dyDescent="0.25">
      <c r="D43" s="81"/>
      <c r="E43" s="82"/>
    </row>
    <row r="44" spans="4:5" x14ac:dyDescent="0.25">
      <c r="D44" s="81"/>
      <c r="E44" s="82"/>
    </row>
    <row r="45" spans="4:5" x14ac:dyDescent="0.25">
      <c r="D45" s="81"/>
      <c r="E45" s="82"/>
    </row>
    <row r="46" spans="4:5" x14ac:dyDescent="0.25">
      <c r="D46" s="81"/>
      <c r="E46" s="82"/>
    </row>
    <row r="47" spans="4:5" x14ac:dyDescent="0.25">
      <c r="D47" s="81"/>
      <c r="E47" s="82"/>
    </row>
    <row r="48" spans="4:5" x14ac:dyDescent="0.25">
      <c r="D48" s="81"/>
      <c r="E48" s="82"/>
    </row>
    <row r="49" spans="5:5" x14ac:dyDescent="0.25">
      <c r="E49" s="82"/>
    </row>
    <row r="50" spans="5:5" x14ac:dyDescent="0.25">
      <c r="E50" s="82"/>
    </row>
    <row r="51" spans="5:5" x14ac:dyDescent="0.25">
      <c r="E51" s="82"/>
    </row>
    <row r="52" spans="5:5" x14ac:dyDescent="0.25">
      <c r="E52" s="82"/>
    </row>
    <row r="53" spans="5:5" x14ac:dyDescent="0.25">
      <c r="E53" s="82"/>
    </row>
    <row r="54" spans="5:5" x14ac:dyDescent="0.25">
      <c r="E54" s="82"/>
    </row>
    <row r="55" spans="5:5" x14ac:dyDescent="0.25">
      <c r="E55" s="82"/>
    </row>
    <row r="56" spans="5:5" x14ac:dyDescent="0.25">
      <c r="E56" s="82"/>
    </row>
    <row r="57" spans="5:5" x14ac:dyDescent="0.25">
      <c r="E57" s="82"/>
    </row>
    <row r="58" spans="5:5" x14ac:dyDescent="0.25">
      <c r="E58" s="82"/>
    </row>
    <row r="59" spans="5:5" x14ac:dyDescent="0.25">
      <c r="E59" s="82"/>
    </row>
    <row r="60" spans="5:5" x14ac:dyDescent="0.25">
      <c r="E60" s="82"/>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C3" sqref="C3"/>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302"/>
  <sheetViews>
    <sheetView topLeftCell="A72" workbookViewId="0">
      <selection activeCell="A7" sqref="A7"/>
    </sheetView>
  </sheetViews>
  <sheetFormatPr defaultRowHeight="15" x14ac:dyDescent="0.25"/>
  <cols>
    <col min="1" max="1" width="16.5703125" customWidth="1"/>
    <col min="2" max="2" width="40.42578125" customWidth="1"/>
    <col min="3" max="3" width="48.28515625" customWidth="1"/>
    <col min="4" max="4" width="32.7109375" customWidth="1"/>
    <col min="5" max="7" width="16.7109375" customWidth="1"/>
  </cols>
  <sheetData>
    <row r="1" spans="1:8" ht="45" x14ac:dyDescent="0.25">
      <c r="A1" s="253" t="str">
        <f>FileReviewW12!A1</f>
        <v>Trkg_IOU</v>
      </c>
      <c r="B1" s="253" t="str">
        <f>FileReviewW12!DN1</f>
        <v>PreQC_RPT_Issue1</v>
      </c>
      <c r="C1" s="253" t="str">
        <f>FileReviewW12!EC1</f>
        <v>PostQC_RPT_Issue1</v>
      </c>
      <c r="D1" s="243" t="str">
        <f>FileReviewW12!ED1</f>
        <v>PostQC_RPT_Issue2</v>
      </c>
      <c r="E1" s="243" t="str">
        <f>FileReviewW12!DJ1</f>
        <v>PreQC_RPT_CombustionSafety_FAIL</v>
      </c>
      <c r="F1" s="243" t="str">
        <f>FileReviewW12!DY1</f>
        <v>PostQC_RPT_CombustionSafety_FAIL</v>
      </c>
      <c r="G1" s="241" t="str">
        <f>FileReviewW12!DK1</f>
        <v>PreQC_RPT_MechanicalVentilation_Required</v>
      </c>
      <c r="H1" s="86" t="str">
        <f>FileReviewW12!DZ1</f>
        <v>PostQC_RPT_MechanicalVentilation_Required</v>
      </c>
    </row>
    <row r="2" spans="1:8" x14ac:dyDescent="0.25">
      <c r="A2" s="186" t="str">
        <f>FileReviewW12!A2</f>
        <v>SCE</v>
      </c>
      <c r="B2" s="186">
        <f>FileReviewW12!DN2</f>
        <v>0</v>
      </c>
      <c r="C2" s="186" t="str">
        <f>FileReviewW12!EC2</f>
        <v>Asbestos possible in ducts</v>
      </c>
      <c r="D2" s="242" t="str">
        <f>FileReviewW12!ED2</f>
        <v>Gas leakage at furnace</v>
      </c>
      <c r="E2" s="245">
        <f>FileReviewW12!DJ2</f>
        <v>0</v>
      </c>
      <c r="F2" s="244">
        <f>FileReviewW12!DY2</f>
        <v>0</v>
      </c>
      <c r="G2" s="245">
        <f>FileReviewW12!DK2</f>
        <v>0</v>
      </c>
      <c r="H2" s="161">
        <f>FileReviewW12!DZ2</f>
        <v>0</v>
      </c>
    </row>
    <row r="3" spans="1:8" x14ac:dyDescent="0.25">
      <c r="A3" s="186" t="str">
        <f>FileReviewW12!A3</f>
        <v>SCE</v>
      </c>
      <c r="B3" s="186" t="str">
        <f>FileReviewW12!DN3</f>
        <v>Possible asbestos in ducts, 28% assumed</v>
      </c>
      <c r="C3" s="186" t="str">
        <f>FileReviewW12!EC3</f>
        <v>Building leakage not reduced to .35ACH or 14%</v>
      </c>
      <c r="D3" s="242">
        <f>FileReviewW12!ED3</f>
        <v>0</v>
      </c>
      <c r="E3" s="245" t="b">
        <f>FileReviewW12!DJ3</f>
        <v>0</v>
      </c>
      <c r="F3" s="244" t="b">
        <f>FileReviewW12!DY3</f>
        <v>0</v>
      </c>
      <c r="G3" s="245" t="b">
        <f>FileReviewW12!DK3</f>
        <v>0</v>
      </c>
      <c r="H3" s="161" t="b">
        <f>FileReviewW12!DZ3</f>
        <v>0</v>
      </c>
    </row>
    <row r="4" spans="1:8" x14ac:dyDescent="0.25">
      <c r="A4" s="186" t="str">
        <f>FileReviewW12!A4</f>
        <v>SCE</v>
      </c>
      <c r="B4" s="186" t="str">
        <f>FileReviewW12!DN4</f>
        <v>Possible asbestos in ducts, 28% assumed</v>
      </c>
      <c r="C4" s="186" t="str">
        <f>FileReviewW12!EC4</f>
        <v>Mechanical ventilation recommended - 75% of BAS</v>
      </c>
      <c r="D4" s="242">
        <f>FileReviewW12!ED4</f>
        <v>0</v>
      </c>
      <c r="E4" s="245" t="b">
        <f>FileReviewW12!DJ4</f>
        <v>1</v>
      </c>
      <c r="F4" s="244" t="b">
        <f>FileReviewW12!DY4</f>
        <v>0</v>
      </c>
      <c r="G4" s="245" t="b">
        <f>FileReviewW12!DK4</f>
        <v>0</v>
      </c>
      <c r="H4" s="161" t="b">
        <f>FileReviewW12!DZ4</f>
        <v>1</v>
      </c>
    </row>
    <row r="5" spans="1:8" ht="30" x14ac:dyDescent="0.25">
      <c r="A5" s="186" t="str">
        <f>FileReviewW12!A5</f>
        <v>SCE</v>
      </c>
      <c r="B5" s="249" t="str">
        <f>FileReviewW12!DN5</f>
        <v>Duct test did not reach pressure</v>
      </c>
      <c r="C5" s="2" t="str">
        <f>FileReviewW12!EC5</f>
        <v>Contractor to install mechanical ventilation - 60% of BAS</v>
      </c>
      <c r="D5" s="242">
        <f>FileReviewW12!ED5</f>
        <v>0</v>
      </c>
      <c r="E5" s="245" t="b">
        <f>FileReviewW12!DJ5</f>
        <v>1</v>
      </c>
      <c r="F5" s="244" t="b">
        <f>FileReviewW12!DY5</f>
        <v>0</v>
      </c>
      <c r="G5" s="245">
        <f>FileReviewW12!DK5</f>
        <v>0</v>
      </c>
      <c r="H5" t="b">
        <f>FileReviewW12!DZ5</f>
        <v>1</v>
      </c>
    </row>
    <row r="6" spans="1:8" x14ac:dyDescent="0.25">
      <c r="A6" s="186" t="str">
        <f>FileReviewW12!A6</f>
        <v>SCE</v>
      </c>
      <c r="B6" s="186" t="str">
        <f>FileReviewW12!DN6</f>
        <v>Mechanical ventilation required</v>
      </c>
      <c r="C6" s="2">
        <f>FileReviewW12!EC6</f>
        <v>0</v>
      </c>
      <c r="D6" s="242">
        <f>FileReviewW12!ED6</f>
        <v>0</v>
      </c>
      <c r="E6" s="245" t="b">
        <f>FileReviewW12!DJ6</f>
        <v>0</v>
      </c>
      <c r="F6" s="244" t="b">
        <f>FileReviewW12!DY6</f>
        <v>0</v>
      </c>
      <c r="G6" s="245" t="b">
        <f>FileReviewW12!DK6</f>
        <v>1</v>
      </c>
      <c r="H6" t="b">
        <f>FileReviewW12!DZ6</f>
        <v>1</v>
      </c>
    </row>
    <row r="7" spans="1:8" x14ac:dyDescent="0.25">
      <c r="A7" s="186" t="str">
        <f>FileReviewW12!A7</f>
        <v>SCE</v>
      </c>
      <c r="B7" s="96">
        <f>FileReviewW12!DN7</f>
        <v>0</v>
      </c>
      <c r="C7" s="2">
        <f>FileReviewW12!EC7</f>
        <v>0</v>
      </c>
      <c r="D7" s="242">
        <f>FileReviewW12!ED7</f>
        <v>0</v>
      </c>
      <c r="E7" s="245">
        <f>FileReviewW12!DJ7</f>
        <v>0</v>
      </c>
      <c r="F7" s="244" t="b">
        <f>FileReviewW12!DY7</f>
        <v>0</v>
      </c>
      <c r="G7" s="245">
        <f>FileReviewW12!DK7</f>
        <v>0</v>
      </c>
      <c r="H7" t="b">
        <f>FileReviewW12!DZ7</f>
        <v>0</v>
      </c>
    </row>
    <row r="8" spans="1:8" x14ac:dyDescent="0.25">
      <c r="A8" s="186" t="str">
        <f>FileReviewW12!A8</f>
        <v>SCE</v>
      </c>
      <c r="B8" s="96">
        <f>FileReviewW12!DN8</f>
        <v>0</v>
      </c>
      <c r="C8" s="2">
        <f>FileReviewW12!EC8</f>
        <v>0</v>
      </c>
      <c r="D8" s="242">
        <f>FileReviewW12!ED8</f>
        <v>0</v>
      </c>
      <c r="E8" s="245" t="b">
        <f>FileReviewW12!DJ8</f>
        <v>0</v>
      </c>
      <c r="F8" s="244" t="b">
        <f>FileReviewW12!DY8</f>
        <v>0</v>
      </c>
      <c r="G8" s="245" t="b">
        <f>FileReviewW12!DK8</f>
        <v>0</v>
      </c>
      <c r="H8" t="b">
        <f>FileReviewW12!DZ8</f>
        <v>0</v>
      </c>
    </row>
    <row r="9" spans="1:8" x14ac:dyDescent="0.25">
      <c r="A9" s="186" t="str">
        <f>FileReviewW12!A9</f>
        <v>SCE</v>
      </c>
      <c r="B9" s="96" t="str">
        <f>FileReviewW12!DN9</f>
        <v>Possible asbestos in ducts</v>
      </c>
      <c r="C9" s="2">
        <f>FileReviewW12!EC9</f>
        <v>0</v>
      </c>
      <c r="D9" s="242">
        <f>FileReviewW12!ED9</f>
        <v>0</v>
      </c>
      <c r="E9" s="245" t="b">
        <f>FileReviewW12!DJ9</f>
        <v>0</v>
      </c>
      <c r="F9" s="244" t="b">
        <f>FileReviewW12!DY9</f>
        <v>0</v>
      </c>
      <c r="G9" s="245" t="b">
        <f>FileReviewW12!DK9</f>
        <v>0</v>
      </c>
      <c r="H9" t="b">
        <f>FileReviewW12!DZ9</f>
        <v>0</v>
      </c>
    </row>
    <row r="10" spans="1:8" x14ac:dyDescent="0.25">
      <c r="A10" s="186" t="str">
        <f>FileReviewW12!A10</f>
        <v>SCE</v>
      </c>
      <c r="B10" s="96" t="str">
        <f>FileReviewW12!DN10</f>
        <v>Possible asbestos in ducts</v>
      </c>
      <c r="C10" s="2">
        <f>FileReviewW12!EC10</f>
        <v>0</v>
      </c>
      <c r="D10" s="242">
        <f>FileReviewW12!ED10</f>
        <v>0</v>
      </c>
      <c r="E10" s="245" t="b">
        <f>FileReviewW12!DJ10</f>
        <v>0</v>
      </c>
      <c r="F10" s="244">
        <f>FileReviewW12!DY10</f>
        <v>0</v>
      </c>
      <c r="G10" s="245" t="b">
        <f>FileReviewW12!DK10</f>
        <v>0</v>
      </c>
      <c r="H10">
        <f>FileReviewW12!DZ10</f>
        <v>0</v>
      </c>
    </row>
    <row r="11" spans="1:8" x14ac:dyDescent="0.25">
      <c r="A11" s="186" t="str">
        <f>FileReviewW12!A11</f>
        <v>SCE</v>
      </c>
      <c r="B11" s="96">
        <f>FileReviewW12!DN11</f>
        <v>0</v>
      </c>
      <c r="C11" s="2">
        <f>FileReviewW12!EC11</f>
        <v>0</v>
      </c>
      <c r="D11" s="242">
        <f>FileReviewW12!ED11</f>
        <v>0</v>
      </c>
      <c r="E11" s="245">
        <f>FileReviewW12!DJ11</f>
        <v>0</v>
      </c>
      <c r="F11" s="244">
        <f>FileReviewW12!DY11</f>
        <v>0</v>
      </c>
      <c r="G11" s="245">
        <f>FileReviewW12!DK11</f>
        <v>0</v>
      </c>
      <c r="H11">
        <f>FileReviewW12!DZ11</f>
        <v>0</v>
      </c>
    </row>
    <row r="12" spans="1:8" x14ac:dyDescent="0.25">
      <c r="A12" s="186" t="str">
        <f>FileReviewW12!A12</f>
        <v>SCE</v>
      </c>
      <c r="B12" s="96">
        <f>FileReviewW12!DN12</f>
        <v>0</v>
      </c>
      <c r="C12" s="2">
        <f>FileReviewW12!EC12</f>
        <v>0</v>
      </c>
      <c r="D12" s="242">
        <f>FileReviewW12!ED12</f>
        <v>0</v>
      </c>
      <c r="E12" s="245">
        <f>FileReviewW12!DJ12</f>
        <v>0</v>
      </c>
      <c r="F12" s="244" t="b">
        <f>FileReviewW12!DY12</f>
        <v>0</v>
      </c>
      <c r="G12" s="245">
        <f>FileReviewW12!DK12</f>
        <v>0</v>
      </c>
      <c r="H12" t="b">
        <f>FileReviewW12!DZ12</f>
        <v>0</v>
      </c>
    </row>
    <row r="13" spans="1:8" x14ac:dyDescent="0.25">
      <c r="A13" s="186" t="str">
        <f>FileReviewW12!A13</f>
        <v>SCE</v>
      </c>
      <c r="B13" s="250">
        <f>FileReviewW12!DN13</f>
        <v>0</v>
      </c>
      <c r="C13" s="2">
        <f>FileReviewW12!EC13</f>
        <v>0</v>
      </c>
      <c r="D13" s="242">
        <f>FileReviewW12!ED13</f>
        <v>0</v>
      </c>
      <c r="E13" s="245" t="b">
        <f>FileReviewW12!DJ13</f>
        <v>0</v>
      </c>
      <c r="F13" s="244" t="b">
        <f>FileReviewW12!DY13</f>
        <v>0</v>
      </c>
      <c r="G13" s="245" t="b">
        <f>FileReviewW12!DK13</f>
        <v>0</v>
      </c>
      <c r="H13" t="b">
        <f>FileReviewW12!DZ13</f>
        <v>1</v>
      </c>
    </row>
    <row r="14" spans="1:8" x14ac:dyDescent="0.25">
      <c r="A14" s="186" t="str">
        <f>FileReviewW12!A14</f>
        <v>SCE</v>
      </c>
      <c r="B14" s="96" t="str">
        <f>FileReviewW12!DN14</f>
        <v>CAZ failed</v>
      </c>
      <c r="C14" s="2" t="str">
        <f>FileReviewW12!EC14</f>
        <v>CAZ failed</v>
      </c>
      <c r="D14" s="242">
        <f>FileReviewW12!ED14</f>
        <v>0</v>
      </c>
      <c r="E14" s="245" t="b">
        <f>FileReviewW12!DJ14</f>
        <v>1</v>
      </c>
      <c r="F14" s="244" t="b">
        <f>FileReviewW12!DY14</f>
        <v>1</v>
      </c>
      <c r="G14" s="245" t="b">
        <f>FileReviewW12!DK14</f>
        <v>0</v>
      </c>
      <c r="H14" t="b">
        <f>FileReviewW12!DZ14</f>
        <v>1</v>
      </c>
    </row>
    <row r="15" spans="1:8" ht="30" x14ac:dyDescent="0.25">
      <c r="A15" s="186" t="str">
        <f>FileReviewW12!A15</f>
        <v>SCE</v>
      </c>
      <c r="B15" s="96" t="str">
        <f>FileReviewW12!DN15</f>
        <v>Possible asbestos in duct - no test</v>
      </c>
      <c r="C15" s="2" t="str">
        <f>FileReviewW12!EC15</f>
        <v>Outside DHW CAZ failed</v>
      </c>
      <c r="D15" s="242" t="str">
        <f>FileReviewW12!ED15</f>
        <v>Shower thermostat valve not installed</v>
      </c>
      <c r="E15" s="245" t="b">
        <f>FileReviewW12!DJ15</f>
        <v>0</v>
      </c>
      <c r="F15" s="244" t="b">
        <f>FileReviewW12!DY15</f>
        <v>1</v>
      </c>
      <c r="G15" s="245" t="b">
        <f>FileReviewW12!DK15</f>
        <v>0</v>
      </c>
      <c r="H15" t="b">
        <f>FileReviewW12!DZ15</f>
        <v>0</v>
      </c>
    </row>
    <row r="16" spans="1:8" x14ac:dyDescent="0.25">
      <c r="A16" s="186" t="str">
        <f>FileReviewW12!A16</f>
        <v>SCE</v>
      </c>
      <c r="B16" s="96">
        <f>FileReviewW12!DN16</f>
        <v>0</v>
      </c>
      <c r="C16" s="2" t="str">
        <f>FileReviewW12!EC16</f>
        <v>Mechanical ventilation required</v>
      </c>
      <c r="D16" s="242">
        <f>FileReviewW12!ED16</f>
        <v>0</v>
      </c>
      <c r="E16" s="245" t="b">
        <f>FileReviewW12!DJ16</f>
        <v>0</v>
      </c>
      <c r="F16" s="244" t="b">
        <f>FileReviewW12!DY16</f>
        <v>0</v>
      </c>
      <c r="G16" s="245" t="b">
        <f>FileReviewW12!DK16</f>
        <v>0</v>
      </c>
      <c r="H16" t="b">
        <f>FileReviewW12!DZ16</f>
        <v>1</v>
      </c>
    </row>
    <row r="17" spans="1:8" ht="30" x14ac:dyDescent="0.25">
      <c r="A17" s="186" t="str">
        <f>FileReviewW12!A17</f>
        <v>SCE</v>
      </c>
      <c r="B17" s="96" t="str">
        <f>FileReviewW12!DN17</f>
        <v>Possible asbestos in duct - no test</v>
      </c>
      <c r="C17" s="2" t="str">
        <f>FileReviewW12!EC17</f>
        <v>Post duct-leakage does not meet minimum requirements</v>
      </c>
      <c r="D17" s="242" t="str">
        <f>FileReviewW12!ED17</f>
        <v>Post building leakage does not meet minimum requirements</v>
      </c>
      <c r="E17" s="245" t="b">
        <f>FileReviewW12!DJ17</f>
        <v>0</v>
      </c>
      <c r="F17" s="244" t="b">
        <f>FileReviewW12!DY17</f>
        <v>0</v>
      </c>
      <c r="G17" s="245" t="b">
        <f>FileReviewW12!DK17</f>
        <v>0</v>
      </c>
      <c r="H17" t="b">
        <f>FileReviewW12!DZ17</f>
        <v>0</v>
      </c>
    </row>
    <row r="18" spans="1:8" ht="30" x14ac:dyDescent="0.25">
      <c r="A18" s="186" t="str">
        <f>FileReviewW12!A18</f>
        <v>SCE</v>
      </c>
      <c r="B18" s="96">
        <f>FileReviewW12!DN18</f>
        <v>0</v>
      </c>
      <c r="C18" s="2" t="str">
        <f>FileReviewW12!EC18</f>
        <v>Post duct-leakage does not meet minimum requirements</v>
      </c>
      <c r="D18" s="242" t="str">
        <f>FileReviewW12!ED18</f>
        <v>Post building leakage does not meet minimum requirements</v>
      </c>
      <c r="E18" s="245">
        <f>FileReviewW12!DJ18</f>
        <v>0</v>
      </c>
      <c r="F18" s="244" t="b">
        <f>FileReviewW12!DY18</f>
        <v>0</v>
      </c>
      <c r="G18" s="245">
        <f>FileReviewW12!DK18</f>
        <v>0</v>
      </c>
      <c r="H18" t="b">
        <f>FileReviewW12!DZ18</f>
        <v>0</v>
      </c>
    </row>
    <row r="19" spans="1:8" x14ac:dyDescent="0.25">
      <c r="A19" s="186" t="str">
        <f>FileReviewW12!A19</f>
        <v>SCE</v>
      </c>
      <c r="B19" s="96">
        <f>FileReviewW12!DN19</f>
        <v>0</v>
      </c>
      <c r="C19" s="2">
        <f>FileReviewW12!EC19</f>
        <v>0</v>
      </c>
      <c r="D19" s="242">
        <f>FileReviewW12!ED19</f>
        <v>0</v>
      </c>
      <c r="E19" s="245">
        <f>FileReviewW12!DJ19</f>
        <v>0</v>
      </c>
      <c r="F19" s="244" t="b">
        <f>FileReviewW12!DY19</f>
        <v>0</v>
      </c>
      <c r="G19" s="245">
        <f>FileReviewW12!DK19</f>
        <v>0</v>
      </c>
      <c r="H19" t="b">
        <f>FileReviewW12!DZ19</f>
        <v>0</v>
      </c>
    </row>
    <row r="20" spans="1:8" x14ac:dyDescent="0.25">
      <c r="A20" s="186" t="str">
        <f>FileReviewW12!A20</f>
        <v>SCE</v>
      </c>
      <c r="B20" s="250">
        <f>FileReviewW12!DN20</f>
        <v>0</v>
      </c>
      <c r="C20" s="2" t="str">
        <f>FileReviewW12!EC20</f>
        <v>CAZ failed worst-case conditions</v>
      </c>
      <c r="D20" s="242">
        <f>FileReviewW12!ED20</f>
        <v>0</v>
      </c>
      <c r="E20" s="245" t="b">
        <f>FileReviewW12!DJ20</f>
        <v>0</v>
      </c>
      <c r="F20" s="244" t="b">
        <f>FileReviewW12!DY20</f>
        <v>1</v>
      </c>
      <c r="G20" s="245" t="b">
        <f>FileReviewW12!DK20</f>
        <v>0</v>
      </c>
      <c r="H20" t="b">
        <f>FileReviewW12!DZ20</f>
        <v>0</v>
      </c>
    </row>
    <row r="21" spans="1:8" ht="30" x14ac:dyDescent="0.25">
      <c r="A21" s="186" t="str">
        <f>FileReviewW12!A21</f>
        <v>SCE</v>
      </c>
      <c r="B21" s="96">
        <f>FileReviewW12!DN21</f>
        <v>0</v>
      </c>
      <c r="C21" s="2" t="str">
        <f>FileReviewW12!EC21</f>
        <v>Failed CAZ testing</v>
      </c>
      <c r="D21" s="242" t="str">
        <f>FileReviewW12!ED21</f>
        <v>Mechanical ventilation required, not installed</v>
      </c>
      <c r="E21" s="245">
        <f>FileReviewW12!DJ21</f>
        <v>0</v>
      </c>
      <c r="F21" s="244" t="b">
        <f>FileReviewW12!DY21</f>
        <v>1</v>
      </c>
      <c r="G21" s="245">
        <f>FileReviewW12!DK21</f>
        <v>0</v>
      </c>
      <c r="H21" t="b">
        <f>FileReviewW12!DZ21</f>
        <v>1</v>
      </c>
    </row>
    <row r="22" spans="1:8" x14ac:dyDescent="0.25">
      <c r="A22" s="186" t="str">
        <f>FileReviewW12!A22</f>
        <v>SCE</v>
      </c>
      <c r="B22" s="96">
        <f>FileReviewW12!DN22</f>
        <v>0</v>
      </c>
      <c r="C22" s="2">
        <f>FileReviewW12!EC22</f>
        <v>0</v>
      </c>
      <c r="D22" s="242">
        <f>FileReviewW12!ED22</f>
        <v>0</v>
      </c>
      <c r="E22" s="245" t="b">
        <f>FileReviewW12!DJ22</f>
        <v>0</v>
      </c>
      <c r="F22" s="244" t="b">
        <f>FileReviewW12!DY22</f>
        <v>0</v>
      </c>
      <c r="G22" s="245" t="b">
        <f>FileReviewW12!DK22</f>
        <v>0</v>
      </c>
      <c r="H22" t="b">
        <f>FileReviewW12!DZ22</f>
        <v>0</v>
      </c>
    </row>
    <row r="23" spans="1:8" x14ac:dyDescent="0.25">
      <c r="A23" s="186" t="str">
        <f>FileReviewW12!A23</f>
        <v>SCE</v>
      </c>
      <c r="B23" s="96" t="str">
        <f>FileReviewW12!DN23</f>
        <v>Failed CAZ</v>
      </c>
      <c r="C23" s="2" t="str">
        <f>FileReviewW12!EC23</f>
        <v>CAZ failed</v>
      </c>
      <c r="D23" s="242">
        <f>FileReviewW12!ED23</f>
        <v>0</v>
      </c>
      <c r="E23" s="245" t="b">
        <f>FileReviewW12!DJ23</f>
        <v>1</v>
      </c>
      <c r="F23" s="244" t="b">
        <f>FileReviewW12!DY23</f>
        <v>1</v>
      </c>
      <c r="G23" s="245" t="b">
        <f>FileReviewW12!DK23</f>
        <v>0</v>
      </c>
      <c r="H23" t="b">
        <f>FileReviewW12!DZ23</f>
        <v>0</v>
      </c>
    </row>
    <row r="24" spans="1:8" x14ac:dyDescent="0.25">
      <c r="A24" s="186" t="str">
        <f>FileReviewW12!A24</f>
        <v>PG&amp;E</v>
      </c>
      <c r="B24" s="96" t="str">
        <f>FileReviewW12!DN24</f>
        <v>ACHn incorrect</v>
      </c>
      <c r="C24" s="2">
        <f>FileReviewW12!EC24</f>
        <v>0</v>
      </c>
      <c r="D24" s="242">
        <f>FileReviewW12!ED24</f>
        <v>0</v>
      </c>
      <c r="E24" s="245" t="b">
        <f>FileReviewW12!DJ24</f>
        <v>0</v>
      </c>
      <c r="F24" s="244">
        <f>FileReviewW12!DY24</f>
        <v>0</v>
      </c>
      <c r="G24" s="245" t="b">
        <f>FileReviewW12!DK24</f>
        <v>0</v>
      </c>
      <c r="H24">
        <f>FileReviewW12!DZ24</f>
        <v>0</v>
      </c>
    </row>
    <row r="25" spans="1:8" x14ac:dyDescent="0.25">
      <c r="A25" s="186" t="str">
        <f>FileReviewW12!A25</f>
        <v>PG&amp;E</v>
      </c>
      <c r="B25" s="96">
        <f>FileReviewW12!DN25</f>
        <v>0</v>
      </c>
      <c r="C25" s="2">
        <f>FileReviewW12!EC25</f>
        <v>0</v>
      </c>
      <c r="D25" s="242">
        <f>FileReviewW12!ED25</f>
        <v>0</v>
      </c>
      <c r="E25" s="245" t="b">
        <f>FileReviewW12!DJ25</f>
        <v>0</v>
      </c>
      <c r="F25" s="244" t="b">
        <f>FileReviewW12!DY25</f>
        <v>0</v>
      </c>
      <c r="G25" s="245" t="b">
        <f>FileReviewW12!DK25</f>
        <v>0</v>
      </c>
      <c r="H25" t="b">
        <f>FileReviewW12!DZ25</f>
        <v>1</v>
      </c>
    </row>
    <row r="26" spans="1:8" ht="30" x14ac:dyDescent="0.25">
      <c r="A26" s="186" t="str">
        <f>FileReviewW12!A26</f>
        <v>PG&amp;E</v>
      </c>
      <c r="B26" s="250">
        <f>FileReviewW12!DN26</f>
        <v>0</v>
      </c>
      <c r="C26" s="2" t="str">
        <f>FileReviewW12!EC26</f>
        <v>1. CAZ Net Depressurization calculated incorrectly, please correct.</v>
      </c>
      <c r="D26" s="242">
        <f>FileReviewW12!ED26</f>
        <v>0</v>
      </c>
      <c r="E26" s="245" t="b">
        <f>FileReviewW12!DJ26</f>
        <v>0</v>
      </c>
      <c r="F26" s="244" t="b">
        <f>FileReviewW12!DY26</f>
        <v>0</v>
      </c>
      <c r="G26" s="245" t="b">
        <f>FileReviewW12!DK26</f>
        <v>1</v>
      </c>
      <c r="H26" t="b">
        <f>FileReviewW12!DZ26</f>
        <v>1</v>
      </c>
    </row>
    <row r="27" spans="1:8" x14ac:dyDescent="0.25">
      <c r="A27" s="186" t="str">
        <f>FileReviewW12!A27</f>
        <v>PG&amp;E</v>
      </c>
      <c r="B27" s="96">
        <f>FileReviewW12!DN27</f>
        <v>0</v>
      </c>
      <c r="C27" s="2">
        <f>FileReviewW12!EC27</f>
        <v>0</v>
      </c>
      <c r="D27" s="242">
        <f>FileReviewW12!ED27</f>
        <v>0</v>
      </c>
      <c r="E27" s="245" t="b">
        <f>FileReviewW12!DJ27</f>
        <v>0</v>
      </c>
      <c r="F27" s="244" t="b">
        <f>FileReviewW12!DY27</f>
        <v>0</v>
      </c>
      <c r="G27" s="245" t="b">
        <f>FileReviewW12!DK27</f>
        <v>0</v>
      </c>
      <c r="H27" t="b">
        <f>FileReviewW12!DZ27</f>
        <v>0</v>
      </c>
    </row>
    <row r="28" spans="1:8" ht="30" x14ac:dyDescent="0.25">
      <c r="A28" s="186" t="str">
        <f>FileReviewW12!A28</f>
        <v>PG&amp;E</v>
      </c>
      <c r="B28" s="96">
        <f>FileReviewW12!DN28</f>
        <v>0</v>
      </c>
      <c r="C28" s="2" t="str">
        <f>FileReviewW12!EC28</f>
        <v xml:space="preserve">1. Scope of work is showing R-50 insulation, Energy pro model is showing R66. Please correct </v>
      </c>
      <c r="D28" s="242">
        <f>FileReviewW12!ED28</f>
        <v>0</v>
      </c>
      <c r="E28" s="245" t="b">
        <f>FileReviewW12!DJ28</f>
        <v>1</v>
      </c>
      <c r="F28" s="244" t="b">
        <f>FileReviewW12!DY28</f>
        <v>0</v>
      </c>
      <c r="G28" s="245" t="b">
        <f>FileReviewW12!DK28</f>
        <v>0</v>
      </c>
      <c r="H28" t="b">
        <f>FileReviewW12!DZ28</f>
        <v>1</v>
      </c>
    </row>
    <row r="29" spans="1:8" x14ac:dyDescent="0.25">
      <c r="A29" s="186" t="str">
        <f>FileReviewW12!A29</f>
        <v>PG&amp;E</v>
      </c>
      <c r="B29" s="96">
        <f>FileReviewW12!DN29</f>
        <v>0</v>
      </c>
      <c r="C29" s="2">
        <f>FileReviewW12!EC29</f>
        <v>0</v>
      </c>
      <c r="D29" s="242">
        <f>FileReviewW12!ED29</f>
        <v>0</v>
      </c>
      <c r="E29" s="245" t="b">
        <f>FileReviewW12!DJ29</f>
        <v>0</v>
      </c>
      <c r="F29" s="244" t="b">
        <f>FileReviewW12!DY29</f>
        <v>0</v>
      </c>
      <c r="G29" s="245" t="b">
        <f>FileReviewW12!DK29</f>
        <v>0</v>
      </c>
      <c r="H29" t="b">
        <f>FileReviewW12!DZ29</f>
        <v>1</v>
      </c>
    </row>
    <row r="30" spans="1:8" ht="45" x14ac:dyDescent="0.25">
      <c r="A30" s="186" t="str">
        <f>FileReviewW12!A30</f>
        <v>PG&amp;E</v>
      </c>
      <c r="B30" s="96" t="str">
        <f>FileReviewW12!DN30</f>
        <v>water heater fail, CO 32 ppm, draft -2.3</v>
      </c>
      <c r="C30" s="2" t="str">
        <f>FileReviewW12!EC30</f>
        <v xml:space="preserve">1) The Cas form is missing the test out data for the CAZ and the duct test. Please fix and return to Build It Green. </v>
      </c>
      <c r="D30" s="242">
        <f>FileReviewW12!ED30</f>
        <v>0</v>
      </c>
      <c r="E30" s="245" t="b">
        <f>FileReviewW12!DJ30</f>
        <v>0</v>
      </c>
      <c r="F30" s="244" t="b">
        <f>FileReviewW12!DY30</f>
        <v>0</v>
      </c>
      <c r="G30" s="245" t="b">
        <f>FileReviewW12!DK30</f>
        <v>0</v>
      </c>
      <c r="H30" t="b">
        <f>FileReviewW12!DZ30</f>
        <v>1</v>
      </c>
    </row>
    <row r="31" spans="1:8" ht="120" x14ac:dyDescent="0.25">
      <c r="A31" s="186" t="str">
        <f>FileReviewW12!A31</f>
        <v>PG&amp;E</v>
      </c>
      <c r="B31" s="250" t="str">
        <f>FileReviewW12!DN31</f>
        <v xml:space="preserve">1. The CAS Measurements Form is missing relevant CAZ testing results. Please explain why it is not tested and or provide ALL CAZ test results and resubmit if you have results. If you do not Build It Green will except measurements through the first day of the upgrade work. Please submit for review. </v>
      </c>
      <c r="C31" s="2" t="str">
        <f>FileReviewW12!EC31</f>
        <v xml:space="preserve">1. CAZ Zone portion of the CAS Measurements Sheets is not filled out correctly. Please refer to the BPI Technical Standards Pg. 14/17 and correct the form. </v>
      </c>
      <c r="D31" s="242" t="str">
        <f>FileReviewW12!ED31</f>
        <v xml:space="preserve">2. Duct Sealing and Insulation not noted in scope of work/contract, but is included in the Energy Pro alternatives. Please clarify or correct energy pro model. </v>
      </c>
      <c r="E31" s="245" t="b">
        <f>FileReviewW12!DJ31</f>
        <v>0</v>
      </c>
      <c r="F31" s="244" t="b">
        <f>FileReviewW12!DY31</f>
        <v>1</v>
      </c>
      <c r="G31" s="245" t="b">
        <f>FileReviewW12!DK31</f>
        <v>0</v>
      </c>
      <c r="H31" t="b">
        <f>FileReviewW12!DZ31</f>
        <v>0</v>
      </c>
    </row>
    <row r="32" spans="1:8" ht="65.25" customHeight="1" x14ac:dyDescent="0.25">
      <c r="A32" s="186" t="str">
        <f>FileReviewW12!A32</f>
        <v>PG&amp;E</v>
      </c>
      <c r="B32" s="96" t="str">
        <f>FileReviewW12!DN32</f>
        <v>1. Energy Pro Duct leakage needs to be recalculated - 420/(70*21.7)</v>
      </c>
      <c r="C32" s="2">
        <f>FileReviewW12!EC32</f>
        <v>0</v>
      </c>
      <c r="D32" s="242">
        <f>FileReviewW12!ED32</f>
        <v>0</v>
      </c>
      <c r="E32" s="245" t="b">
        <f>FileReviewW12!DJ32</f>
        <v>0</v>
      </c>
      <c r="F32" s="244" t="b">
        <f>FileReviewW12!DY32</f>
        <v>0</v>
      </c>
      <c r="G32" s="245" t="b">
        <f>FileReviewW12!DK32</f>
        <v>0</v>
      </c>
      <c r="H32" t="b">
        <f>FileReviewW12!DZ32</f>
        <v>0</v>
      </c>
    </row>
    <row r="33" spans="1:8" ht="75" x14ac:dyDescent="0.25">
      <c r="A33" s="186" t="str">
        <f>FileReviewW12!A33</f>
        <v>PG&amp;E</v>
      </c>
      <c r="B33" s="96" t="str">
        <f>FileReviewW12!DN33</f>
        <v>1) There are no CAZ test results or CAS test results for the primary heating system. Please collect missing data upon start of job and provide updated test-in results to Build It Green.</v>
      </c>
      <c r="C33" s="2" t="str">
        <f>FileReviewW12!EC33</f>
        <v xml:space="preserve">1) The Duct Leakage cfm on the CAS Form does not match the credit taken in the Energy Pro bld model. Please fix and return to Build It Green. </v>
      </c>
      <c r="D33" s="242">
        <f>FileReviewW12!ED33</f>
        <v>0</v>
      </c>
      <c r="E33" s="245" t="b">
        <f>FileReviewW12!DJ33</f>
        <v>1</v>
      </c>
      <c r="F33" s="244" t="b">
        <f>FileReviewW12!DY33</f>
        <v>0</v>
      </c>
      <c r="G33" s="245" t="b">
        <f>FileReviewW12!DK33</f>
        <v>0</v>
      </c>
      <c r="H33" t="b">
        <f>FileReviewW12!DZ33</f>
        <v>0</v>
      </c>
    </row>
    <row r="34" spans="1:8" x14ac:dyDescent="0.25">
      <c r="A34" s="186" t="str">
        <f>FileReviewW12!A34</f>
        <v>PG&amp;E</v>
      </c>
      <c r="B34" s="96">
        <f>FileReviewW12!DN34</f>
        <v>0</v>
      </c>
      <c r="C34" s="2">
        <f>FileReviewW12!EC34</f>
        <v>0</v>
      </c>
      <c r="D34" s="242">
        <f>FileReviewW12!ED34</f>
        <v>0</v>
      </c>
      <c r="E34" s="245">
        <f>FileReviewW12!DJ34</f>
        <v>0</v>
      </c>
      <c r="F34" s="244" t="b">
        <f>FileReviewW12!DY34</f>
        <v>0</v>
      </c>
      <c r="G34" s="245">
        <f>FileReviewW12!DK34</f>
        <v>0</v>
      </c>
      <c r="H34" t="b">
        <f>FileReviewW12!DZ34</f>
        <v>0</v>
      </c>
    </row>
    <row r="35" spans="1:8" ht="75" x14ac:dyDescent="0.25">
      <c r="A35" s="186" t="str">
        <f>FileReviewW12!A35</f>
        <v>PG&amp;E</v>
      </c>
      <c r="B35" s="250" t="str">
        <f>FileReviewW12!DN35</f>
        <v>No Combustion air.. Add combustion air</v>
      </c>
      <c r="C35" s="2" t="str">
        <f>FileReviewW12!EC35</f>
        <v xml:space="preserve">Airflow and Duct Leakage, CFM 25: No testing... b/c all ducts are unaccessible for sealing.  The ducts exist in soffits and between floors only.   If ducts were found to be leaky there would be no way to seal them. </v>
      </c>
      <c r="D35" s="242">
        <f>FileReviewW12!ED35</f>
        <v>0</v>
      </c>
      <c r="E35" s="245" t="b">
        <f>FileReviewW12!DJ35</f>
        <v>1</v>
      </c>
      <c r="F35" s="244" t="b">
        <f>FileReviewW12!DY35</f>
        <v>0</v>
      </c>
      <c r="G35" s="245" t="b">
        <f>FileReviewW12!DK35</f>
        <v>1</v>
      </c>
      <c r="H35" t="b">
        <f>FileReviewW12!DZ35</f>
        <v>0</v>
      </c>
    </row>
    <row r="36" spans="1:8" ht="45" x14ac:dyDescent="0.25">
      <c r="A36" s="186" t="str">
        <f>FileReviewW12!A36</f>
        <v>PG&amp;E</v>
      </c>
      <c r="B36" s="96" t="str">
        <f>FileReviewW12!DN36</f>
        <v>PRE IJRT is missing 12 month utility usage. Please fill in and return to Build It Green.</v>
      </c>
      <c r="C36" s="2" t="str">
        <f>FileReviewW12!EC36</f>
        <v xml:space="preserve">The CAS form is still incomplete, There should be 2 zones, one for w/h and one for heating. </v>
      </c>
      <c r="D36" s="242" t="str">
        <f>FileReviewW12!ED36</f>
        <v xml:space="preserve">Test out is the same as test in. Change on CAS form and Compass and IJRT, KB </v>
      </c>
      <c r="E36" s="245" t="b">
        <f>FileReviewW12!DJ36</f>
        <v>0</v>
      </c>
      <c r="F36" s="244" t="b">
        <f>FileReviewW12!DY36</f>
        <v>1</v>
      </c>
      <c r="G36" s="245" t="b">
        <f>FileReviewW12!DK36</f>
        <v>0</v>
      </c>
      <c r="H36" t="b">
        <f>FileReviewW12!DZ36</f>
        <v>1</v>
      </c>
    </row>
    <row r="37" spans="1:8" ht="45" x14ac:dyDescent="0.25">
      <c r="A37" s="186" t="str">
        <f>FileReviewW12!A37</f>
        <v>PG&amp;E</v>
      </c>
      <c r="B37" s="87">
        <f>FileReviewW12!DN37</f>
        <v>0</v>
      </c>
      <c r="C37" s="2" t="str">
        <f>FileReviewW12!EC37</f>
        <v xml:space="preserve">1. On test out- there should still be a worst case testing, even with sealed combustion appliances. kb </v>
      </c>
      <c r="D37" s="242">
        <f>FileReviewW12!ED37</f>
        <v>0</v>
      </c>
      <c r="E37" s="245" t="b">
        <f>FileReviewW12!DJ37</f>
        <v>0</v>
      </c>
      <c r="F37" s="244" t="b">
        <f>FileReviewW12!DY37</f>
        <v>0</v>
      </c>
      <c r="G37" s="245" t="b">
        <f>FileReviewW12!DK37</f>
        <v>0</v>
      </c>
      <c r="H37" t="b">
        <f>FileReviewW12!DZ37</f>
        <v>0</v>
      </c>
    </row>
    <row r="38" spans="1:8" x14ac:dyDescent="0.25">
      <c r="A38" s="186" t="str">
        <f>FileReviewW12!A38</f>
        <v>PG&amp;E</v>
      </c>
      <c r="B38" s="252" t="str">
        <f>FileReviewW12!DN38</f>
        <v>legacy - no pre install files/info</v>
      </c>
      <c r="C38" s="2" t="str">
        <f>FileReviewW12!EC38</f>
        <v>post-install files missing</v>
      </c>
      <c r="D38" s="242">
        <f>FileReviewW12!ED38</f>
        <v>0</v>
      </c>
      <c r="E38" s="245">
        <f>FileReviewW12!DJ38</f>
        <v>0</v>
      </c>
      <c r="F38" s="244">
        <f>FileReviewW12!DY38</f>
        <v>0</v>
      </c>
      <c r="G38" s="245">
        <f>FileReviewW12!DK38</f>
        <v>0</v>
      </c>
      <c r="H38">
        <f>FileReviewW12!DZ38</f>
        <v>0</v>
      </c>
    </row>
    <row r="39" spans="1:8" ht="75" x14ac:dyDescent="0.25">
      <c r="A39" s="186" t="str">
        <f>FileReviewW12!A39</f>
        <v>PG&amp;E</v>
      </c>
      <c r="B39" s="252" t="str">
        <f>FileReviewW12!DN39</f>
        <v>legacy - no pre install files/info</v>
      </c>
      <c r="C39" s="2" t="str">
        <f>FileReviewW12!EC39</f>
        <v xml:space="preserve">BIG staff did not input a test-in blower door number when entering this job to Compass, so test-in number says zero. Actual test-in was 5600 CFM50. I'm not sure if the zero test in number is lowering the calculated rebate. </v>
      </c>
      <c r="D39" s="242">
        <f>FileReviewW12!ED39</f>
        <v>0</v>
      </c>
      <c r="E39" s="245">
        <f>FileReviewW12!DJ39</f>
        <v>0</v>
      </c>
      <c r="F39" s="244" t="b">
        <f>FileReviewW12!DY39</f>
        <v>0</v>
      </c>
      <c r="G39" s="245">
        <f>FileReviewW12!DK39</f>
        <v>0</v>
      </c>
      <c r="H39" t="b">
        <f>FileReviewW12!DZ39</f>
        <v>0</v>
      </c>
    </row>
    <row r="40" spans="1:8" ht="75" x14ac:dyDescent="0.25">
      <c r="A40" s="186" t="str">
        <f>FileReviewW12!A40</f>
        <v>PG&amp;E</v>
      </c>
      <c r="B40" s="252" t="str">
        <f>FileReviewW12!DN40</f>
        <v xml:space="preserve">No CAZ testing was done. Please collect missing CAZ data upon start of job and provide updated test-in results to Build It Green. </v>
      </c>
      <c r="C40" s="2" t="str">
        <f>FileReviewW12!EC40</f>
        <v xml:space="preserve">1) The Building Leakage from the CAS form test-in does not match the test-in leakage in the Energy Pro bld model. Please fix and return to Build It Green.
2) Please provide the BA BPI numbers for the test-n and test-out persons and return to Build It Green. </v>
      </c>
      <c r="D40" s="242">
        <f>FileReviewW12!ED40</f>
        <v>0</v>
      </c>
      <c r="E40" s="245" t="b">
        <f>FileReviewW12!DJ40</f>
        <v>1</v>
      </c>
      <c r="F40" s="244" t="b">
        <f>FileReviewW12!DY40</f>
        <v>0</v>
      </c>
      <c r="G40" s="245" t="b">
        <f>FileReviewW12!DK40</f>
        <v>0</v>
      </c>
      <c r="H40" t="b">
        <f>FileReviewW12!DZ40</f>
        <v>0</v>
      </c>
    </row>
    <row r="41" spans="1:8" ht="45" x14ac:dyDescent="0.25">
      <c r="A41" s="186" t="str">
        <f>FileReviewW12!A41</f>
        <v>PG&amp;E</v>
      </c>
      <c r="B41" s="252">
        <f>FileReviewW12!DN41</f>
        <v>0</v>
      </c>
      <c r="C41" s="2" t="str">
        <f>FileReviewW12!EC41</f>
        <v xml:space="preserve">Existing house was run with R12 attic in Energy Pro. Code for that vintage is R19. Submit photo that demonstrates actual value is R12. </v>
      </c>
      <c r="D41" s="242">
        <f>FileReviewW12!ED41</f>
        <v>0</v>
      </c>
      <c r="E41" s="245" t="b">
        <f>FileReviewW12!DJ41</f>
        <v>0</v>
      </c>
      <c r="F41" s="244" t="b">
        <f>FileReviewW12!DY41</f>
        <v>0</v>
      </c>
      <c r="G41" s="245" t="b">
        <f>FileReviewW12!DK41</f>
        <v>0</v>
      </c>
      <c r="H41" t="b">
        <f>FileReviewW12!DZ41</f>
        <v>0</v>
      </c>
    </row>
    <row r="42" spans="1:8" x14ac:dyDescent="0.25">
      <c r="A42" s="186" t="str">
        <f>FileReviewW12!A42</f>
        <v>PG&amp;E</v>
      </c>
      <c r="B42" s="252">
        <f>FileReviewW12!DN42</f>
        <v>0</v>
      </c>
      <c r="C42" s="2">
        <f>FileReviewW12!EC42</f>
        <v>0</v>
      </c>
      <c r="D42" s="242">
        <f>FileReviewW12!ED42</f>
        <v>0</v>
      </c>
      <c r="E42" s="245" t="b">
        <f>FileReviewW12!DJ42</f>
        <v>1</v>
      </c>
      <c r="F42" s="244" t="b">
        <f>FileReviewW12!DY42</f>
        <v>0</v>
      </c>
      <c r="G42" s="245" t="b">
        <f>FileReviewW12!DK42</f>
        <v>0</v>
      </c>
      <c r="H42" t="b">
        <f>FileReviewW12!DZ42</f>
        <v>0</v>
      </c>
    </row>
    <row r="43" spans="1:8" x14ac:dyDescent="0.25">
      <c r="A43" s="186" t="str">
        <f>FileReviewW12!A43</f>
        <v>PG&amp;E</v>
      </c>
      <c r="B43" s="252" t="str">
        <f>FileReviewW12!DN43</f>
        <v>replace water heater</v>
      </c>
      <c r="C43" s="2">
        <f>FileReviewW12!EC43</f>
        <v>0</v>
      </c>
      <c r="D43" s="242">
        <f>FileReviewW12!ED43</f>
        <v>0</v>
      </c>
      <c r="E43" s="245" t="b">
        <f>FileReviewW12!DJ43</f>
        <v>0</v>
      </c>
      <c r="F43" s="244" t="b">
        <f>FileReviewW12!DY43</f>
        <v>0</v>
      </c>
      <c r="G43" s="245" t="b">
        <f>FileReviewW12!DK43</f>
        <v>0</v>
      </c>
      <c r="H43" t="b">
        <f>FileReviewW12!DZ43</f>
        <v>0</v>
      </c>
    </row>
    <row r="44" spans="1:8" x14ac:dyDescent="0.25">
      <c r="A44" s="186" t="str">
        <f>FileReviewW12!A44</f>
        <v>PG&amp;E</v>
      </c>
      <c r="B44" s="252">
        <f>FileReviewW12!DN44</f>
        <v>0</v>
      </c>
      <c r="C44" s="2">
        <f>FileReviewW12!EC44</f>
        <v>0</v>
      </c>
      <c r="D44" s="242">
        <f>FileReviewW12!ED44</f>
        <v>0</v>
      </c>
      <c r="E44" s="245" t="b">
        <f>FileReviewW12!DJ44</f>
        <v>0</v>
      </c>
      <c r="F44" s="244" t="b">
        <f>FileReviewW12!DY44</f>
        <v>0</v>
      </c>
      <c r="G44" s="245" t="b">
        <f>FileReviewW12!DK44</f>
        <v>0</v>
      </c>
      <c r="H44" t="b">
        <f>FileReviewW12!DZ44</f>
        <v>0</v>
      </c>
    </row>
    <row r="45" spans="1:8" ht="105" x14ac:dyDescent="0.25">
      <c r="A45" s="186" t="str">
        <f>FileReviewW12!A45</f>
        <v>PG&amp;E</v>
      </c>
      <c r="B45" s="252" t="str">
        <f>FileReviewW12!DN45</f>
        <v xml:space="preserve">1. Please do not put in a duct leakage percentage, since no duct test was performed you cannot say it was verified with a percentage. Please change to duct leakage not verified, also any future submitted application should reflect this if no duct blaster was performed. </v>
      </c>
      <c r="C45" s="2">
        <f>FileReviewW12!EC45</f>
        <v>0</v>
      </c>
      <c r="D45" s="242">
        <f>FileReviewW12!ED45</f>
        <v>0</v>
      </c>
      <c r="E45" s="245" t="b">
        <f>FileReviewW12!DJ45</f>
        <v>0</v>
      </c>
      <c r="F45" s="244" t="b">
        <f>FileReviewW12!DY45</f>
        <v>0</v>
      </c>
      <c r="G45" s="245" t="b">
        <f>FileReviewW12!DK45</f>
        <v>0</v>
      </c>
      <c r="H45" t="b">
        <f>FileReviewW12!DZ45</f>
        <v>0</v>
      </c>
    </row>
    <row r="46" spans="1:8" ht="75" x14ac:dyDescent="0.25">
      <c r="A46" s="186" t="str">
        <f>FileReviewW12!A46</f>
        <v>PG&amp;E</v>
      </c>
      <c r="B46" s="252" t="str">
        <f>FileReviewW12!DN46</f>
        <v xml:space="preserve">3. Duct leakage is very high. Please confirm leakage cfm with a picture of manometer reading and pictures of duct system to explain such high leakage. Please resubmit.
</v>
      </c>
      <c r="C46" s="2">
        <f>FileReviewW12!EC46</f>
        <v>0</v>
      </c>
      <c r="D46" s="242">
        <f>FileReviewW12!ED46</f>
        <v>0</v>
      </c>
      <c r="E46" s="245" t="b">
        <f>FileReviewW12!DJ46</f>
        <v>0</v>
      </c>
      <c r="F46" s="244" t="b">
        <f>FileReviewW12!DY46</f>
        <v>0</v>
      </c>
      <c r="G46" s="245" t="b">
        <f>FileReviewW12!DK46</f>
        <v>0</v>
      </c>
      <c r="H46" t="b">
        <f>FileReviewW12!DZ46</f>
        <v>0</v>
      </c>
    </row>
    <row r="47" spans="1:8" ht="75" x14ac:dyDescent="0.25">
      <c r="A47" s="186" t="str">
        <f>FileReviewW12!A47</f>
        <v>PG&amp;E</v>
      </c>
      <c r="B47" s="252" t="str">
        <f>FileReviewW12!DN47</f>
        <v xml:space="preserve">1) There are no CAZ test results or CAS test results for the primary heating system. Please collect missing data upon start of job and provide updated test-in results to Build It Green. </v>
      </c>
      <c r="C47" s="2">
        <f>FileReviewW12!EC47</f>
        <v>0</v>
      </c>
      <c r="D47" s="242">
        <f>FileReviewW12!ED47</f>
        <v>0</v>
      </c>
      <c r="E47" s="245" t="b">
        <f>FileReviewW12!DJ47</f>
        <v>0</v>
      </c>
      <c r="F47" s="244" t="b">
        <f>FileReviewW12!DY47</f>
        <v>0</v>
      </c>
      <c r="G47" s="245" t="b">
        <f>FileReviewW12!DK47</f>
        <v>0</v>
      </c>
      <c r="H47" t="b">
        <f>FileReviewW12!DZ47</f>
        <v>0</v>
      </c>
    </row>
    <row r="48" spans="1:8" ht="105" x14ac:dyDescent="0.25">
      <c r="A48" s="186" t="str">
        <f>FileReviewW12!A48</f>
        <v>PG&amp;E</v>
      </c>
      <c r="B48" s="252" t="str">
        <f>FileReviewW12!DN48</f>
        <v xml:space="preserve">1. Energy Pro 5 model duct leakage appears to be calculated incorrectly. Cooling loads should be used over heating since cooling requires more energy. Please recalculate for 400cfm/ton of cooling on future submitted applications.
</v>
      </c>
      <c r="C48" s="2">
        <f>FileReviewW12!EC48</f>
        <v>0</v>
      </c>
      <c r="D48" s="242">
        <f>FileReviewW12!ED48</f>
        <v>0</v>
      </c>
      <c r="E48" s="245" t="b">
        <f>FileReviewW12!DJ48</f>
        <v>0</v>
      </c>
      <c r="F48" s="244" t="b">
        <f>FileReviewW12!DY48</f>
        <v>0</v>
      </c>
      <c r="G48" s="245" t="b">
        <f>FileReviewW12!DK48</f>
        <v>0</v>
      </c>
      <c r="H48" t="b">
        <f>FileReviewW12!DZ48</f>
        <v>0</v>
      </c>
    </row>
    <row r="49" spans="1:8" ht="150" x14ac:dyDescent="0.25">
      <c r="A49" s="186" t="str">
        <f>FileReviewW12!A49</f>
        <v>PG&amp;E</v>
      </c>
      <c r="B49" s="252">
        <f>FileReviewW12!DN49</f>
        <v>0</v>
      </c>
      <c r="C49" s="2" t="str">
        <f>FileReviewW12!EC49</f>
        <v>Ventilation Required/Recommended (BAS or ASHRAE 62.2): VENTILATION NOT REQUIRED HOWEVER WE DID INSTALL 2  PANASONIC VENTILATING BATH FANS 
DHW NOT DRAFT TESTED DUE TO B VENT PIPE (NO DRILL BVENT)
HEATING UNIT EXISTS OUTSIDE OF HOME AND IS UNEFFECTED BY WORSTCASE 
HEATING UNIT NOT DRAFT TESTED DUE TO LACK OF PIPE AT INDUCER MOTOR</v>
      </c>
      <c r="D49" s="242">
        <f>FileReviewW12!ED49</f>
        <v>0</v>
      </c>
      <c r="E49" s="245" t="b">
        <f>FileReviewW12!DJ49</f>
        <v>0</v>
      </c>
      <c r="F49" s="244" t="b">
        <f>FileReviewW12!DY49</f>
        <v>0</v>
      </c>
      <c r="G49" s="245" t="b">
        <f>FileReviewW12!DK49</f>
        <v>0</v>
      </c>
      <c r="H49" t="b">
        <f>FileReviewW12!DZ49</f>
        <v>0</v>
      </c>
    </row>
    <row r="50" spans="1:8" ht="150" x14ac:dyDescent="0.25">
      <c r="A50" s="186" t="str">
        <f>FileReviewW12!A50</f>
        <v>PG&amp;E</v>
      </c>
      <c r="B50" s="252" t="str">
        <f>FileReviewW12!DN50</f>
        <v>1. The PG&amp;E Service IDs are incorrect. They are two unique 10-digit numbers, labeled Service ID that can be found on the homeowner's utility bill. They are different from the meter #. If the job is all-electric, or only one utility is provided by PG&amp;E, only one service ID is required. We need these numbers in order to submit the job. Build It Green has supplied, please correct this on all future submittals.</v>
      </c>
      <c r="C50" s="2">
        <f>FileReviewW12!EC50</f>
        <v>0</v>
      </c>
      <c r="D50" s="242">
        <f>FileReviewW12!ED50</f>
        <v>0</v>
      </c>
      <c r="E50" s="245" t="b">
        <f>FileReviewW12!DJ50</f>
        <v>0</v>
      </c>
      <c r="F50" s="244" t="b">
        <f>FileReviewW12!DY50</f>
        <v>1</v>
      </c>
      <c r="G50" s="245" t="b">
        <f>FileReviewW12!DK50</f>
        <v>0</v>
      </c>
      <c r="H50" t="b">
        <f>FileReviewW12!DZ50</f>
        <v>0</v>
      </c>
    </row>
    <row r="51" spans="1:8" ht="45" x14ac:dyDescent="0.25">
      <c r="A51" s="186" t="str">
        <f>FileReviewW12!A51</f>
        <v>PG&amp;E</v>
      </c>
      <c r="B51" s="252" t="str">
        <f>FileReviewW12!DN51</f>
        <v>1. Energy Pro model building square footage does not match IJRT report. Please correct but no need to resubmit.</v>
      </c>
      <c r="C51" s="2">
        <f>FileReviewW12!EC51</f>
        <v>0</v>
      </c>
      <c r="D51" s="242">
        <f>FileReviewW12!ED51</f>
        <v>0</v>
      </c>
      <c r="E51" s="245" t="b">
        <f>FileReviewW12!DJ51</f>
        <v>1</v>
      </c>
      <c r="F51" s="244" t="b">
        <f>FileReviewW12!DY51</f>
        <v>0</v>
      </c>
      <c r="G51" s="245" t="b">
        <f>FileReviewW12!DK51</f>
        <v>0</v>
      </c>
      <c r="H51" t="b">
        <f>FileReviewW12!DZ51</f>
        <v>0</v>
      </c>
    </row>
    <row r="52" spans="1:8" ht="210" x14ac:dyDescent="0.25">
      <c r="A52" s="186" t="str">
        <f>FileReviewW12!A52</f>
        <v>PG&amp;E</v>
      </c>
      <c r="B52" s="252" t="str">
        <f>FileReviewW12!DN52</f>
        <v>TEST OUT:water heater: "Gas leak at valve.. fix in scope of work"</v>
      </c>
      <c r="C52" s="2" t="str">
        <f>FileReviewW12!EC52</f>
        <v>TEST OUT: CFM 25: No testing- Supply Ducts in soffits and are un-able to seal if found leaky.    But we did seal  the return air duct b/c it was a key area of the homes building leakage.</v>
      </c>
      <c r="D52" s="242" t="str">
        <f>FileReviewW12!ED52</f>
        <v xml:space="preserve">Hi David: (PRE) IJRT has absolutely NO information. The post is fine, but the PRE must have customer name, address, phone, etc plus all the utility information, Test in results, house information, hot water heater info, HVAC system info, Proposed job data, PG&amp;E EUC Rebate value info....the whole sheet is empty. IF you open it here on Compass, can you see it and all the red to the right? It won't let me Approve without it. Please. Thank you. </v>
      </c>
      <c r="E52" s="245" t="b">
        <f>FileReviewW12!DJ52</f>
        <v>1</v>
      </c>
      <c r="F52" s="244" t="b">
        <f>FileReviewW12!DY52</f>
        <v>0</v>
      </c>
      <c r="G52" s="245" t="b">
        <f>FileReviewW12!DK52</f>
        <v>1</v>
      </c>
      <c r="H52" t="b">
        <f>FileReviewW12!DZ52</f>
        <v>0</v>
      </c>
    </row>
    <row r="53" spans="1:8" ht="75" x14ac:dyDescent="0.25">
      <c r="A53" s="186" t="str">
        <f>FileReviewW12!A53</f>
        <v>PG&amp;E</v>
      </c>
      <c r="B53" s="252" t="str">
        <f>FileReviewW12!DN53</f>
        <v xml:space="preserve">BLD has been adjusted to duct leakage not verified, as the leakage is greater then 30% and no solid pictures showing the leaky areas. </v>
      </c>
      <c r="C53" s="2" t="str">
        <f>FileReviewW12!EC53</f>
        <v xml:space="preserve">1. It appears the BPI put his CAZ limit in the Ambient c/o box, Please advise them they need to be very careful when filling in the boxes. The name was incorrect as well. These errors can cause PG&amp;E to reject projects. </v>
      </c>
      <c r="D53" s="242">
        <f>FileReviewW12!ED53</f>
        <v>0</v>
      </c>
      <c r="E53" s="245" t="b">
        <f>FileReviewW12!DJ53</f>
        <v>0</v>
      </c>
      <c r="F53" s="244" t="b">
        <f>FileReviewW12!DY53</f>
        <v>0</v>
      </c>
      <c r="G53" s="245" t="b">
        <f>FileReviewW12!DK53</f>
        <v>0</v>
      </c>
      <c r="H53" t="b">
        <f>FileReviewW12!DZ53</f>
        <v>0</v>
      </c>
    </row>
    <row r="54" spans="1:8" ht="165" x14ac:dyDescent="0.25">
      <c r="A54" t="str">
        <f>FileReviewW12!A54</f>
        <v>PG&amp;E</v>
      </c>
      <c r="B54" s="2" t="str">
        <f>FileReviewW12!DN54</f>
        <v>1. On the Test Measurements (CAS) form, duct leakage is listed as 25 CFM25. Calculated based on existing HVAC equipment specs (Nominal), existing leakage rounds up to 2%, not 10% as called out in EnergyPro (please enter CFM25 used to calculate duct leakage percentage in the HVAC Distribution tab, it’s currently listed as “0”). Please clarify, correct and resubmit whichever file is incorrect (CAS form or BLD and XML files).</v>
      </c>
      <c r="C54" s="2">
        <f>FileReviewW12!EC54</f>
        <v>0</v>
      </c>
      <c r="D54" s="242">
        <f>FileReviewW12!ED54</f>
        <v>0</v>
      </c>
      <c r="E54" s="245" t="b">
        <f>FileReviewW12!DJ54</f>
        <v>0</v>
      </c>
      <c r="F54" s="244" t="b">
        <f>FileReviewW12!DY54</f>
        <v>0</v>
      </c>
      <c r="G54" s="245" t="b">
        <f>FileReviewW12!DK54</f>
        <v>0</v>
      </c>
      <c r="H54" t="b">
        <f>FileReviewW12!DZ54</f>
        <v>0</v>
      </c>
    </row>
    <row r="55" spans="1:8" ht="105" x14ac:dyDescent="0.25">
      <c r="A55" t="str">
        <f>FileReviewW12!A55</f>
        <v>PG&amp;E</v>
      </c>
      <c r="B55" s="2" t="str">
        <f>FileReviewW12!DN55</f>
        <v xml:space="preserve">2. Duct leakage is very high. Please confirm leakage cfm with a picture of manometer reading and pictures of duct system to explain such high leakage. In the future, any duct leakage over 30% Build It Green will need photos of ducts and manometer reading. </v>
      </c>
      <c r="C55" s="2">
        <f>FileReviewW12!EC55</f>
        <v>0</v>
      </c>
      <c r="D55" s="242">
        <f>FileReviewW12!ED55</f>
        <v>0</v>
      </c>
      <c r="E55" s="245" t="b">
        <f>FileReviewW12!DJ55</f>
        <v>0</v>
      </c>
      <c r="F55" s="244" t="b">
        <f>FileReviewW12!DY55</f>
        <v>0</v>
      </c>
      <c r="G55" s="245" t="b">
        <f>FileReviewW12!DK55</f>
        <v>0</v>
      </c>
      <c r="H55" t="b">
        <f>FileReviewW12!DZ55</f>
        <v>0</v>
      </c>
    </row>
    <row r="56" spans="1:8" x14ac:dyDescent="0.25">
      <c r="A56" t="str">
        <f>FileReviewW12!A56</f>
        <v>PG&amp;E</v>
      </c>
      <c r="B56" s="2">
        <f>FileReviewW12!DN56</f>
        <v>0</v>
      </c>
      <c r="C56" s="2">
        <f>FileReviewW12!EC56</f>
        <v>0</v>
      </c>
      <c r="D56" s="242">
        <f>FileReviewW12!ED56</f>
        <v>0</v>
      </c>
      <c r="E56" s="245" t="b">
        <f>FileReviewW12!DJ56</f>
        <v>1</v>
      </c>
      <c r="F56" s="244" t="b">
        <f>FileReviewW12!DY56</f>
        <v>0</v>
      </c>
      <c r="G56" s="245" t="b">
        <f>FileReviewW12!DK56</f>
        <v>0</v>
      </c>
      <c r="H56" t="b">
        <f>FileReviewW12!DZ56</f>
        <v>0</v>
      </c>
    </row>
    <row r="57" spans="1:8" ht="30" x14ac:dyDescent="0.25">
      <c r="A57" t="str">
        <f>FileReviewW12!A57</f>
        <v>PG&amp;E</v>
      </c>
      <c r="B57" s="2">
        <f>FileReviewW12!DN57</f>
        <v>0</v>
      </c>
      <c r="C57" s="2" t="str">
        <f>FileReviewW12!EC57</f>
        <v xml:space="preserve">test out: HVAC is high efficiency furnace, mechanically assisted, can't drill pipe for draft </v>
      </c>
      <c r="D57" s="242">
        <f>FileReviewW12!ED57</f>
        <v>0</v>
      </c>
      <c r="E57" s="245" t="b">
        <f>FileReviewW12!DJ57</f>
        <v>0</v>
      </c>
      <c r="F57" s="244" t="b">
        <f>FileReviewW12!DY57</f>
        <v>0</v>
      </c>
      <c r="G57" s="245" t="b">
        <f>FileReviewW12!DK57</f>
        <v>0</v>
      </c>
      <c r="H57" t="b">
        <f>FileReviewW12!DZ57</f>
        <v>0</v>
      </c>
    </row>
    <row r="58" spans="1:8" ht="30" x14ac:dyDescent="0.25">
      <c r="A58" t="str">
        <f>FileReviewW12!A58</f>
        <v>PG&amp;E</v>
      </c>
      <c r="B58" s="2" t="str">
        <f>FileReviewW12!DN58</f>
        <v>1)Cas report needs Test In Duct Leakage.</v>
      </c>
      <c r="C58" s="2" t="str">
        <f>FileReviewW12!EC58</f>
        <v>3) Energy pro, under "building" is showing walls off orientation. 2 walls are modeled at 270 and 2 at 0</v>
      </c>
      <c r="D58" s="242">
        <f>FileReviewW12!ED58</f>
        <v>0</v>
      </c>
      <c r="E58" s="245" t="b">
        <f>FileReviewW12!DJ58</f>
        <v>0</v>
      </c>
      <c r="F58" s="244" t="b">
        <f>FileReviewW12!DY58</f>
        <v>0</v>
      </c>
      <c r="G58" s="245" t="b">
        <f>FileReviewW12!DK58</f>
        <v>0</v>
      </c>
      <c r="H58" t="b">
        <f>FileReviewW12!DZ58</f>
        <v>0</v>
      </c>
    </row>
    <row r="59" spans="1:8" ht="75" x14ac:dyDescent="0.25">
      <c r="A59" t="str">
        <f>FileReviewW12!A59</f>
        <v>PG&amp;E</v>
      </c>
      <c r="B59" s="2" t="str">
        <f>FileReviewW12!DN59</f>
        <v xml:space="preserve">1) There are no CAZ test results or CAS test results for the primary heating system. Please collect missing data upon start of job and provide updated test-in results to Build It Green. </v>
      </c>
      <c r="C59" s="2">
        <f>FileReviewW12!EC59</f>
        <v>0</v>
      </c>
      <c r="D59" s="242">
        <f>FileReviewW12!ED59</f>
        <v>0</v>
      </c>
      <c r="E59" s="245" t="b">
        <f>FileReviewW12!DJ59</f>
        <v>0</v>
      </c>
      <c r="F59" s="244" t="b">
        <f>FileReviewW12!DY59</f>
        <v>0</v>
      </c>
      <c r="G59" s="245" t="b">
        <f>FileReviewW12!DK59</f>
        <v>0</v>
      </c>
      <c r="H59" t="b">
        <f>FileReviewW12!DZ59</f>
        <v>0</v>
      </c>
    </row>
    <row r="60" spans="1:8" ht="75" x14ac:dyDescent="0.25">
      <c r="A60" t="str">
        <f>FileReviewW12!A60</f>
        <v>PG&amp;E</v>
      </c>
      <c r="B60" s="2" t="str">
        <f>FileReviewW12!DN60</f>
        <v>3. The duct insulation is inconsistent with the vintage of the building. Update the insulation on the ducts to be consistent with vintage of building (R-2.1) or confirm that there is currently no insulation.</v>
      </c>
      <c r="C60" s="2">
        <f>FileReviewW12!EC60</f>
        <v>0</v>
      </c>
      <c r="D60" s="242">
        <f>FileReviewW12!ED60</f>
        <v>0</v>
      </c>
      <c r="E60" s="245" t="b">
        <f>FileReviewW12!DJ60</f>
        <v>0</v>
      </c>
      <c r="F60" s="244" t="b">
        <f>FileReviewW12!DY60</f>
        <v>0</v>
      </c>
      <c r="G60" s="245" t="b">
        <f>FileReviewW12!DK60</f>
        <v>0</v>
      </c>
      <c r="H60" t="b">
        <f>FileReviewW12!DZ60</f>
        <v>0</v>
      </c>
    </row>
    <row r="61" spans="1:8" ht="45" x14ac:dyDescent="0.25">
      <c r="A61" t="str">
        <f>FileReviewW12!A61</f>
        <v>PG&amp;E</v>
      </c>
      <c r="B61" s="2" t="str">
        <f>FileReviewW12!DN61</f>
        <v xml:space="preserve">Still not seeing any CAS measurements for furnace or water heater. Were those performed? </v>
      </c>
      <c r="C61" s="2">
        <f>FileReviewW12!EC61</f>
        <v>0</v>
      </c>
      <c r="D61" s="242">
        <f>FileReviewW12!ED61</f>
        <v>0</v>
      </c>
      <c r="E61" s="245" t="b">
        <f>FileReviewW12!DJ61</f>
        <v>0</v>
      </c>
      <c r="F61" s="244" t="b">
        <f>FileReviewW12!DY61</f>
        <v>0</v>
      </c>
      <c r="G61" s="245" t="b">
        <f>FileReviewW12!DK61</f>
        <v>0</v>
      </c>
      <c r="H61" t="b">
        <f>FileReviewW12!DZ61</f>
        <v>0</v>
      </c>
    </row>
    <row r="62" spans="1:8" ht="60" x14ac:dyDescent="0.25">
      <c r="A62" t="str">
        <f>FileReviewW12!A62</f>
        <v>PG&amp;E</v>
      </c>
      <c r="B62" s="2" t="str">
        <f>FileReviewW12!DN62</f>
        <v>4. Please change HVAC system new to existing in the distribution tab, and calculate duct leakage based on cooling load 400cfm/ton.</v>
      </c>
      <c r="C62" s="2" t="str">
        <f>FileReviewW12!EC62</f>
        <v>1. No indication on CAS Form that the house was tested for gas leaks. Please clarify if test was performed.</v>
      </c>
      <c r="D62" s="242">
        <f>FileReviewW12!ED62</f>
        <v>0</v>
      </c>
      <c r="E62" s="245" t="b">
        <f>FileReviewW12!DJ62</f>
        <v>1</v>
      </c>
      <c r="F62" s="244" t="b">
        <f>FileReviewW12!DY62</f>
        <v>0</v>
      </c>
      <c r="G62" s="245" t="b">
        <f>FileReviewW12!DK62</f>
        <v>0</v>
      </c>
      <c r="H62" t="b">
        <f>FileReviewW12!DZ62</f>
        <v>0</v>
      </c>
    </row>
    <row r="63" spans="1:8" x14ac:dyDescent="0.25">
      <c r="A63" t="str">
        <f>FileReviewW12!A63</f>
        <v>PG&amp;E</v>
      </c>
      <c r="B63" s="2">
        <f>FileReviewW12!DN63</f>
        <v>0</v>
      </c>
      <c r="C63" s="2">
        <f>FileReviewW12!EC63</f>
        <v>0</v>
      </c>
      <c r="D63" s="242">
        <f>FileReviewW12!ED63</f>
        <v>0</v>
      </c>
      <c r="E63" s="245" t="b">
        <f>FileReviewW12!DJ63</f>
        <v>0</v>
      </c>
      <c r="F63" s="244" t="b">
        <f>FileReviewW12!DY63</f>
        <v>0</v>
      </c>
      <c r="G63" s="245" t="b">
        <f>FileReviewW12!DK63</f>
        <v>0</v>
      </c>
      <c r="H63" t="b">
        <f>FileReviewW12!DZ63</f>
        <v>0</v>
      </c>
    </row>
    <row r="64" spans="1:8" x14ac:dyDescent="0.25">
      <c r="A64" t="str">
        <f>FileReviewW12!A64</f>
        <v>PG&amp;E</v>
      </c>
      <c r="B64" s="2">
        <f>FileReviewW12!DN64</f>
        <v>0</v>
      </c>
      <c r="C64" s="2">
        <f>FileReviewW12!EC64</f>
        <v>0</v>
      </c>
      <c r="D64" s="242">
        <f>FileReviewW12!ED64</f>
        <v>0</v>
      </c>
      <c r="E64" s="245" t="b">
        <f>FileReviewW12!DJ64</f>
        <v>0</v>
      </c>
      <c r="F64" s="244" t="b">
        <f>FileReviewW12!DY64</f>
        <v>0</v>
      </c>
      <c r="G64" s="245" t="b">
        <f>FileReviewW12!DK64</f>
        <v>0</v>
      </c>
      <c r="H64" t="b">
        <f>FileReviewW12!DZ64</f>
        <v>0</v>
      </c>
    </row>
    <row r="65" spans="1:8" ht="75" x14ac:dyDescent="0.25">
      <c r="A65" t="str">
        <f>FileReviewW12!A65</f>
        <v>PG&amp;E</v>
      </c>
      <c r="B65" s="2" t="str">
        <f>FileReviewW12!DN65</f>
        <v xml:space="preserve">1) There are no CAZ test results or CAS test results for the primary heating system. Please collect missing data upon start of job and provide updated test-in results to Build It Green. </v>
      </c>
      <c r="C65" s="2" t="str">
        <f>FileReviewW12!EC65</f>
        <v xml:space="preserve">1) The EnergyPro bld model took credit for Duct Leakage less than or equal to 9% leakage, the CAS report shows that the final Duct Leakage based on a 4 ton system replacement at 50% . Please address this and return to Build It Green. </v>
      </c>
      <c r="D65" s="242">
        <f>FileReviewW12!ED65</f>
        <v>0</v>
      </c>
      <c r="E65" s="245" t="b">
        <f>FileReviewW12!DJ65</f>
        <v>0</v>
      </c>
      <c r="F65" s="244" t="b">
        <f>FileReviewW12!DY65</f>
        <v>0</v>
      </c>
      <c r="G65" s="245" t="b">
        <f>FileReviewW12!DK65</f>
        <v>0</v>
      </c>
      <c r="H65" t="b">
        <f>FileReviewW12!DZ65</f>
        <v>0</v>
      </c>
    </row>
    <row r="66" spans="1:8" ht="120" x14ac:dyDescent="0.25">
      <c r="A66" t="str">
        <f>FileReviewW12!A66</f>
        <v>PG&amp;E</v>
      </c>
      <c r="B66" s="2" t="str">
        <f>FileReviewW12!DN66</f>
        <v xml:space="preserve">1. The CAS Measurements Form is missing relevant CAZ testing results. Please explain why it is not tested and or provide ALL CAZ test results and resubmit if you have results. If you do not Build It Green will except measurements through the first day of the upgrade work. Please submit for review. </v>
      </c>
      <c r="C66" s="2" t="str">
        <f>FileReviewW12!EC66</f>
        <v>2) The EnergyPro bld model took credit for Duct Leakage less than or equal to 15% leakage, the CAS report shows that the final Duct Leakage based on an existing 3.5 ton system is 23% . Please address this and return to Build It Green.</v>
      </c>
      <c r="D66" s="242" t="str">
        <f>FileReviewW12!ED66</f>
        <v xml:space="preserve">3) The EnergyPro model took a credit for building Leakage of 1613 CFM at CFM50 the test out leakage on the CAS report is 2992 CFM, please correct data and return to Build It Green. </v>
      </c>
      <c r="E66" s="245" t="b">
        <f>FileReviewW12!DJ66</f>
        <v>0</v>
      </c>
      <c r="F66" s="244" t="b">
        <f>FileReviewW12!DY66</f>
        <v>0</v>
      </c>
      <c r="G66" s="245" t="b">
        <f>FileReviewW12!DK66</f>
        <v>0</v>
      </c>
      <c r="H66" t="b">
        <f>FileReviewW12!DZ66</f>
        <v>0</v>
      </c>
    </row>
    <row r="67" spans="1:8" ht="195" x14ac:dyDescent="0.25">
      <c r="A67" t="str">
        <f>FileReviewW12!A67</f>
        <v>PG&amp;E</v>
      </c>
      <c r="B67" s="2" t="str">
        <f>FileReviewW12!DN67</f>
        <v xml:space="preserve">2. The roof alternative initially said R-0 roof with attic I believe. It did not reflect the building model which shows the roof as a cathedral ceiling. I suggested the building roof be corrected to have an attic. Also, the scope of work says blow in cellulose in attic. So, the models ceiling is still incorrectly modeled. It appears that changing this will drop the saving below 15%. Please correct the Energy Pro Model, if it is below 15% you will have to re apply as a Basic application, not advanced.
</v>
      </c>
      <c r="C67" s="2">
        <f>FileReviewW12!EC67</f>
        <v>0</v>
      </c>
      <c r="D67" s="242">
        <f>FileReviewW12!ED67</f>
        <v>0</v>
      </c>
      <c r="E67" s="245" t="b">
        <f>FileReviewW12!DJ67</f>
        <v>0</v>
      </c>
      <c r="F67" s="244" t="b">
        <f>FileReviewW12!DY67</f>
        <v>0</v>
      </c>
      <c r="G67" s="245" t="b">
        <f>FileReviewW12!DK67</f>
        <v>1</v>
      </c>
      <c r="H67" t="b">
        <f>FileReviewW12!DZ67</f>
        <v>1</v>
      </c>
    </row>
    <row r="68" spans="1:8" x14ac:dyDescent="0.25">
      <c r="A68" t="str">
        <f>FileReviewW12!A68</f>
        <v>PG&amp;E</v>
      </c>
      <c r="B68" s="2">
        <f>FileReviewW12!DN68</f>
        <v>0</v>
      </c>
      <c r="C68" s="2">
        <f>FileReviewW12!EC68</f>
        <v>0</v>
      </c>
      <c r="D68" s="242">
        <f>FileReviewW12!ED68</f>
        <v>0</v>
      </c>
      <c r="E68" s="245" t="b">
        <f>FileReviewW12!DJ68</f>
        <v>0</v>
      </c>
      <c r="F68" s="244" t="b">
        <f>FileReviewW12!DY68</f>
        <v>0</v>
      </c>
      <c r="G68" s="245" t="b">
        <f>FileReviewW12!DK68</f>
        <v>0</v>
      </c>
      <c r="H68" t="b">
        <f>FileReviewW12!DZ68</f>
        <v>0</v>
      </c>
    </row>
    <row r="69" spans="1:8" ht="60" x14ac:dyDescent="0.25">
      <c r="A69" t="str">
        <f>FileReviewW12!A69</f>
        <v>PG&amp;E</v>
      </c>
      <c r="B69" s="2">
        <f>FileReviewW12!DN69</f>
        <v>0</v>
      </c>
      <c r="C69" s="2" t="str">
        <f>FileReviewW12!EC69</f>
        <v>1. Duct leakage calculated incorrectly, Please calculate 21.7cfm/1000 btuh output, for heating only systems. Please calculate correctly on future submitted applications</v>
      </c>
      <c r="D69" s="242">
        <f>FileReviewW12!ED69</f>
        <v>0</v>
      </c>
      <c r="E69" s="245" t="b">
        <f>FileReviewW12!DJ69</f>
        <v>0</v>
      </c>
      <c r="F69" s="244" t="b">
        <f>FileReviewW12!DY69</f>
        <v>0</v>
      </c>
      <c r="G69" s="245" t="b">
        <f>FileReviewW12!DK69</f>
        <v>0</v>
      </c>
      <c r="H69" t="b">
        <f>FileReviewW12!DZ69</f>
        <v>0</v>
      </c>
    </row>
    <row r="70" spans="1:8" ht="120" x14ac:dyDescent="0.25">
      <c r="A70" t="str">
        <f>FileReviewW12!A70</f>
        <v>PG&amp;E</v>
      </c>
      <c r="B70" s="2" t="str">
        <f>FileReviewW12!DN70</f>
        <v xml:space="preserve">1) The square footage of the floors makes no sense. You have the 1st floor as 1238 SF, the 2nd floor as 1239, yet on the IJRT you have a total square footage of 1238 for two stories. Please correct the slab and the roof as necessary as you make changes and then resubmit the EnergyPro model and XML file. </v>
      </c>
      <c r="C70" s="2">
        <f>FileReviewW12!EC70</f>
        <v>0</v>
      </c>
      <c r="D70" s="242">
        <f>FileReviewW12!ED70</f>
        <v>0</v>
      </c>
      <c r="E70" s="245" t="b">
        <f>FileReviewW12!DJ70</f>
        <v>1</v>
      </c>
      <c r="F70" s="244" t="b">
        <f>FileReviewW12!DY70</f>
        <v>0</v>
      </c>
      <c r="G70" s="245" t="b">
        <f>FileReviewW12!DK70</f>
        <v>0</v>
      </c>
      <c r="H70" t="b">
        <f>FileReviewW12!DZ70</f>
        <v>0</v>
      </c>
    </row>
    <row r="71" spans="1:8" ht="120" x14ac:dyDescent="0.25">
      <c r="A71" t="str">
        <f>FileReviewW12!A71</f>
        <v>PG&amp;E</v>
      </c>
      <c r="B71" s="2" t="str">
        <f>FileReviewW12!DN71</f>
        <v xml:space="preserve">1. Water Heater fuel type does not match between docs. Please update docs. No Need To Resubmit. </v>
      </c>
      <c r="C71" s="2" t="str">
        <f>FileReviewW12!EC71</f>
        <v xml:space="preserve">Not Approved. Please correct the CAS Measurements form with the correct owner name (there is no such person as Larry O'Neil associated with this address--the PG&amp;E account holder is Lawrence Boyd and the other person listed on your contract is Alice O'Neil). Please upload revised CAS form, then the project will be approved and move forward for rebate. </v>
      </c>
      <c r="D71" s="242" t="str">
        <f>FileReviewW12!ED71</f>
        <v xml:space="preserve">1. The BPI analyst needs to include their certification # on the CAS Measurements form. Please provide. </v>
      </c>
      <c r="E71" s="245" t="b">
        <f>FileReviewW12!DJ71</f>
        <v>0</v>
      </c>
      <c r="F71" s="244" t="b">
        <f>FileReviewW12!DY71</f>
        <v>0</v>
      </c>
      <c r="G71" s="245" t="b">
        <f>FileReviewW12!DK71</f>
        <v>0</v>
      </c>
      <c r="H71" t="b">
        <f>FileReviewW12!DZ71</f>
        <v>0</v>
      </c>
    </row>
    <row r="72" spans="1:8" ht="45" x14ac:dyDescent="0.25">
      <c r="A72" t="str">
        <f>FileReviewW12!A72</f>
        <v>PG&amp;E</v>
      </c>
      <c r="B72" s="2" t="str">
        <f>FileReviewW12!DN72</f>
        <v>4. Please select duct leakage not verified in Energy Pro since ducts were not tested due to Asbestos.</v>
      </c>
      <c r="C72" s="2"/>
      <c r="D72" s="242"/>
      <c r="E72" s="245" t="b">
        <f>FileReviewW12!DJ72</f>
        <v>1</v>
      </c>
      <c r="F72" s="244" t="b">
        <f>FileReviewW12!DY72</f>
        <v>0</v>
      </c>
      <c r="G72" s="245" t="b">
        <f>FileReviewW12!DK72</f>
        <v>0</v>
      </c>
      <c r="H72" t="b">
        <f>FileReviewW12!DZ72</f>
        <v>0</v>
      </c>
    </row>
    <row r="73" spans="1:8" ht="75" x14ac:dyDescent="0.25">
      <c r="A73" t="str">
        <f>FileReviewW12!A73</f>
        <v>PG&amp;E</v>
      </c>
      <c r="B73" s="2" t="str">
        <f>FileReviewW12!DN73</f>
        <v>1) Proposal states that windows to be installed will have u factor of .30 and SHGC of .30 but your energy pro model is showing them modeled at .40. Please correct for full phase.</v>
      </c>
      <c r="C73" s="2"/>
      <c r="D73" s="242"/>
      <c r="E73" s="245" t="b">
        <f>FileReviewW12!DJ73</f>
        <v>0</v>
      </c>
      <c r="F73" s="244" t="b">
        <f>FileReviewW12!DY73</f>
        <v>0</v>
      </c>
      <c r="G73" s="245" t="b">
        <f>FileReviewW12!DK73</f>
        <v>0</v>
      </c>
      <c r="H73" t="b">
        <f>FileReviewW12!DZ73</f>
        <v>0</v>
      </c>
    </row>
    <row r="74" spans="1:8" ht="120" x14ac:dyDescent="0.25">
      <c r="A74" t="str">
        <f>FileReviewW12!A74</f>
        <v>PG&amp;E</v>
      </c>
      <c r="B74" s="2" t="str">
        <f>FileReviewW12!DN74</f>
        <v xml:space="preserve">Rejected. This job was not reviewed. 1. Duct leakage is high. Please confirm leakage cfm with pictures of duct system to explain such high leakage. Any duct leakage over 30% Build It Green will need photos of ducts. The other option is to select “Duct Leakage Not Verified” which calculates a 30% leakage. </v>
      </c>
      <c r="C74" s="2"/>
      <c r="D74" s="242"/>
      <c r="E74" s="245" t="b">
        <f>FileReviewW12!DJ74</f>
        <v>1</v>
      </c>
      <c r="F74" s="244" t="b">
        <f>FileReviewW12!DY74</f>
        <v>0</v>
      </c>
      <c r="G74" s="245" t="b">
        <f>FileReviewW12!DK74</f>
        <v>0</v>
      </c>
      <c r="H74" t="b">
        <f>FileReviewW12!DZ74</f>
        <v>0</v>
      </c>
    </row>
    <row r="75" spans="1:8" ht="120" x14ac:dyDescent="0.25">
      <c r="A75" t="str">
        <f>FileReviewW12!A75</f>
        <v>PG&amp;E</v>
      </c>
      <c r="B75" s="2" t="str">
        <f>FileReviewW12!DN75</f>
        <v>1. The PG&amp;E Service IDs are incorrect. They are two unique 10-digit numbers, labeled Service ID, that can be found on the homeowner's utility bill. They are different from the meter #. If the job is all-electric, or only one utility is provided by PG&amp;E, only one service ID is required. We need these numbers in order to submit the job.</v>
      </c>
      <c r="C75" s="2"/>
      <c r="D75" s="242"/>
      <c r="E75" s="245" t="b">
        <f>FileReviewW12!DJ75</f>
        <v>0</v>
      </c>
      <c r="F75" s="244" t="b">
        <f>FileReviewW12!DY75</f>
        <v>0</v>
      </c>
      <c r="G75" s="245" t="b">
        <f>FileReviewW12!DK75</f>
        <v>0</v>
      </c>
      <c r="H75" t="b">
        <f>FileReviewW12!DZ75</f>
        <v>0</v>
      </c>
    </row>
    <row r="76" spans="1:8" x14ac:dyDescent="0.25">
      <c r="A76" t="s">
        <v>3180</v>
      </c>
      <c r="B76">
        <f>COUNTIF(B2:B23,"*asbestos*")</f>
        <v>6</v>
      </c>
      <c r="C76">
        <f>COUNTIF(C2:C23,"*asbestos*")</f>
        <v>1</v>
      </c>
      <c r="D76">
        <f>COUNTIF(D2:D23,"*asbestos*")</f>
        <v>0</v>
      </c>
      <c r="E76">
        <f>COUNTIF(E2:E23,TRUE)</f>
        <v>4</v>
      </c>
      <c r="F76">
        <f>COUNTIF(F2:F23,TRUE)</f>
        <v>5</v>
      </c>
      <c r="G76">
        <f>COUNTIF(G2:G23,TRUE)</f>
        <v>1</v>
      </c>
      <c r="H76">
        <f>COUNTIF(H2:H23,TRUE)</f>
        <v>7</v>
      </c>
    </row>
    <row r="77" spans="1:8" x14ac:dyDescent="0.25">
      <c r="A77" t="s">
        <v>2195</v>
      </c>
      <c r="B77">
        <f>COUNTIF(B24:B75,"*asbestos*")</f>
        <v>1</v>
      </c>
      <c r="C77">
        <f>COUNTIF(C24:C75,"*asbestos*")</f>
        <v>0</v>
      </c>
      <c r="D77">
        <f>COUNTIF(D24:D75,"*asbestos*")</f>
        <v>0</v>
      </c>
      <c r="E77">
        <f>COUNTIF(E24:E75,TRUE)</f>
        <v>12</v>
      </c>
      <c r="F77">
        <f>COUNTIF(F24:F75,TRUE)</f>
        <v>3</v>
      </c>
      <c r="G77">
        <f>COUNTIF(G24:G75,TRUE)</f>
        <v>4</v>
      </c>
      <c r="H77">
        <f>COUNTIF(H24:H75,TRUE)</f>
        <v>7</v>
      </c>
    </row>
    <row r="78" spans="1:8" x14ac:dyDescent="0.25">
      <c r="D78" s="244"/>
      <c r="E78" s="245"/>
      <c r="F78" s="244"/>
      <c r="G78" s="245"/>
    </row>
    <row r="79" spans="1:8" x14ac:dyDescent="0.25">
      <c r="D79" s="244"/>
      <c r="E79" s="245"/>
      <c r="F79" s="244"/>
      <c r="G79" s="245"/>
    </row>
    <row r="80" spans="1:8" x14ac:dyDescent="0.25">
      <c r="D80" s="244"/>
      <c r="E80" s="245"/>
      <c r="F80" s="244"/>
      <c r="G80" s="245"/>
    </row>
    <row r="81" spans="4:7" x14ac:dyDescent="0.25">
      <c r="D81" s="244"/>
      <c r="E81" s="245"/>
      <c r="F81" s="244"/>
      <c r="G81" s="245"/>
    </row>
    <row r="82" spans="4:7" x14ac:dyDescent="0.25">
      <c r="D82" s="244"/>
      <c r="E82" s="245"/>
      <c r="F82" s="244"/>
      <c r="G82" s="245"/>
    </row>
    <row r="83" spans="4:7" x14ac:dyDescent="0.25">
      <c r="D83" s="244"/>
      <c r="E83" s="245"/>
      <c r="F83" s="244"/>
      <c r="G83" s="245"/>
    </row>
    <row r="84" spans="4:7" x14ac:dyDescent="0.25">
      <c r="D84" s="244"/>
      <c r="E84" s="245"/>
      <c r="F84" s="244"/>
      <c r="G84" s="245"/>
    </row>
    <row r="85" spans="4:7" x14ac:dyDescent="0.25">
      <c r="D85" s="244"/>
      <c r="E85" s="245"/>
      <c r="F85" s="244"/>
      <c r="G85" s="245"/>
    </row>
    <row r="86" spans="4:7" x14ac:dyDescent="0.25">
      <c r="D86" s="244"/>
      <c r="E86" s="245"/>
      <c r="F86" s="244"/>
      <c r="G86" s="245"/>
    </row>
    <row r="87" spans="4:7" x14ac:dyDescent="0.25">
      <c r="D87" s="244"/>
      <c r="E87" s="245"/>
      <c r="F87" s="244"/>
      <c r="G87" s="245"/>
    </row>
    <row r="88" spans="4:7" x14ac:dyDescent="0.25">
      <c r="D88" s="244"/>
      <c r="E88" s="245"/>
      <c r="F88" s="244"/>
      <c r="G88" s="245"/>
    </row>
    <row r="89" spans="4:7" x14ac:dyDescent="0.25">
      <c r="D89" s="244"/>
      <c r="E89" s="245"/>
      <c r="F89" s="244"/>
      <c r="G89" s="245"/>
    </row>
    <row r="90" spans="4:7" x14ac:dyDescent="0.25">
      <c r="D90" s="244"/>
      <c r="E90" s="245"/>
      <c r="F90" s="244"/>
      <c r="G90" s="245"/>
    </row>
    <row r="91" spans="4:7" x14ac:dyDescent="0.25">
      <c r="D91" s="244"/>
      <c r="E91" s="245"/>
      <c r="F91" s="244"/>
      <c r="G91" s="245"/>
    </row>
    <row r="92" spans="4:7" x14ac:dyDescent="0.25">
      <c r="D92" s="244"/>
      <c r="E92" s="245"/>
      <c r="F92" s="244"/>
      <c r="G92" s="245"/>
    </row>
    <row r="93" spans="4:7" x14ac:dyDescent="0.25">
      <c r="D93" s="244"/>
      <c r="E93" s="245"/>
      <c r="F93" s="244"/>
      <c r="G93" s="245"/>
    </row>
    <row r="94" spans="4:7" x14ac:dyDescent="0.25">
      <c r="D94" s="244"/>
      <c r="E94" s="245"/>
      <c r="F94" s="244"/>
      <c r="G94" s="245"/>
    </row>
    <row r="95" spans="4:7" x14ac:dyDescent="0.25">
      <c r="D95" s="244"/>
      <c r="E95" s="245"/>
      <c r="F95" s="244"/>
      <c r="G95" s="245"/>
    </row>
    <row r="96" spans="4:7" x14ac:dyDescent="0.25">
      <c r="D96" s="244"/>
      <c r="E96" s="245"/>
      <c r="F96" s="244"/>
      <c r="G96" s="245"/>
    </row>
    <row r="97" spans="4:7" x14ac:dyDescent="0.25">
      <c r="D97" s="244"/>
      <c r="E97" s="245"/>
      <c r="F97" s="244"/>
      <c r="G97" s="245"/>
    </row>
    <row r="98" spans="4:7" x14ac:dyDescent="0.25">
      <c r="D98" s="244"/>
      <c r="E98" s="245"/>
      <c r="F98" s="244"/>
      <c r="G98" s="245"/>
    </row>
    <row r="99" spans="4:7" x14ac:dyDescent="0.25">
      <c r="D99" s="244"/>
      <c r="E99" s="245"/>
      <c r="F99" s="244"/>
      <c r="G99" s="245"/>
    </row>
    <row r="100" spans="4:7" x14ac:dyDescent="0.25">
      <c r="D100" s="244"/>
      <c r="E100" s="245"/>
      <c r="F100" s="244"/>
      <c r="G100" s="245"/>
    </row>
    <row r="101" spans="4:7" x14ac:dyDescent="0.25">
      <c r="D101" s="244"/>
      <c r="E101" s="245"/>
      <c r="F101" s="244"/>
      <c r="G101" s="245"/>
    </row>
    <row r="102" spans="4:7" x14ac:dyDescent="0.25">
      <c r="D102" s="244"/>
      <c r="E102" s="245"/>
      <c r="F102" s="244"/>
      <c r="G102" s="245"/>
    </row>
    <row r="103" spans="4:7" x14ac:dyDescent="0.25">
      <c r="D103" s="244"/>
      <c r="E103" s="245"/>
      <c r="F103" s="244"/>
      <c r="G103" s="245"/>
    </row>
    <row r="104" spans="4:7" x14ac:dyDescent="0.25">
      <c r="D104" s="244"/>
      <c r="E104" s="245"/>
      <c r="F104" s="244"/>
      <c r="G104" s="245"/>
    </row>
    <row r="105" spans="4:7" x14ac:dyDescent="0.25">
      <c r="D105" s="244"/>
      <c r="E105" s="245"/>
      <c r="F105" s="244"/>
      <c r="G105" s="245"/>
    </row>
    <row r="106" spans="4:7" x14ac:dyDescent="0.25">
      <c r="D106" s="244"/>
      <c r="E106" s="245"/>
      <c r="F106" s="244"/>
      <c r="G106" s="245"/>
    </row>
    <row r="107" spans="4:7" x14ac:dyDescent="0.25">
      <c r="D107" s="244"/>
      <c r="E107" s="245"/>
      <c r="F107" s="244"/>
      <c r="G107" s="245"/>
    </row>
    <row r="108" spans="4:7" x14ac:dyDescent="0.25">
      <c r="D108" s="244"/>
      <c r="E108" s="245"/>
      <c r="F108" s="244"/>
      <c r="G108" s="245"/>
    </row>
    <row r="109" spans="4:7" x14ac:dyDescent="0.25">
      <c r="D109" s="244"/>
      <c r="E109" s="245"/>
      <c r="F109" s="244"/>
      <c r="G109" s="245"/>
    </row>
    <row r="110" spans="4:7" x14ac:dyDescent="0.25">
      <c r="D110" s="244"/>
      <c r="E110" s="245"/>
      <c r="F110" s="244"/>
      <c r="G110" s="245"/>
    </row>
    <row r="111" spans="4:7" x14ac:dyDescent="0.25">
      <c r="D111" s="244"/>
      <c r="E111" s="245"/>
      <c r="F111" s="244"/>
      <c r="G111" s="245"/>
    </row>
    <row r="112" spans="4:7" x14ac:dyDescent="0.25">
      <c r="D112" s="244"/>
      <c r="E112" s="245"/>
      <c r="F112" s="244"/>
      <c r="G112" s="245"/>
    </row>
    <row r="113" spans="4:7" x14ac:dyDescent="0.25">
      <c r="D113" s="244"/>
      <c r="E113" s="245"/>
      <c r="F113" s="244"/>
      <c r="G113" s="245"/>
    </row>
    <row r="114" spans="4:7" x14ac:dyDescent="0.25">
      <c r="D114" s="244"/>
      <c r="E114" s="245"/>
      <c r="F114" s="244"/>
      <c r="G114" s="245"/>
    </row>
    <row r="115" spans="4:7" x14ac:dyDescent="0.25">
      <c r="D115" s="244"/>
      <c r="E115" s="245"/>
      <c r="F115" s="244"/>
      <c r="G115" s="245"/>
    </row>
    <row r="116" spans="4:7" x14ac:dyDescent="0.25">
      <c r="D116" s="244"/>
      <c r="E116" s="245"/>
      <c r="F116" s="244"/>
      <c r="G116" s="245"/>
    </row>
    <row r="117" spans="4:7" x14ac:dyDescent="0.25">
      <c r="D117" s="244"/>
      <c r="E117" s="245"/>
      <c r="F117" s="244"/>
      <c r="G117" s="245"/>
    </row>
    <row r="118" spans="4:7" x14ac:dyDescent="0.25">
      <c r="D118" s="244"/>
      <c r="E118" s="245"/>
      <c r="F118" s="244"/>
      <c r="G118" s="245"/>
    </row>
    <row r="119" spans="4:7" x14ac:dyDescent="0.25">
      <c r="D119" s="244"/>
      <c r="E119" s="245"/>
      <c r="F119" s="244"/>
      <c r="G119" s="245"/>
    </row>
    <row r="120" spans="4:7" x14ac:dyDescent="0.25">
      <c r="D120" s="244"/>
      <c r="E120" s="245"/>
      <c r="F120" s="244"/>
      <c r="G120" s="245"/>
    </row>
    <row r="121" spans="4:7" x14ac:dyDescent="0.25">
      <c r="D121" s="244"/>
      <c r="E121" s="245"/>
      <c r="F121" s="244"/>
      <c r="G121" s="245"/>
    </row>
    <row r="122" spans="4:7" x14ac:dyDescent="0.25">
      <c r="D122" s="244"/>
      <c r="E122" s="245"/>
      <c r="F122" s="244"/>
      <c r="G122" s="245"/>
    </row>
    <row r="123" spans="4:7" x14ac:dyDescent="0.25">
      <c r="D123" s="244"/>
      <c r="E123" s="245"/>
      <c r="F123" s="244"/>
      <c r="G123" s="245"/>
    </row>
    <row r="124" spans="4:7" x14ac:dyDescent="0.25">
      <c r="D124" s="244"/>
      <c r="E124" s="245"/>
      <c r="F124" s="244"/>
      <c r="G124" s="245"/>
    </row>
    <row r="125" spans="4:7" x14ac:dyDescent="0.25">
      <c r="D125" s="244"/>
      <c r="E125" s="245"/>
      <c r="F125" s="244"/>
      <c r="G125" s="245"/>
    </row>
    <row r="126" spans="4:7" x14ac:dyDescent="0.25">
      <c r="D126" s="244"/>
      <c r="E126" s="245"/>
      <c r="F126" s="244"/>
      <c r="G126" s="245"/>
    </row>
    <row r="127" spans="4:7" x14ac:dyDescent="0.25">
      <c r="D127" s="244"/>
      <c r="E127" s="245"/>
      <c r="F127" s="244"/>
      <c r="G127" s="245"/>
    </row>
    <row r="128" spans="4:7" x14ac:dyDescent="0.25">
      <c r="D128" s="244"/>
      <c r="E128" s="245"/>
      <c r="F128" s="244"/>
      <c r="G128" s="245"/>
    </row>
    <row r="129" spans="4:7" x14ac:dyDescent="0.25">
      <c r="D129" s="244"/>
      <c r="E129" s="245"/>
      <c r="F129" s="244"/>
      <c r="G129" s="245"/>
    </row>
    <row r="130" spans="4:7" x14ac:dyDescent="0.25">
      <c r="D130" s="244"/>
      <c r="E130" s="245"/>
      <c r="F130" s="244"/>
      <c r="G130" s="245"/>
    </row>
    <row r="131" spans="4:7" x14ac:dyDescent="0.25">
      <c r="D131" s="244"/>
      <c r="E131" s="245"/>
      <c r="F131" s="244"/>
      <c r="G131" s="245"/>
    </row>
    <row r="132" spans="4:7" x14ac:dyDescent="0.25">
      <c r="D132" s="244"/>
      <c r="E132" s="245"/>
      <c r="F132" s="244"/>
      <c r="G132" s="245"/>
    </row>
    <row r="133" spans="4:7" x14ac:dyDescent="0.25">
      <c r="D133" s="244"/>
      <c r="E133" s="245"/>
      <c r="F133" s="244"/>
      <c r="G133" s="245"/>
    </row>
    <row r="134" spans="4:7" x14ac:dyDescent="0.25">
      <c r="D134" s="244"/>
      <c r="E134" s="245"/>
      <c r="F134" s="244"/>
      <c r="G134" s="245"/>
    </row>
    <row r="135" spans="4:7" x14ac:dyDescent="0.25">
      <c r="D135" s="244"/>
      <c r="E135" s="245"/>
      <c r="F135" s="244"/>
      <c r="G135" s="245"/>
    </row>
    <row r="136" spans="4:7" x14ac:dyDescent="0.25">
      <c r="D136" s="244"/>
      <c r="E136" s="245"/>
      <c r="F136" s="244"/>
      <c r="G136" s="245"/>
    </row>
    <row r="137" spans="4:7" x14ac:dyDescent="0.25">
      <c r="D137" s="244"/>
      <c r="E137" s="245"/>
      <c r="F137" s="244"/>
      <c r="G137" s="245"/>
    </row>
    <row r="138" spans="4:7" x14ac:dyDescent="0.25">
      <c r="D138" s="244"/>
      <c r="E138" s="245"/>
      <c r="F138" s="244"/>
      <c r="G138" s="245"/>
    </row>
    <row r="139" spans="4:7" x14ac:dyDescent="0.25">
      <c r="D139" s="244"/>
      <c r="E139" s="245"/>
      <c r="F139" s="244"/>
      <c r="G139" s="245"/>
    </row>
    <row r="140" spans="4:7" x14ac:dyDescent="0.25">
      <c r="D140" s="244"/>
      <c r="E140" s="245"/>
      <c r="F140" s="244"/>
      <c r="G140" s="245"/>
    </row>
    <row r="141" spans="4:7" x14ac:dyDescent="0.25">
      <c r="D141" s="244"/>
      <c r="E141" s="245"/>
      <c r="F141" s="244"/>
      <c r="G141" s="245"/>
    </row>
    <row r="142" spans="4:7" x14ac:dyDescent="0.25">
      <c r="D142" s="244"/>
      <c r="E142" s="245"/>
      <c r="F142" s="244"/>
      <c r="G142" s="245"/>
    </row>
    <row r="143" spans="4:7" x14ac:dyDescent="0.25">
      <c r="D143" s="244"/>
      <c r="E143" s="245"/>
      <c r="F143" s="244"/>
      <c r="G143" s="245"/>
    </row>
    <row r="144" spans="4:7" x14ac:dyDescent="0.25">
      <c r="D144" s="244"/>
      <c r="E144" s="245"/>
      <c r="F144" s="244"/>
      <c r="G144" s="245"/>
    </row>
    <row r="145" spans="4:7" x14ac:dyDescent="0.25">
      <c r="D145" s="244"/>
      <c r="E145" s="245"/>
      <c r="F145" s="244"/>
      <c r="G145" s="245"/>
    </row>
    <row r="146" spans="4:7" x14ac:dyDescent="0.25">
      <c r="D146" s="244"/>
      <c r="E146" s="245"/>
      <c r="F146" s="244"/>
      <c r="G146" s="245"/>
    </row>
    <row r="147" spans="4:7" x14ac:dyDescent="0.25">
      <c r="D147" s="244"/>
      <c r="E147" s="245"/>
      <c r="F147" s="244"/>
      <c r="G147" s="245"/>
    </row>
    <row r="148" spans="4:7" x14ac:dyDescent="0.25">
      <c r="D148" s="244"/>
      <c r="E148" s="245"/>
      <c r="F148" s="244"/>
      <c r="G148" s="245"/>
    </row>
    <row r="149" spans="4:7" x14ac:dyDescent="0.25">
      <c r="D149" s="244"/>
      <c r="E149" s="245"/>
      <c r="F149" s="244"/>
      <c r="G149" s="245"/>
    </row>
    <row r="150" spans="4:7" x14ac:dyDescent="0.25">
      <c r="D150" s="244"/>
      <c r="E150" s="245"/>
      <c r="F150" s="244"/>
      <c r="G150" s="245"/>
    </row>
    <row r="151" spans="4:7" x14ac:dyDescent="0.25">
      <c r="D151" s="244"/>
      <c r="E151" s="245"/>
      <c r="F151" s="244"/>
      <c r="G151" s="245"/>
    </row>
    <row r="152" spans="4:7" x14ac:dyDescent="0.25">
      <c r="D152" s="244"/>
      <c r="E152" s="245"/>
      <c r="F152" s="244"/>
      <c r="G152" s="245"/>
    </row>
    <row r="153" spans="4:7" x14ac:dyDescent="0.25">
      <c r="D153" s="244"/>
      <c r="E153" s="245"/>
      <c r="F153" s="244"/>
      <c r="G153" s="245"/>
    </row>
    <row r="154" spans="4:7" x14ac:dyDescent="0.25">
      <c r="D154" s="244"/>
      <c r="E154" s="245"/>
      <c r="F154" s="244"/>
      <c r="G154" s="245"/>
    </row>
    <row r="155" spans="4:7" x14ac:dyDescent="0.25">
      <c r="D155" s="244"/>
      <c r="E155" s="245"/>
      <c r="F155" s="244"/>
      <c r="G155" s="245"/>
    </row>
    <row r="156" spans="4:7" x14ac:dyDescent="0.25">
      <c r="D156" s="244"/>
      <c r="E156" s="245"/>
      <c r="F156" s="244"/>
      <c r="G156" s="245"/>
    </row>
    <row r="157" spans="4:7" x14ac:dyDescent="0.25">
      <c r="D157" s="244"/>
      <c r="E157" s="245"/>
      <c r="F157" s="244"/>
      <c r="G157" s="245"/>
    </row>
    <row r="158" spans="4:7" x14ac:dyDescent="0.25">
      <c r="D158" s="244"/>
      <c r="E158" s="245"/>
      <c r="F158" s="244"/>
      <c r="G158" s="245"/>
    </row>
    <row r="159" spans="4:7" x14ac:dyDescent="0.25">
      <c r="D159" s="244"/>
      <c r="E159" s="245"/>
      <c r="F159" s="244"/>
      <c r="G159" s="245"/>
    </row>
    <row r="160" spans="4:7" x14ac:dyDescent="0.25">
      <c r="D160" s="244"/>
      <c r="E160" s="245"/>
      <c r="F160" s="244"/>
      <c r="G160" s="245"/>
    </row>
    <row r="161" spans="4:7" x14ac:dyDescent="0.25">
      <c r="D161" s="244"/>
      <c r="E161" s="245"/>
      <c r="F161" s="244"/>
      <c r="G161" s="245"/>
    </row>
    <row r="162" spans="4:7" x14ac:dyDescent="0.25">
      <c r="D162" s="244"/>
      <c r="E162" s="245"/>
      <c r="F162" s="244"/>
      <c r="G162" s="245"/>
    </row>
    <row r="163" spans="4:7" x14ac:dyDescent="0.25">
      <c r="D163" s="244"/>
      <c r="E163" s="245"/>
      <c r="F163" s="244"/>
      <c r="G163" s="245"/>
    </row>
    <row r="164" spans="4:7" x14ac:dyDescent="0.25">
      <c r="D164" s="244"/>
      <c r="E164" s="245"/>
      <c r="F164" s="244"/>
      <c r="G164" s="245"/>
    </row>
    <row r="165" spans="4:7" x14ac:dyDescent="0.25">
      <c r="D165" s="244"/>
      <c r="E165" s="245"/>
      <c r="F165" s="244"/>
      <c r="G165" s="245"/>
    </row>
    <row r="166" spans="4:7" x14ac:dyDescent="0.25">
      <c r="D166" s="244"/>
      <c r="E166" s="245"/>
      <c r="F166" s="244"/>
      <c r="G166" s="245"/>
    </row>
    <row r="167" spans="4:7" x14ac:dyDescent="0.25">
      <c r="D167" s="244"/>
      <c r="E167" s="245"/>
      <c r="F167" s="244"/>
      <c r="G167" s="245"/>
    </row>
    <row r="168" spans="4:7" x14ac:dyDescent="0.25">
      <c r="D168" s="244"/>
      <c r="E168" s="245"/>
      <c r="F168" s="244"/>
      <c r="G168" s="245"/>
    </row>
    <row r="169" spans="4:7" x14ac:dyDescent="0.25">
      <c r="D169" s="244"/>
      <c r="E169" s="245"/>
      <c r="F169" s="244"/>
      <c r="G169" s="245"/>
    </row>
    <row r="170" spans="4:7" x14ac:dyDescent="0.25">
      <c r="D170" s="244"/>
      <c r="E170" s="245"/>
      <c r="F170" s="244"/>
      <c r="G170" s="245"/>
    </row>
    <row r="171" spans="4:7" x14ac:dyDescent="0.25">
      <c r="D171" s="244"/>
      <c r="E171" s="245"/>
      <c r="F171" s="244"/>
      <c r="G171" s="245"/>
    </row>
    <row r="172" spans="4:7" x14ac:dyDescent="0.25">
      <c r="D172" s="244"/>
      <c r="E172" s="245"/>
      <c r="F172" s="244"/>
      <c r="G172" s="245"/>
    </row>
    <row r="173" spans="4:7" x14ac:dyDescent="0.25">
      <c r="D173" s="244"/>
      <c r="E173" s="245"/>
      <c r="F173" s="244"/>
      <c r="G173" s="245"/>
    </row>
    <row r="174" spans="4:7" x14ac:dyDescent="0.25">
      <c r="D174" s="244"/>
      <c r="E174" s="245"/>
      <c r="F174" s="244"/>
      <c r="G174" s="245"/>
    </row>
    <row r="175" spans="4:7" x14ac:dyDescent="0.25">
      <c r="D175" s="244"/>
      <c r="E175" s="245"/>
      <c r="F175" s="244"/>
      <c r="G175" s="245"/>
    </row>
    <row r="176" spans="4:7" x14ac:dyDescent="0.25">
      <c r="D176" s="244"/>
      <c r="E176" s="245"/>
      <c r="F176" s="244"/>
      <c r="G176" s="245"/>
    </row>
    <row r="177" spans="4:7" x14ac:dyDescent="0.25">
      <c r="D177" s="244"/>
      <c r="E177" s="245"/>
      <c r="F177" s="244"/>
      <c r="G177" s="245"/>
    </row>
    <row r="178" spans="4:7" x14ac:dyDescent="0.25">
      <c r="D178" s="244"/>
      <c r="E178" s="245"/>
      <c r="F178" s="244"/>
      <c r="G178" s="245"/>
    </row>
    <row r="179" spans="4:7" x14ac:dyDescent="0.25">
      <c r="D179" s="244"/>
      <c r="E179" s="245"/>
      <c r="F179" s="244"/>
      <c r="G179" s="245"/>
    </row>
    <row r="180" spans="4:7" x14ac:dyDescent="0.25">
      <c r="D180" s="244"/>
      <c r="E180" s="245"/>
      <c r="F180" s="244"/>
      <c r="G180" s="245"/>
    </row>
    <row r="181" spans="4:7" x14ac:dyDescent="0.25">
      <c r="D181" s="244"/>
      <c r="E181" s="245"/>
      <c r="F181" s="244"/>
      <c r="G181" s="245"/>
    </row>
    <row r="182" spans="4:7" x14ac:dyDescent="0.25">
      <c r="D182" s="244"/>
      <c r="E182" s="245"/>
      <c r="F182" s="244"/>
      <c r="G182" s="245"/>
    </row>
    <row r="183" spans="4:7" x14ac:dyDescent="0.25">
      <c r="D183" s="244"/>
      <c r="E183" s="245"/>
      <c r="F183" s="244"/>
      <c r="G183" s="245"/>
    </row>
    <row r="184" spans="4:7" x14ac:dyDescent="0.25">
      <c r="D184" s="244"/>
      <c r="E184" s="245"/>
      <c r="F184" s="244"/>
      <c r="G184" s="245"/>
    </row>
    <row r="185" spans="4:7" x14ac:dyDescent="0.25">
      <c r="D185" s="244"/>
      <c r="E185" s="245"/>
      <c r="F185" s="244"/>
      <c r="G185" s="245"/>
    </row>
    <row r="186" spans="4:7" x14ac:dyDescent="0.25">
      <c r="D186" s="244"/>
      <c r="E186" s="245"/>
      <c r="F186" s="244"/>
      <c r="G186" s="245"/>
    </row>
    <row r="187" spans="4:7" x14ac:dyDescent="0.25">
      <c r="D187" s="244"/>
      <c r="E187" s="245"/>
      <c r="F187" s="244"/>
      <c r="G187" s="245"/>
    </row>
    <row r="188" spans="4:7" x14ac:dyDescent="0.25">
      <c r="D188" s="244"/>
      <c r="E188" s="245"/>
      <c r="F188" s="244"/>
      <c r="G188" s="245"/>
    </row>
    <row r="189" spans="4:7" x14ac:dyDescent="0.25">
      <c r="D189" s="244"/>
      <c r="E189" s="245"/>
      <c r="F189" s="244"/>
      <c r="G189" s="245"/>
    </row>
    <row r="190" spans="4:7" x14ac:dyDescent="0.25">
      <c r="D190" s="244"/>
      <c r="E190" s="245"/>
      <c r="F190" s="244"/>
      <c r="G190" s="245"/>
    </row>
    <row r="191" spans="4:7" x14ac:dyDescent="0.25">
      <c r="D191" s="244"/>
      <c r="E191" s="245"/>
      <c r="F191" s="244"/>
      <c r="G191" s="245"/>
    </row>
    <row r="192" spans="4:7" x14ac:dyDescent="0.25">
      <c r="D192" s="244"/>
      <c r="E192" s="245"/>
      <c r="F192" s="244"/>
      <c r="G192" s="245"/>
    </row>
    <row r="193" spans="4:7" x14ac:dyDescent="0.25">
      <c r="D193" s="244"/>
      <c r="E193" s="245"/>
      <c r="F193" s="244"/>
      <c r="G193" s="245"/>
    </row>
    <row r="194" spans="4:7" x14ac:dyDescent="0.25">
      <c r="D194" s="244"/>
      <c r="E194" s="245"/>
      <c r="F194" s="244"/>
      <c r="G194" s="245"/>
    </row>
    <row r="195" spans="4:7" x14ac:dyDescent="0.25">
      <c r="D195" s="244"/>
      <c r="E195" s="245"/>
      <c r="F195" s="244"/>
      <c r="G195" s="245"/>
    </row>
    <row r="196" spans="4:7" x14ac:dyDescent="0.25">
      <c r="D196" s="244"/>
      <c r="E196" s="245"/>
      <c r="F196" s="244"/>
      <c r="G196" s="245"/>
    </row>
    <row r="197" spans="4:7" x14ac:dyDescent="0.25">
      <c r="D197" s="244"/>
      <c r="E197" s="245"/>
      <c r="F197" s="244"/>
      <c r="G197" s="245"/>
    </row>
    <row r="198" spans="4:7" x14ac:dyDescent="0.25">
      <c r="D198" s="244"/>
      <c r="E198" s="245"/>
      <c r="F198" s="244"/>
      <c r="G198" s="245"/>
    </row>
    <row r="199" spans="4:7" x14ac:dyDescent="0.25">
      <c r="D199" s="244"/>
      <c r="E199" s="245"/>
      <c r="F199" s="244"/>
      <c r="G199" s="245"/>
    </row>
    <row r="200" spans="4:7" x14ac:dyDescent="0.25">
      <c r="D200" s="244"/>
      <c r="E200" s="245"/>
      <c r="F200" s="244"/>
      <c r="G200" s="245"/>
    </row>
    <row r="201" spans="4:7" x14ac:dyDescent="0.25">
      <c r="D201" s="244"/>
      <c r="E201" s="245"/>
      <c r="F201" s="244"/>
      <c r="G201" s="245"/>
    </row>
    <row r="202" spans="4:7" x14ac:dyDescent="0.25">
      <c r="D202" s="244"/>
      <c r="E202" s="245"/>
      <c r="F202" s="244"/>
      <c r="G202" s="245"/>
    </row>
    <row r="203" spans="4:7" x14ac:dyDescent="0.25">
      <c r="D203" s="244"/>
      <c r="E203" s="245"/>
      <c r="F203" s="244"/>
      <c r="G203" s="245"/>
    </row>
    <row r="204" spans="4:7" x14ac:dyDescent="0.25">
      <c r="D204" s="244"/>
      <c r="E204" s="245"/>
      <c r="F204" s="244"/>
      <c r="G204" s="245"/>
    </row>
    <row r="205" spans="4:7" x14ac:dyDescent="0.25">
      <c r="D205" s="244"/>
      <c r="E205" s="245"/>
      <c r="F205" s="244"/>
      <c r="G205" s="245"/>
    </row>
    <row r="206" spans="4:7" x14ac:dyDescent="0.25">
      <c r="D206" s="244"/>
      <c r="E206" s="245"/>
      <c r="F206" s="244"/>
      <c r="G206" s="245"/>
    </row>
    <row r="207" spans="4:7" x14ac:dyDescent="0.25">
      <c r="D207" s="244"/>
      <c r="E207" s="245"/>
      <c r="F207" s="244"/>
      <c r="G207" s="245"/>
    </row>
    <row r="208" spans="4:7" x14ac:dyDescent="0.25">
      <c r="D208" s="244"/>
      <c r="E208" s="245"/>
      <c r="F208" s="244"/>
      <c r="G208" s="245"/>
    </row>
    <row r="209" spans="4:7" x14ac:dyDescent="0.25">
      <c r="D209" s="244"/>
      <c r="E209" s="245"/>
      <c r="F209" s="244"/>
      <c r="G209" s="245"/>
    </row>
    <row r="210" spans="4:7" x14ac:dyDescent="0.25">
      <c r="D210" s="244"/>
      <c r="E210" s="245"/>
      <c r="F210" s="244"/>
      <c r="G210" s="245"/>
    </row>
    <row r="211" spans="4:7" x14ac:dyDescent="0.25">
      <c r="D211" s="244"/>
      <c r="E211" s="245"/>
      <c r="F211" s="244"/>
      <c r="G211" s="245"/>
    </row>
    <row r="212" spans="4:7" x14ac:dyDescent="0.25">
      <c r="D212" s="244"/>
      <c r="E212" s="245"/>
      <c r="F212" s="244"/>
      <c r="G212" s="245"/>
    </row>
    <row r="213" spans="4:7" x14ac:dyDescent="0.25">
      <c r="D213" s="244"/>
      <c r="E213" s="245"/>
      <c r="F213" s="244"/>
      <c r="G213" s="245"/>
    </row>
    <row r="214" spans="4:7" x14ac:dyDescent="0.25">
      <c r="D214" s="244"/>
      <c r="E214" s="245"/>
      <c r="F214" s="244"/>
      <c r="G214" s="245"/>
    </row>
    <row r="215" spans="4:7" x14ac:dyDescent="0.25">
      <c r="D215" s="244"/>
      <c r="E215" s="245"/>
      <c r="F215" s="244"/>
      <c r="G215" s="245"/>
    </row>
    <row r="216" spans="4:7" x14ac:dyDescent="0.25">
      <c r="D216" s="244"/>
      <c r="E216" s="245"/>
      <c r="F216" s="244"/>
      <c r="G216" s="245"/>
    </row>
    <row r="217" spans="4:7" x14ac:dyDescent="0.25">
      <c r="D217" s="244"/>
      <c r="E217" s="245"/>
      <c r="F217" s="244"/>
      <c r="G217" s="245"/>
    </row>
    <row r="218" spans="4:7" x14ac:dyDescent="0.25">
      <c r="D218" s="244"/>
      <c r="E218" s="245"/>
      <c r="F218" s="244"/>
      <c r="G218" s="245"/>
    </row>
    <row r="219" spans="4:7" x14ac:dyDescent="0.25">
      <c r="D219" s="244"/>
      <c r="E219" s="245"/>
      <c r="F219" s="244"/>
      <c r="G219" s="245"/>
    </row>
    <row r="220" spans="4:7" x14ac:dyDescent="0.25">
      <c r="D220" s="244"/>
      <c r="E220" s="245"/>
      <c r="F220" s="244"/>
      <c r="G220" s="245"/>
    </row>
    <row r="221" spans="4:7" x14ac:dyDescent="0.25">
      <c r="D221" s="244"/>
      <c r="E221" s="245"/>
      <c r="F221" s="244"/>
      <c r="G221" s="245"/>
    </row>
    <row r="222" spans="4:7" x14ac:dyDescent="0.25">
      <c r="D222" s="244"/>
      <c r="E222" s="245"/>
      <c r="F222" s="244"/>
      <c r="G222" s="245"/>
    </row>
    <row r="223" spans="4:7" x14ac:dyDescent="0.25">
      <c r="D223" s="244"/>
      <c r="E223" s="245"/>
      <c r="F223" s="244"/>
      <c r="G223" s="245"/>
    </row>
    <row r="224" spans="4:7" x14ac:dyDescent="0.25">
      <c r="D224" s="244"/>
      <c r="E224" s="245"/>
      <c r="F224" s="244"/>
      <c r="G224" s="245"/>
    </row>
    <row r="225" spans="4:7" x14ac:dyDescent="0.25">
      <c r="D225" s="244"/>
      <c r="E225" s="245"/>
      <c r="F225" s="244"/>
      <c r="G225" s="245"/>
    </row>
    <row r="226" spans="4:7" x14ac:dyDescent="0.25">
      <c r="D226" s="244"/>
      <c r="E226" s="245"/>
      <c r="F226" s="244"/>
      <c r="G226" s="245"/>
    </row>
    <row r="227" spans="4:7" x14ac:dyDescent="0.25">
      <c r="D227" s="244"/>
      <c r="E227" s="245"/>
      <c r="F227" s="244"/>
      <c r="G227" s="245"/>
    </row>
    <row r="228" spans="4:7" x14ac:dyDescent="0.25">
      <c r="D228" s="244"/>
      <c r="E228" s="245"/>
      <c r="F228" s="244"/>
      <c r="G228" s="245"/>
    </row>
    <row r="229" spans="4:7" x14ac:dyDescent="0.25">
      <c r="D229" s="244"/>
      <c r="E229" s="245"/>
      <c r="F229" s="244"/>
      <c r="G229" s="245"/>
    </row>
    <row r="230" spans="4:7" x14ac:dyDescent="0.25">
      <c r="D230" s="244"/>
      <c r="E230" s="245"/>
      <c r="F230" s="244"/>
      <c r="G230" s="245"/>
    </row>
    <row r="231" spans="4:7" x14ac:dyDescent="0.25">
      <c r="D231" s="244"/>
      <c r="E231" s="245"/>
      <c r="F231" s="244"/>
      <c r="G231" s="245"/>
    </row>
    <row r="232" spans="4:7" x14ac:dyDescent="0.25">
      <c r="D232" s="244"/>
      <c r="E232" s="245"/>
      <c r="F232" s="244"/>
      <c r="G232" s="245"/>
    </row>
    <row r="233" spans="4:7" x14ac:dyDescent="0.25">
      <c r="D233" s="244"/>
      <c r="E233" s="245"/>
      <c r="F233" s="244"/>
      <c r="G233" s="245"/>
    </row>
    <row r="234" spans="4:7" x14ac:dyDescent="0.25">
      <c r="D234" s="244"/>
      <c r="E234" s="245"/>
      <c r="F234" s="244"/>
      <c r="G234" s="245"/>
    </row>
    <row r="235" spans="4:7" x14ac:dyDescent="0.25">
      <c r="D235" s="244"/>
      <c r="E235" s="245"/>
      <c r="F235" s="244"/>
      <c r="G235" s="245"/>
    </row>
    <row r="236" spans="4:7" x14ac:dyDescent="0.25">
      <c r="D236" s="244"/>
      <c r="E236" s="245"/>
      <c r="F236" s="244"/>
      <c r="G236" s="245"/>
    </row>
    <row r="237" spans="4:7" x14ac:dyDescent="0.25">
      <c r="D237" s="244"/>
      <c r="E237" s="245"/>
      <c r="F237" s="244"/>
      <c r="G237" s="245"/>
    </row>
    <row r="238" spans="4:7" x14ac:dyDescent="0.25">
      <c r="D238" s="244"/>
      <c r="E238" s="245"/>
      <c r="F238" s="244"/>
      <c r="G238" s="245"/>
    </row>
    <row r="239" spans="4:7" x14ac:dyDescent="0.25">
      <c r="D239" s="244"/>
      <c r="E239" s="245"/>
      <c r="F239" s="244"/>
      <c r="G239" s="245"/>
    </row>
    <row r="240" spans="4:7" x14ac:dyDescent="0.25">
      <c r="D240" s="244"/>
      <c r="E240" s="245"/>
      <c r="F240" s="244"/>
      <c r="G240" s="245"/>
    </row>
    <row r="241" spans="4:7" x14ac:dyDescent="0.25">
      <c r="D241" s="244"/>
      <c r="E241" s="245"/>
      <c r="F241" s="244"/>
      <c r="G241" s="245"/>
    </row>
    <row r="242" spans="4:7" x14ac:dyDescent="0.25">
      <c r="D242" s="244"/>
      <c r="E242" s="245"/>
      <c r="F242" s="244"/>
      <c r="G242" s="245"/>
    </row>
    <row r="243" spans="4:7" x14ac:dyDescent="0.25">
      <c r="D243" s="244"/>
      <c r="E243" s="245"/>
      <c r="F243" s="244"/>
      <c r="G243" s="245"/>
    </row>
    <row r="244" spans="4:7" x14ac:dyDescent="0.25">
      <c r="D244" s="244"/>
      <c r="E244" s="245"/>
      <c r="F244" s="244"/>
      <c r="G244" s="245"/>
    </row>
    <row r="245" spans="4:7" x14ac:dyDescent="0.25">
      <c r="D245" s="244"/>
      <c r="E245" s="245"/>
      <c r="F245" s="244"/>
      <c r="G245" s="245"/>
    </row>
    <row r="246" spans="4:7" x14ac:dyDescent="0.25">
      <c r="D246" s="244"/>
      <c r="E246" s="245"/>
      <c r="F246" s="244"/>
      <c r="G246" s="245"/>
    </row>
    <row r="247" spans="4:7" x14ac:dyDescent="0.25">
      <c r="D247" s="244"/>
      <c r="E247" s="245"/>
      <c r="F247" s="244"/>
      <c r="G247" s="245"/>
    </row>
    <row r="248" spans="4:7" x14ac:dyDescent="0.25">
      <c r="D248" s="244"/>
      <c r="E248" s="245"/>
      <c r="F248" s="244"/>
      <c r="G248" s="245"/>
    </row>
    <row r="249" spans="4:7" x14ac:dyDescent="0.25">
      <c r="D249" s="244"/>
      <c r="E249" s="245"/>
      <c r="F249" s="244"/>
      <c r="G249" s="245"/>
    </row>
    <row r="250" spans="4:7" x14ac:dyDescent="0.25">
      <c r="D250" s="244"/>
      <c r="E250" s="245"/>
      <c r="F250" s="244"/>
      <c r="G250" s="245"/>
    </row>
    <row r="251" spans="4:7" x14ac:dyDescent="0.25">
      <c r="D251" s="244"/>
      <c r="E251" s="245"/>
      <c r="F251" s="244"/>
      <c r="G251" s="245"/>
    </row>
    <row r="252" spans="4:7" x14ac:dyDescent="0.25">
      <c r="D252" s="244"/>
      <c r="E252" s="245"/>
      <c r="F252" s="244"/>
      <c r="G252" s="245"/>
    </row>
    <row r="253" spans="4:7" x14ac:dyDescent="0.25">
      <c r="D253" s="244"/>
      <c r="E253" s="245"/>
      <c r="F253" s="244"/>
      <c r="G253" s="245"/>
    </row>
    <row r="254" spans="4:7" x14ac:dyDescent="0.25">
      <c r="D254" s="244"/>
      <c r="E254" s="245"/>
      <c r="F254" s="244"/>
      <c r="G254" s="245"/>
    </row>
    <row r="255" spans="4:7" x14ac:dyDescent="0.25">
      <c r="D255" s="244"/>
      <c r="E255" s="245"/>
      <c r="F255" s="244"/>
      <c r="G255" s="245"/>
    </row>
    <row r="256" spans="4:7" x14ac:dyDescent="0.25">
      <c r="D256" s="244"/>
      <c r="E256" s="245"/>
      <c r="F256" s="244"/>
      <c r="G256" s="245"/>
    </row>
    <row r="257" spans="4:7" x14ac:dyDescent="0.25">
      <c r="D257" s="244"/>
      <c r="E257" s="245"/>
      <c r="F257" s="244"/>
      <c r="G257" s="245"/>
    </row>
    <row r="258" spans="4:7" x14ac:dyDescent="0.25">
      <c r="D258" s="244"/>
      <c r="E258" s="245"/>
      <c r="F258" s="244"/>
      <c r="G258" s="245"/>
    </row>
    <row r="259" spans="4:7" x14ac:dyDescent="0.25">
      <c r="D259" s="244"/>
      <c r="E259" s="245"/>
      <c r="F259" s="244"/>
      <c r="G259" s="245"/>
    </row>
    <row r="260" spans="4:7" x14ac:dyDescent="0.25">
      <c r="D260" s="244"/>
      <c r="E260" s="245"/>
      <c r="F260" s="244"/>
      <c r="G260" s="245"/>
    </row>
    <row r="261" spans="4:7" x14ac:dyDescent="0.25">
      <c r="D261" s="244"/>
      <c r="E261" s="245"/>
      <c r="F261" s="244"/>
      <c r="G261" s="245"/>
    </row>
    <row r="262" spans="4:7" x14ac:dyDescent="0.25">
      <c r="D262" s="244"/>
      <c r="E262" s="245"/>
      <c r="F262" s="244"/>
      <c r="G262" s="245"/>
    </row>
    <row r="263" spans="4:7" x14ac:dyDescent="0.25">
      <c r="D263" s="244"/>
      <c r="E263" s="245"/>
      <c r="F263" s="244"/>
      <c r="G263" s="245"/>
    </row>
    <row r="264" spans="4:7" x14ac:dyDescent="0.25">
      <c r="D264" s="244"/>
      <c r="E264" s="245"/>
      <c r="F264" s="244"/>
      <c r="G264" s="245"/>
    </row>
    <row r="265" spans="4:7" x14ac:dyDescent="0.25">
      <c r="D265" s="244"/>
      <c r="E265" s="245"/>
      <c r="F265" s="244"/>
      <c r="G265" s="245"/>
    </row>
    <row r="266" spans="4:7" x14ac:dyDescent="0.25">
      <c r="D266" s="244"/>
      <c r="E266" s="245"/>
      <c r="F266" s="244"/>
      <c r="G266" s="245"/>
    </row>
    <row r="267" spans="4:7" x14ac:dyDescent="0.25">
      <c r="D267" s="244"/>
      <c r="E267" s="245"/>
      <c r="F267" s="244"/>
      <c r="G267" s="245"/>
    </row>
    <row r="268" spans="4:7" x14ac:dyDescent="0.25">
      <c r="D268" s="244"/>
      <c r="E268" s="245"/>
      <c r="F268" s="244"/>
      <c r="G268" s="245"/>
    </row>
    <row r="269" spans="4:7" x14ac:dyDescent="0.25">
      <c r="D269" s="244"/>
      <c r="E269" s="245"/>
      <c r="F269" s="244"/>
      <c r="G269" s="245"/>
    </row>
    <row r="270" spans="4:7" x14ac:dyDescent="0.25">
      <c r="D270" s="244"/>
      <c r="E270" s="245"/>
      <c r="F270" s="244"/>
      <c r="G270" s="245"/>
    </row>
    <row r="271" spans="4:7" x14ac:dyDescent="0.25">
      <c r="D271" s="244"/>
      <c r="E271" s="245"/>
      <c r="F271" s="244"/>
      <c r="G271" s="245"/>
    </row>
    <row r="272" spans="4:7" x14ac:dyDescent="0.25">
      <c r="D272" s="244"/>
      <c r="E272" s="245"/>
      <c r="F272" s="244"/>
      <c r="G272" s="245"/>
    </row>
    <row r="273" spans="4:7" x14ac:dyDescent="0.25">
      <c r="D273" s="244"/>
      <c r="E273" s="245"/>
      <c r="F273" s="244"/>
      <c r="G273" s="245"/>
    </row>
    <row r="274" spans="4:7" x14ac:dyDescent="0.25">
      <c r="D274" s="244"/>
      <c r="E274" s="245"/>
      <c r="F274" s="244"/>
      <c r="G274" s="245"/>
    </row>
    <row r="275" spans="4:7" x14ac:dyDescent="0.25">
      <c r="D275" s="244"/>
      <c r="E275" s="245"/>
      <c r="F275" s="244"/>
      <c r="G275" s="245"/>
    </row>
    <row r="276" spans="4:7" x14ac:dyDescent="0.25">
      <c r="D276" s="244"/>
      <c r="E276" s="245"/>
      <c r="F276" s="244"/>
      <c r="G276" s="245"/>
    </row>
    <row r="277" spans="4:7" x14ac:dyDescent="0.25">
      <c r="D277" s="244"/>
      <c r="E277" s="245"/>
      <c r="F277" s="244"/>
      <c r="G277" s="245"/>
    </row>
    <row r="278" spans="4:7" x14ac:dyDescent="0.25">
      <c r="D278" s="244"/>
      <c r="E278" s="245"/>
      <c r="F278" s="244"/>
      <c r="G278" s="245"/>
    </row>
    <row r="279" spans="4:7" x14ac:dyDescent="0.25">
      <c r="D279" s="244"/>
      <c r="E279" s="245"/>
      <c r="F279" s="244"/>
      <c r="G279" s="245"/>
    </row>
    <row r="280" spans="4:7" x14ac:dyDescent="0.25">
      <c r="D280" s="244"/>
      <c r="E280" s="245"/>
      <c r="F280" s="244"/>
      <c r="G280" s="245"/>
    </row>
    <row r="281" spans="4:7" x14ac:dyDescent="0.25">
      <c r="D281" s="244"/>
      <c r="E281" s="245"/>
      <c r="F281" s="244"/>
      <c r="G281" s="245"/>
    </row>
    <row r="282" spans="4:7" x14ac:dyDescent="0.25">
      <c r="D282" s="244"/>
      <c r="E282" s="245"/>
      <c r="F282" s="244"/>
      <c r="G282" s="245"/>
    </row>
    <row r="283" spans="4:7" x14ac:dyDescent="0.25">
      <c r="D283" s="244"/>
      <c r="E283" s="245"/>
      <c r="F283" s="244"/>
      <c r="G283" s="245"/>
    </row>
    <row r="284" spans="4:7" x14ac:dyDescent="0.25">
      <c r="D284" s="244"/>
      <c r="E284" s="245"/>
      <c r="F284" s="244"/>
      <c r="G284" s="245"/>
    </row>
    <row r="285" spans="4:7" x14ac:dyDescent="0.25">
      <c r="D285" s="244"/>
      <c r="E285" s="245"/>
      <c r="F285" s="244"/>
      <c r="G285" s="245"/>
    </row>
    <row r="286" spans="4:7" x14ac:dyDescent="0.25">
      <c r="D286" s="244"/>
      <c r="E286" s="245"/>
      <c r="F286" s="244"/>
      <c r="G286" s="245"/>
    </row>
    <row r="287" spans="4:7" x14ac:dyDescent="0.25">
      <c r="D287" s="244"/>
      <c r="E287" s="245"/>
      <c r="F287" s="244"/>
      <c r="G287" s="245"/>
    </row>
    <row r="288" spans="4:7" x14ac:dyDescent="0.25">
      <c r="D288" s="244"/>
      <c r="E288" s="245"/>
      <c r="F288" s="244"/>
      <c r="G288" s="245"/>
    </row>
    <row r="289" spans="4:7" x14ac:dyDescent="0.25">
      <c r="D289" s="244"/>
      <c r="E289" s="245"/>
      <c r="F289" s="244"/>
      <c r="G289" s="245"/>
    </row>
    <row r="290" spans="4:7" x14ac:dyDescent="0.25">
      <c r="D290" s="244"/>
      <c r="E290" s="245"/>
      <c r="F290" s="244"/>
      <c r="G290" s="245"/>
    </row>
    <row r="291" spans="4:7" x14ac:dyDescent="0.25">
      <c r="D291" s="244"/>
      <c r="E291" s="245"/>
      <c r="F291" s="244"/>
      <c r="G291" s="245"/>
    </row>
    <row r="292" spans="4:7" x14ac:dyDescent="0.25">
      <c r="D292" s="244"/>
      <c r="E292" s="245"/>
      <c r="F292" s="244"/>
      <c r="G292" s="245"/>
    </row>
    <row r="293" spans="4:7" x14ac:dyDescent="0.25">
      <c r="D293" s="244"/>
      <c r="E293" s="245"/>
      <c r="F293" s="244"/>
      <c r="G293" s="245"/>
    </row>
    <row r="294" spans="4:7" x14ac:dyDescent="0.25">
      <c r="D294" s="244"/>
      <c r="E294" s="245"/>
      <c r="F294" s="244"/>
      <c r="G294" s="245"/>
    </row>
    <row r="295" spans="4:7" x14ac:dyDescent="0.25">
      <c r="D295" s="244"/>
      <c r="E295" s="245"/>
      <c r="F295" s="244"/>
      <c r="G295" s="245"/>
    </row>
    <row r="296" spans="4:7" x14ac:dyDescent="0.25">
      <c r="D296" s="244"/>
      <c r="E296" s="245"/>
      <c r="F296" s="244"/>
      <c r="G296" s="245"/>
    </row>
    <row r="297" spans="4:7" x14ac:dyDescent="0.25">
      <c r="D297" s="244"/>
      <c r="E297" s="245"/>
      <c r="F297" s="244"/>
      <c r="G297" s="245"/>
    </row>
    <row r="298" spans="4:7" x14ac:dyDescent="0.25">
      <c r="D298" s="244"/>
      <c r="E298" s="245"/>
      <c r="F298" s="244"/>
      <c r="G298" s="245"/>
    </row>
    <row r="299" spans="4:7" x14ac:dyDescent="0.25">
      <c r="D299" s="244"/>
      <c r="E299" s="245"/>
      <c r="F299" s="244"/>
      <c r="G299" s="245"/>
    </row>
    <row r="300" spans="4:7" x14ac:dyDescent="0.25">
      <c r="D300" s="244"/>
      <c r="E300" s="245"/>
      <c r="F300" s="244"/>
      <c r="G300" s="245"/>
    </row>
    <row r="301" spans="4:7" x14ac:dyDescent="0.25">
      <c r="D301" s="244"/>
      <c r="E301" s="245"/>
      <c r="F301" s="244"/>
      <c r="G301" s="245"/>
    </row>
    <row r="302" spans="4:7" x14ac:dyDescent="0.25">
      <c r="D302" s="244"/>
      <c r="E302" s="245"/>
      <c r="F302" s="244"/>
      <c r="G302" s="245"/>
    </row>
  </sheetData>
  <customSheetViews>
    <customSheetView guid="{679A3195-3DEA-4AC2-A535-82AAF5B552BC}" state="hidden" topLeftCell="A72">
      <selection activeCell="A7" sqref="A7"/>
      <pageMargins left="0.7" right="0.7" top="0.75" bottom="0.75" header="0.3" footer="0.3"/>
    </customSheetView>
    <customSheetView guid="{7378B641-E8D1-4C14-8151-CF4CE159D121}" topLeftCell="A72">
      <selection activeCell="A76" sqref="A76"/>
      <pageMargins left="0.7" right="0.7" top="0.75" bottom="0.75" header="0.3" footer="0.3"/>
    </customSheetView>
    <customSheetView guid="{6D63B10B-E1E6-452A-80EB-4B2C7D61CF66}" state="hidden" topLeftCell="A72">
      <selection activeCell="A7" sqref="A7"/>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G60"/>
  <sheetViews>
    <sheetView topLeftCell="C1"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50.42578125" customWidth="1"/>
    <col min="5" max="5" width="18.7109375" customWidth="1"/>
    <col min="6" max="6" width="14" customWidth="1"/>
    <col min="7" max="7" width="17.85546875" customWidth="1"/>
  </cols>
  <sheetData>
    <row r="1" spans="1:7" ht="22.5" customHeight="1" x14ac:dyDescent="0.25">
      <c r="A1" s="3" t="s">
        <v>26</v>
      </c>
      <c r="B1" s="4" t="s">
        <v>2207</v>
      </c>
      <c r="C1" s="535" t="s">
        <v>3058</v>
      </c>
      <c r="D1" s="558" t="str">
        <f>B1</f>
        <v>Apparent instance of fire and mold hazard due to incorrect floor insulation installation</v>
      </c>
    </row>
    <row r="2" spans="1:7" x14ac:dyDescent="0.25">
      <c r="A2" t="s">
        <v>20</v>
      </c>
      <c r="B2" s="2" t="s">
        <v>58</v>
      </c>
      <c r="C2" s="536" t="s">
        <v>3059</v>
      </c>
    </row>
    <row r="3" spans="1:7" x14ac:dyDescent="0.25">
      <c r="A3" t="s">
        <v>1184</v>
      </c>
      <c r="B3" s="2" t="s">
        <v>3151</v>
      </c>
      <c r="C3" s="536" t="s">
        <v>1193</v>
      </c>
    </row>
    <row r="4" spans="1:7" x14ac:dyDescent="0.25">
      <c r="A4" t="s">
        <v>3136</v>
      </c>
      <c r="B4" s="2" t="s">
        <v>3133</v>
      </c>
      <c r="D4" s="101"/>
      <c r="E4" s="182"/>
      <c r="F4" s="81"/>
      <c r="G4" s="81"/>
    </row>
    <row r="5" spans="1:7" x14ac:dyDescent="0.25">
      <c r="B5" s="2"/>
      <c r="C5" s="2"/>
      <c r="D5" s="81"/>
      <c r="E5" s="83"/>
      <c r="F5" s="183"/>
      <c r="G5" s="248"/>
    </row>
    <row r="6" spans="1:7" x14ac:dyDescent="0.25">
      <c r="D6" s="81"/>
      <c r="E6" s="83"/>
      <c r="F6" s="83"/>
      <c r="G6" s="247"/>
    </row>
    <row r="7" spans="1:7" x14ac:dyDescent="0.25">
      <c r="D7" s="81"/>
      <c r="E7" s="83"/>
      <c r="F7" s="83"/>
      <c r="G7" s="188"/>
    </row>
    <row r="8" spans="1:7" x14ac:dyDescent="0.25">
      <c r="D8" s="81"/>
      <c r="E8" s="83"/>
      <c r="F8" s="83"/>
    </row>
    <row r="9" spans="1:7" x14ac:dyDescent="0.25">
      <c r="D9" s="81"/>
      <c r="E9" s="83"/>
      <c r="F9" s="83"/>
    </row>
    <row r="10" spans="1:7" x14ac:dyDescent="0.25">
      <c r="D10" s="81"/>
      <c r="E10" s="83"/>
      <c r="F10" s="83"/>
    </row>
    <row r="11" spans="1:7" x14ac:dyDescent="0.25">
      <c r="D11" s="81"/>
      <c r="E11" s="83"/>
      <c r="F11" s="83"/>
    </row>
    <row r="12" spans="1:7" x14ac:dyDescent="0.25">
      <c r="D12" s="81"/>
      <c r="E12" s="82"/>
      <c r="F12" s="84"/>
    </row>
    <row r="13" spans="1:7" x14ac:dyDescent="0.25">
      <c r="D13" s="81"/>
      <c r="E13" s="82"/>
      <c r="F13" s="84"/>
    </row>
    <row r="14" spans="1:7" x14ac:dyDescent="0.25">
      <c r="D14" s="81"/>
      <c r="E14" s="82"/>
      <c r="F14" s="84"/>
    </row>
    <row r="15" spans="1:7" x14ac:dyDescent="0.25">
      <c r="D15" s="81"/>
      <c r="E15" s="82"/>
    </row>
    <row r="16" spans="1:7" x14ac:dyDescent="0.25">
      <c r="D16" s="81"/>
      <c r="E16" s="82"/>
    </row>
    <row r="17" spans="4:5" x14ac:dyDescent="0.25">
      <c r="D17" s="81"/>
      <c r="E17" s="82"/>
    </row>
    <row r="18" spans="4:5" x14ac:dyDescent="0.25">
      <c r="D18" s="81"/>
      <c r="E18" s="82"/>
    </row>
    <row r="19" spans="4:5" x14ac:dyDescent="0.25">
      <c r="D19" s="81"/>
      <c r="E19" s="82"/>
    </row>
    <row r="20" spans="4:5" x14ac:dyDescent="0.25">
      <c r="D20" s="81"/>
      <c r="E20" s="82"/>
    </row>
    <row r="21" spans="4:5" x14ac:dyDescent="0.25">
      <c r="D21" s="81"/>
      <c r="E21" s="82"/>
    </row>
    <row r="22" spans="4:5" x14ac:dyDescent="0.25">
      <c r="D22" s="81"/>
      <c r="E22" s="82"/>
    </row>
    <row r="23" spans="4:5" x14ac:dyDescent="0.25">
      <c r="D23" s="81"/>
      <c r="E23" s="82"/>
    </row>
    <row r="24" spans="4:5" x14ac:dyDescent="0.25">
      <c r="D24" s="81"/>
      <c r="E24" s="82"/>
    </row>
    <row r="25" spans="4:5" x14ac:dyDescent="0.25">
      <c r="D25" s="81"/>
      <c r="E25" s="82"/>
    </row>
    <row r="26" spans="4:5" x14ac:dyDescent="0.25">
      <c r="D26" s="81"/>
      <c r="E26" s="82"/>
    </row>
    <row r="27" spans="4:5" x14ac:dyDescent="0.25">
      <c r="D27" s="81"/>
      <c r="E27" s="82"/>
    </row>
    <row r="28" spans="4:5" x14ac:dyDescent="0.25">
      <c r="D28" s="81"/>
      <c r="E28" s="82"/>
    </row>
    <row r="29" spans="4:5" x14ac:dyDescent="0.25">
      <c r="D29" s="81"/>
      <c r="E29" s="82"/>
    </row>
    <row r="30" spans="4:5" x14ac:dyDescent="0.25">
      <c r="D30" s="81"/>
      <c r="E30" s="82"/>
    </row>
    <row r="31" spans="4:5" x14ac:dyDescent="0.25">
      <c r="D31" s="81"/>
      <c r="E31" s="82"/>
    </row>
    <row r="32" spans="4:5" x14ac:dyDescent="0.25">
      <c r="D32" s="81"/>
      <c r="E32" s="82"/>
    </row>
    <row r="33" spans="4:5" x14ac:dyDescent="0.25">
      <c r="D33" s="81"/>
      <c r="E33" s="82"/>
    </row>
    <row r="34" spans="4:5" x14ac:dyDescent="0.25">
      <c r="D34" s="81"/>
      <c r="E34" s="82"/>
    </row>
    <row r="35" spans="4:5" x14ac:dyDescent="0.25">
      <c r="D35" s="81"/>
      <c r="E35" s="82"/>
    </row>
    <row r="36" spans="4:5" x14ac:dyDescent="0.25">
      <c r="D36" s="81"/>
      <c r="E36" s="82"/>
    </row>
    <row r="37" spans="4:5" x14ac:dyDescent="0.25">
      <c r="D37" s="81"/>
      <c r="E37" s="82"/>
    </row>
    <row r="38" spans="4:5" x14ac:dyDescent="0.25">
      <c r="D38" s="81"/>
      <c r="E38" s="82"/>
    </row>
    <row r="39" spans="4:5" x14ac:dyDescent="0.25">
      <c r="D39" s="81"/>
      <c r="E39" s="82"/>
    </row>
    <row r="40" spans="4:5" x14ac:dyDescent="0.25">
      <c r="D40" s="81"/>
      <c r="E40" s="82"/>
    </row>
    <row r="41" spans="4:5" x14ac:dyDescent="0.25">
      <c r="D41" s="81"/>
      <c r="E41" s="82"/>
    </row>
    <row r="42" spans="4:5" x14ac:dyDescent="0.25">
      <c r="D42" s="81"/>
      <c r="E42" s="82"/>
    </row>
    <row r="43" spans="4:5" x14ac:dyDescent="0.25">
      <c r="D43" s="81"/>
      <c r="E43" s="82"/>
    </row>
    <row r="44" spans="4:5" x14ac:dyDescent="0.25">
      <c r="D44" s="81"/>
      <c r="E44" s="82"/>
    </row>
    <row r="45" spans="4:5" x14ac:dyDescent="0.25">
      <c r="D45" s="81"/>
      <c r="E45" s="82"/>
    </row>
    <row r="46" spans="4:5" x14ac:dyDescent="0.25">
      <c r="D46" s="81"/>
      <c r="E46" s="82"/>
    </row>
    <row r="47" spans="4:5" x14ac:dyDescent="0.25">
      <c r="D47" s="81"/>
      <c r="E47" s="82"/>
    </row>
    <row r="48" spans="4:5" x14ac:dyDescent="0.25">
      <c r="D48" s="81"/>
      <c r="E48" s="82"/>
    </row>
    <row r="49" spans="5:5" x14ac:dyDescent="0.25">
      <c r="E49" s="82"/>
    </row>
    <row r="50" spans="5:5" x14ac:dyDescent="0.25">
      <c r="E50" s="82"/>
    </row>
    <row r="51" spans="5:5" x14ac:dyDescent="0.25">
      <c r="E51" s="82"/>
    </row>
    <row r="52" spans="5:5" x14ac:dyDescent="0.25">
      <c r="E52" s="82"/>
    </row>
    <row r="53" spans="5:5" x14ac:dyDescent="0.25">
      <c r="E53" s="82"/>
    </row>
    <row r="54" spans="5:5" x14ac:dyDescent="0.25">
      <c r="E54" s="82"/>
    </row>
    <row r="55" spans="5:5" x14ac:dyDescent="0.25">
      <c r="E55" s="82"/>
    </row>
    <row r="56" spans="5:5" x14ac:dyDescent="0.25">
      <c r="E56" s="82"/>
    </row>
    <row r="57" spans="5:5" x14ac:dyDescent="0.25">
      <c r="E57" s="82"/>
    </row>
    <row r="58" spans="5:5" x14ac:dyDescent="0.25">
      <c r="E58" s="82"/>
    </row>
    <row r="59" spans="5:5" x14ac:dyDescent="0.25">
      <c r="E59" s="82"/>
    </row>
    <row r="60" spans="5:5" x14ac:dyDescent="0.25">
      <c r="E60" s="82"/>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B1" sqref="B1"/>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60"/>
  <sheetViews>
    <sheetView topLeftCell="C1" workbookViewId="0">
      <selection activeCell="C3" sqref="C3"/>
    </sheetView>
  </sheetViews>
  <sheetFormatPr defaultRowHeight="15" x14ac:dyDescent="0.25"/>
  <cols>
    <col min="1" max="1" width="15" hidden="1" customWidth="1"/>
    <col min="2" max="2" width="57.28515625" hidden="1" customWidth="1"/>
    <col min="3" max="3" width="18.7109375" customWidth="1"/>
    <col min="4" max="4" width="9.85546875" customWidth="1"/>
    <col min="5" max="5" width="18.7109375" customWidth="1"/>
    <col min="6" max="6" width="14" customWidth="1"/>
    <col min="7" max="7" width="17.85546875" customWidth="1"/>
    <col min="8" max="8" width="18.28515625" customWidth="1"/>
  </cols>
  <sheetData>
    <row r="1" spans="1:8" ht="22.5" customHeight="1" x14ac:dyDescent="0.25">
      <c r="A1" s="3" t="s">
        <v>26</v>
      </c>
      <c r="B1" s="4" t="s">
        <v>3334</v>
      </c>
      <c r="C1" s="535" t="s">
        <v>3058</v>
      </c>
      <c r="D1" s="558" t="str">
        <f>B1</f>
        <v>Change in HVAC System Capacity</v>
      </c>
    </row>
    <row r="2" spans="1:8" x14ac:dyDescent="0.25">
      <c r="A2" t="s">
        <v>20</v>
      </c>
      <c r="B2" s="2" t="s">
        <v>60</v>
      </c>
      <c r="C2" s="536" t="s">
        <v>3059</v>
      </c>
    </row>
    <row r="3" spans="1:8" x14ac:dyDescent="0.25">
      <c r="A3" t="s">
        <v>1184</v>
      </c>
      <c r="B3" s="2" t="s">
        <v>3135</v>
      </c>
      <c r="C3" s="536" t="s">
        <v>1193</v>
      </c>
    </row>
    <row r="4" spans="1:8" ht="57" x14ac:dyDescent="0.25">
      <c r="A4" t="s">
        <v>3134</v>
      </c>
      <c r="B4" s="2" t="s">
        <v>2217</v>
      </c>
      <c r="C4" s="2"/>
      <c r="D4" s="5"/>
      <c r="E4" s="605" t="s">
        <v>2214</v>
      </c>
      <c r="F4" s="605" t="s">
        <v>2212</v>
      </c>
      <c r="G4" s="605" t="s">
        <v>2213</v>
      </c>
      <c r="H4" s="605" t="s">
        <v>2216</v>
      </c>
    </row>
    <row r="5" spans="1:8" ht="30" x14ac:dyDescent="0.25">
      <c r="B5" s="2"/>
      <c r="C5" s="2"/>
      <c r="D5" s="82" t="s">
        <v>3233</v>
      </c>
      <c r="E5" s="83">
        <f>'1'!E9</f>
        <v>6</v>
      </c>
      <c r="F5" s="609">
        <f>'11D'!F24</f>
        <v>-3.2102564102564089E-2</v>
      </c>
      <c r="G5" s="609">
        <f>'11D'!G24</f>
        <v>-0.35749999999999998</v>
      </c>
      <c r="H5">
        <v>0</v>
      </c>
    </row>
    <row r="6" spans="1:8" ht="30" x14ac:dyDescent="0.25">
      <c r="D6" s="82" t="s">
        <v>3195</v>
      </c>
      <c r="E6" s="83">
        <f>'1'!G9</f>
        <v>31</v>
      </c>
      <c r="F6" s="83" t="s">
        <v>2189</v>
      </c>
      <c r="G6" s="83" t="s">
        <v>2189</v>
      </c>
      <c r="H6">
        <v>2</v>
      </c>
    </row>
    <row r="7" spans="1:8" x14ac:dyDescent="0.25">
      <c r="D7" s="81"/>
      <c r="E7" s="83"/>
      <c r="F7" s="83"/>
      <c r="G7" s="188"/>
    </row>
    <row r="8" spans="1:8" x14ac:dyDescent="0.25">
      <c r="D8" s="81"/>
      <c r="E8" s="83"/>
      <c r="F8" s="83"/>
    </row>
    <row r="9" spans="1:8" x14ac:dyDescent="0.25">
      <c r="D9" s="81"/>
      <c r="E9" s="83"/>
      <c r="F9" s="83"/>
    </row>
    <row r="10" spans="1:8" x14ac:dyDescent="0.25">
      <c r="D10" s="81"/>
      <c r="E10" s="83"/>
      <c r="F10" s="83"/>
    </row>
    <row r="11" spans="1:8" x14ac:dyDescent="0.25">
      <c r="D11" s="81"/>
      <c r="E11" s="83"/>
      <c r="F11" s="83"/>
    </row>
    <row r="12" spans="1:8" x14ac:dyDescent="0.25">
      <c r="D12" s="81"/>
      <c r="E12" s="82"/>
      <c r="F12" s="84"/>
    </row>
    <row r="13" spans="1:8" x14ac:dyDescent="0.25">
      <c r="D13" s="81"/>
      <c r="E13" s="82"/>
      <c r="F13" s="84"/>
    </row>
    <row r="14" spans="1:8" x14ac:dyDescent="0.25">
      <c r="D14" s="81"/>
      <c r="E14" s="82"/>
      <c r="F14" s="84"/>
    </row>
    <row r="15" spans="1:8" x14ac:dyDescent="0.25">
      <c r="D15" s="81"/>
      <c r="E15" s="82"/>
    </row>
    <row r="16" spans="1:8" x14ac:dyDescent="0.25">
      <c r="D16" s="81"/>
      <c r="E16" s="82"/>
    </row>
    <row r="17" spans="4:5" x14ac:dyDescent="0.25">
      <c r="D17" s="81"/>
      <c r="E17" s="82"/>
    </row>
    <row r="18" spans="4:5" x14ac:dyDescent="0.25">
      <c r="D18" s="81"/>
      <c r="E18" s="82"/>
    </row>
    <row r="19" spans="4:5" x14ac:dyDescent="0.25">
      <c r="D19" s="81"/>
      <c r="E19" s="82"/>
    </row>
    <row r="20" spans="4:5" x14ac:dyDescent="0.25">
      <c r="D20" s="81"/>
      <c r="E20" s="82"/>
    </row>
    <row r="21" spans="4:5" x14ac:dyDescent="0.25">
      <c r="D21" s="81"/>
      <c r="E21" s="82"/>
    </row>
    <row r="22" spans="4:5" x14ac:dyDescent="0.25">
      <c r="D22" s="81"/>
      <c r="E22" s="82"/>
    </row>
    <row r="23" spans="4:5" x14ac:dyDescent="0.25">
      <c r="D23" s="81"/>
      <c r="E23" s="82"/>
    </row>
    <row r="24" spans="4:5" x14ac:dyDescent="0.25">
      <c r="D24" s="81"/>
      <c r="E24" s="82"/>
    </row>
    <row r="25" spans="4:5" x14ac:dyDescent="0.25">
      <c r="D25" s="81"/>
      <c r="E25" s="82"/>
    </row>
    <row r="26" spans="4:5" x14ac:dyDescent="0.25">
      <c r="D26" s="81"/>
      <c r="E26" s="82"/>
    </row>
    <row r="27" spans="4:5" x14ac:dyDescent="0.25">
      <c r="D27" s="81"/>
      <c r="E27" s="82"/>
    </row>
    <row r="28" spans="4:5" x14ac:dyDescent="0.25">
      <c r="D28" s="81"/>
      <c r="E28" s="82"/>
    </row>
    <row r="29" spans="4:5" x14ac:dyDescent="0.25">
      <c r="D29" s="81"/>
      <c r="E29" s="82"/>
    </row>
    <row r="30" spans="4:5" x14ac:dyDescent="0.25">
      <c r="D30" s="81"/>
      <c r="E30" s="82"/>
    </row>
    <row r="31" spans="4:5" x14ac:dyDescent="0.25">
      <c r="D31" s="81"/>
      <c r="E31" s="82"/>
    </row>
    <row r="32" spans="4:5" x14ac:dyDescent="0.25">
      <c r="D32" s="81"/>
      <c r="E32" s="82"/>
    </row>
    <row r="33" spans="4:5" x14ac:dyDescent="0.25">
      <c r="D33" s="81"/>
      <c r="E33" s="82"/>
    </row>
    <row r="34" spans="4:5" x14ac:dyDescent="0.25">
      <c r="D34" s="81"/>
      <c r="E34" s="82"/>
    </row>
    <row r="35" spans="4:5" x14ac:dyDescent="0.25">
      <c r="D35" s="81"/>
      <c r="E35" s="82"/>
    </row>
    <row r="36" spans="4:5" x14ac:dyDescent="0.25">
      <c r="D36" s="81"/>
      <c r="E36" s="82"/>
    </row>
    <row r="37" spans="4:5" x14ac:dyDescent="0.25">
      <c r="D37" s="81"/>
      <c r="E37" s="82"/>
    </row>
    <row r="38" spans="4:5" x14ac:dyDescent="0.25">
      <c r="D38" s="81"/>
      <c r="E38" s="82"/>
    </row>
    <row r="39" spans="4:5" x14ac:dyDescent="0.25">
      <c r="D39" s="81"/>
      <c r="E39" s="82"/>
    </row>
    <row r="40" spans="4:5" x14ac:dyDescent="0.25">
      <c r="D40" s="81"/>
      <c r="E40" s="82"/>
    </row>
    <row r="41" spans="4:5" x14ac:dyDescent="0.25">
      <c r="D41" s="81"/>
      <c r="E41" s="82"/>
    </row>
    <row r="42" spans="4:5" x14ac:dyDescent="0.25">
      <c r="D42" s="81"/>
      <c r="E42" s="82"/>
    </row>
    <row r="43" spans="4:5" x14ac:dyDescent="0.25">
      <c r="D43" s="81"/>
      <c r="E43" s="82"/>
    </row>
    <row r="44" spans="4:5" x14ac:dyDescent="0.25">
      <c r="D44" s="81"/>
      <c r="E44" s="82"/>
    </row>
    <row r="45" spans="4:5" x14ac:dyDescent="0.25">
      <c r="D45" s="81"/>
      <c r="E45" s="82"/>
    </row>
    <row r="46" spans="4:5" x14ac:dyDescent="0.25">
      <c r="D46" s="81"/>
      <c r="E46" s="82"/>
    </row>
    <row r="47" spans="4:5" x14ac:dyDescent="0.25">
      <c r="D47" s="81"/>
      <c r="E47" s="82"/>
    </row>
    <row r="48" spans="4:5" x14ac:dyDescent="0.25">
      <c r="D48" s="81"/>
      <c r="E48" s="82"/>
    </row>
    <row r="49" spans="5:5" x14ac:dyDescent="0.25">
      <c r="E49" s="82"/>
    </row>
    <row r="50" spans="5:5" x14ac:dyDescent="0.25">
      <c r="E50" s="82"/>
    </row>
    <row r="51" spans="5:5" x14ac:dyDescent="0.25">
      <c r="E51" s="82"/>
    </row>
    <row r="52" spans="5:5" x14ac:dyDescent="0.25">
      <c r="E52" s="82"/>
    </row>
    <row r="53" spans="5:5" x14ac:dyDescent="0.25">
      <c r="E53" s="82"/>
    </row>
    <row r="54" spans="5:5" x14ac:dyDescent="0.25">
      <c r="E54" s="82"/>
    </row>
    <row r="55" spans="5:5" x14ac:dyDescent="0.25">
      <c r="E55" s="82"/>
    </row>
    <row r="56" spans="5:5" x14ac:dyDescent="0.25">
      <c r="E56" s="82"/>
    </row>
    <row r="57" spans="5:5" x14ac:dyDescent="0.25">
      <c r="E57" s="82"/>
    </row>
    <row r="58" spans="5:5" x14ac:dyDescent="0.25">
      <c r="E58" s="82"/>
    </row>
    <row r="59" spans="5:5" x14ac:dyDescent="0.25">
      <c r="E59" s="82"/>
    </row>
    <row r="60" spans="5:5" x14ac:dyDescent="0.25">
      <c r="E60" s="82"/>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C3" sqref="C3"/>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S302"/>
  <sheetViews>
    <sheetView topLeftCell="J1" workbookViewId="0">
      <selection activeCell="A7" sqref="A7"/>
    </sheetView>
  </sheetViews>
  <sheetFormatPr defaultRowHeight="15" x14ac:dyDescent="0.25"/>
  <cols>
    <col min="1" max="1" width="16.5703125" customWidth="1"/>
    <col min="2" max="5" width="20.7109375" customWidth="1"/>
    <col min="6" max="7" width="16.7109375" customWidth="1"/>
    <col min="9" max="19" width="16.7109375" customWidth="1"/>
  </cols>
  <sheetData>
    <row r="1" spans="1:19" ht="30" x14ac:dyDescent="0.25">
      <c r="A1" s="253" t="str">
        <f>FileReviewW12!C1</f>
        <v>Trkg_SBW_ID</v>
      </c>
      <c r="B1" s="253" t="str">
        <f>FileReviewW12!EK1</f>
        <v>JRT_Pre_HeatingCapacity</v>
      </c>
      <c r="C1" s="253" t="str">
        <f>FileReviewW12!EL1</f>
        <v>JRT_Post_HeatingCapacity</v>
      </c>
      <c r="D1" s="243" t="str">
        <f>FileReviewW12!EM1</f>
        <v>JRT_Pre_CoolingCapacity</v>
      </c>
      <c r="E1" s="243" t="str">
        <f>FileReviewW12!EN1</f>
        <v>JRT_Post_CoolingCapacity</v>
      </c>
      <c r="F1" s="243" t="s">
        <v>2208</v>
      </c>
      <c r="G1" s="241" t="s">
        <v>2209</v>
      </c>
      <c r="H1" s="86"/>
      <c r="I1" s="256" t="s">
        <v>1492</v>
      </c>
      <c r="J1" s="256" t="s">
        <v>1414</v>
      </c>
      <c r="K1" s="256" t="s">
        <v>1497</v>
      </c>
      <c r="L1" s="256" t="s">
        <v>2215</v>
      </c>
      <c r="M1" s="256" t="s">
        <v>1382</v>
      </c>
      <c r="N1" s="256" t="s">
        <v>1390</v>
      </c>
      <c r="O1" s="256" t="s">
        <v>1398</v>
      </c>
      <c r="P1" s="256" t="s">
        <v>1401</v>
      </c>
      <c r="Q1" s="256" t="s">
        <v>1404</v>
      </c>
      <c r="R1" s="256" t="s">
        <v>1407</v>
      </c>
      <c r="S1" s="256" t="s">
        <v>1410</v>
      </c>
    </row>
    <row r="2" spans="1:19" x14ac:dyDescent="0.25">
      <c r="A2" s="186" t="str">
        <f>FileReviewW12!C2</f>
        <v>EUCA-11-000289</v>
      </c>
      <c r="B2" s="186">
        <f>FileReviewW12!EK2</f>
        <v>75000</v>
      </c>
      <c r="C2" s="186">
        <f>FileReviewW12!EL2</f>
        <v>48000</v>
      </c>
      <c r="D2" s="242">
        <f>FileReviewW12!EM2</f>
        <v>4</v>
      </c>
      <c r="E2" s="245">
        <f>FileReviewW12!EN2</f>
        <v>2</v>
      </c>
      <c r="F2" s="244">
        <f>(C2-B2)/B2</f>
        <v>-0.36</v>
      </c>
      <c r="G2" s="245">
        <f>(E2-D2)/D2</f>
        <v>-0.5</v>
      </c>
      <c r="H2" s="161"/>
      <c r="I2" s="257" t="s">
        <v>58</v>
      </c>
      <c r="J2" s="257" t="s">
        <v>1482</v>
      </c>
      <c r="K2" s="258"/>
      <c r="L2" s="258">
        <v>1</v>
      </c>
      <c r="M2" s="258" t="s">
        <v>1386</v>
      </c>
      <c r="N2" s="258" t="s">
        <v>1389</v>
      </c>
      <c r="O2" s="258" t="s">
        <v>1393</v>
      </c>
      <c r="P2" s="258" t="s">
        <v>68</v>
      </c>
      <c r="Q2" s="258" t="s">
        <v>68</v>
      </c>
      <c r="R2" s="257" t="s">
        <v>68</v>
      </c>
      <c r="S2" s="259"/>
    </row>
    <row r="3" spans="1:19" x14ac:dyDescent="0.25">
      <c r="A3" s="186" t="str">
        <f>FileReviewW12!C3</f>
        <v>EUCA-11-000213</v>
      </c>
      <c r="B3" s="186"/>
      <c r="C3" s="186"/>
      <c r="D3" s="242"/>
      <c r="E3" s="245"/>
      <c r="F3" s="244"/>
      <c r="G3" s="245"/>
      <c r="H3" s="161"/>
      <c r="I3" s="257" t="s">
        <v>58</v>
      </c>
      <c r="J3" s="257" t="s">
        <v>1450</v>
      </c>
      <c r="K3" s="258"/>
      <c r="L3" s="258">
        <v>1</v>
      </c>
      <c r="M3" s="258" t="s">
        <v>1387</v>
      </c>
      <c r="N3" s="258" t="s">
        <v>1395</v>
      </c>
      <c r="O3" s="258" t="s">
        <v>1386</v>
      </c>
      <c r="P3" s="258" t="s">
        <v>1389</v>
      </c>
      <c r="Q3" s="258" t="s">
        <v>68</v>
      </c>
      <c r="R3" s="257" t="s">
        <v>68</v>
      </c>
      <c r="S3" s="259"/>
    </row>
    <row r="4" spans="1:19" x14ac:dyDescent="0.25">
      <c r="A4" s="186" t="str">
        <f>FileReviewW12!C4</f>
        <v>EUCA-11-000215</v>
      </c>
      <c r="B4" s="186">
        <f>FileReviewW12!EK4</f>
        <v>75000</v>
      </c>
      <c r="C4" s="186">
        <f>FileReviewW12!EL4</f>
        <v>64000</v>
      </c>
      <c r="D4" s="242">
        <f>FileReviewW12!EM4</f>
        <v>4</v>
      </c>
      <c r="E4" s="245">
        <f>FileReviewW12!EN4</f>
        <v>2.2999999999999998</v>
      </c>
      <c r="F4" s="244">
        <f>(C4-B4)/B4</f>
        <v>-0.14666666666666667</v>
      </c>
      <c r="G4" s="245">
        <f>(E4-D4)/D4</f>
        <v>-0.42500000000000004</v>
      </c>
      <c r="H4" s="161"/>
      <c r="I4" s="257" t="s">
        <v>58</v>
      </c>
      <c r="J4" s="257" t="s">
        <v>1450</v>
      </c>
      <c r="K4" s="258"/>
      <c r="L4" s="258">
        <v>1</v>
      </c>
      <c r="M4" s="258" t="s">
        <v>1387</v>
      </c>
      <c r="N4" s="258" t="s">
        <v>1395</v>
      </c>
      <c r="O4" s="258" t="s">
        <v>1386</v>
      </c>
      <c r="P4" s="258" t="s">
        <v>1389</v>
      </c>
      <c r="Q4" s="258" t="s">
        <v>68</v>
      </c>
      <c r="R4" s="257" t="s">
        <v>68</v>
      </c>
      <c r="S4" s="259"/>
    </row>
    <row r="5" spans="1:19" x14ac:dyDescent="0.25">
      <c r="A5" s="186" t="str">
        <f>FileReviewW12!C5</f>
        <v>EUCA-11-000162</v>
      </c>
      <c r="B5" s="249">
        <f>FileReviewW12!EK5</f>
        <v>39000</v>
      </c>
      <c r="C5" s="2">
        <f>FileReviewW12!EL5</f>
        <v>56000</v>
      </c>
      <c r="D5" s="242">
        <f>FileReviewW12!EM5</f>
        <v>3</v>
      </c>
      <c r="E5" s="245">
        <f>FileReviewW12!EN5</f>
        <v>3</v>
      </c>
      <c r="F5" s="244">
        <f>(C5-B5)/B5</f>
        <v>0.4358974358974359</v>
      </c>
      <c r="G5" s="245">
        <f>(E5-D5)/D5</f>
        <v>0</v>
      </c>
      <c r="I5" s="257" t="s">
        <v>58</v>
      </c>
      <c r="J5" s="257" t="s">
        <v>1465</v>
      </c>
      <c r="K5" s="258"/>
      <c r="L5" s="258">
        <v>1</v>
      </c>
      <c r="M5" s="258" t="s">
        <v>1387</v>
      </c>
      <c r="N5" s="258" t="s">
        <v>1386</v>
      </c>
      <c r="O5" s="258" t="s">
        <v>1389</v>
      </c>
      <c r="P5" s="258" t="s">
        <v>1393</v>
      </c>
      <c r="Q5" s="258" t="s">
        <v>68</v>
      </c>
      <c r="R5" s="257" t="s">
        <v>68</v>
      </c>
      <c r="S5" s="259"/>
    </row>
    <row r="6" spans="1:19" x14ac:dyDescent="0.25">
      <c r="A6" s="186" t="str">
        <f>FileReviewW12!C6</f>
        <v>EUCA-11-000210</v>
      </c>
      <c r="B6" s="186"/>
      <c r="C6" s="2"/>
      <c r="D6" s="242"/>
      <c r="E6" s="245"/>
      <c r="F6" s="244"/>
      <c r="G6" s="245"/>
      <c r="I6" s="257" t="s">
        <v>58</v>
      </c>
      <c r="J6" s="257" t="s">
        <v>1446</v>
      </c>
      <c r="K6" s="258"/>
      <c r="L6" s="258">
        <v>1</v>
      </c>
      <c r="M6" s="258" t="s">
        <v>1387</v>
      </c>
      <c r="N6" s="258" t="s">
        <v>1388</v>
      </c>
      <c r="O6" s="258" t="s">
        <v>1386</v>
      </c>
      <c r="P6" s="258" t="s">
        <v>1389</v>
      </c>
      <c r="Q6" s="258" t="s">
        <v>1393</v>
      </c>
      <c r="R6" s="257" t="s">
        <v>1394</v>
      </c>
      <c r="S6" s="259"/>
    </row>
    <row r="7" spans="1:19" x14ac:dyDescent="0.25">
      <c r="A7" s="186" t="str">
        <f>FileReviewW12!C7</f>
        <v>EUCA-11-000229</v>
      </c>
      <c r="B7" s="96"/>
      <c r="C7" s="2"/>
      <c r="D7" s="242"/>
      <c r="E7" s="245"/>
      <c r="F7" s="244"/>
      <c r="G7" s="245"/>
      <c r="I7" s="257" t="s">
        <v>58</v>
      </c>
      <c r="J7" s="257" t="s">
        <v>1468</v>
      </c>
      <c r="K7" s="258"/>
      <c r="L7" s="258">
        <v>1</v>
      </c>
      <c r="M7" s="258" t="s">
        <v>1387</v>
      </c>
      <c r="N7" s="258" t="s">
        <v>1386</v>
      </c>
      <c r="O7" s="258" t="s">
        <v>1389</v>
      </c>
      <c r="P7" s="258" t="s">
        <v>1393</v>
      </c>
      <c r="Q7" s="258" t="s">
        <v>1394</v>
      </c>
      <c r="R7" s="257" t="s">
        <v>68</v>
      </c>
      <c r="S7" s="259"/>
    </row>
    <row r="8" spans="1:19" x14ac:dyDescent="0.25">
      <c r="A8" s="186" t="str">
        <f>FileReviewW12!C8</f>
        <v>EUCA-11-000288</v>
      </c>
      <c r="B8" s="96">
        <f>FileReviewW12!EK8</f>
        <v>60800</v>
      </c>
      <c r="C8" s="2">
        <f>FileReviewW12!EL8</f>
        <v>60800</v>
      </c>
      <c r="D8" s="242">
        <f>FileReviewW12!EM8</f>
        <v>3</v>
      </c>
      <c r="E8" s="245">
        <f>FileReviewW12!EN8</f>
        <v>3</v>
      </c>
      <c r="F8" s="244">
        <f>(C8-B8)/B8</f>
        <v>0</v>
      </c>
      <c r="G8" s="245">
        <f>(E8-D8)/D8</f>
        <v>0</v>
      </c>
      <c r="I8" s="257" t="s">
        <v>59</v>
      </c>
      <c r="J8" s="257" t="s">
        <v>1432</v>
      </c>
      <c r="K8" s="258"/>
      <c r="L8" s="258">
        <v>1</v>
      </c>
      <c r="M8" s="258" t="s">
        <v>1388</v>
      </c>
      <c r="N8" s="258" t="s">
        <v>1395</v>
      </c>
      <c r="O8" s="258" t="s">
        <v>68</v>
      </c>
      <c r="P8" s="258" t="s">
        <v>68</v>
      </c>
      <c r="Q8" s="258" t="s">
        <v>68</v>
      </c>
      <c r="R8" s="257" t="s">
        <v>68</v>
      </c>
      <c r="S8" s="259"/>
    </row>
    <row r="9" spans="1:19" x14ac:dyDescent="0.25">
      <c r="A9" s="186" t="str">
        <f>FileReviewW12!C9</f>
        <v>EUCA-11-000178</v>
      </c>
      <c r="B9" s="96"/>
      <c r="C9" s="2"/>
      <c r="D9" s="242"/>
      <c r="E9" s="245"/>
      <c r="F9" s="244"/>
      <c r="G9" s="245"/>
      <c r="I9" s="257" t="s">
        <v>59</v>
      </c>
      <c r="J9" s="257" t="s">
        <v>1430</v>
      </c>
      <c r="K9" s="258"/>
      <c r="L9" s="258">
        <v>1</v>
      </c>
      <c r="M9" s="258" t="s">
        <v>1387</v>
      </c>
      <c r="N9" s="258" t="s">
        <v>1388</v>
      </c>
      <c r="O9" s="258" t="s">
        <v>1396</v>
      </c>
      <c r="P9" s="258" t="s">
        <v>1386</v>
      </c>
      <c r="Q9" s="258" t="s">
        <v>1389</v>
      </c>
      <c r="R9" s="257" t="s">
        <v>1393</v>
      </c>
      <c r="S9" s="259"/>
    </row>
    <row r="10" spans="1:19" x14ac:dyDescent="0.25">
      <c r="A10" s="186" t="str">
        <f>FileReviewW12!C10</f>
        <v>EUCA-11-000195</v>
      </c>
      <c r="B10" s="96"/>
      <c r="C10" s="2"/>
      <c r="D10" s="242"/>
      <c r="E10" s="245"/>
      <c r="F10" s="244"/>
      <c r="G10" s="245"/>
    </row>
    <row r="11" spans="1:19" x14ac:dyDescent="0.25">
      <c r="A11" s="186" t="str">
        <f>FileReviewW12!C11</f>
        <v>EUCA-11-000361</v>
      </c>
      <c r="B11" s="96"/>
      <c r="C11" s="2"/>
      <c r="D11" s="242"/>
      <c r="E11" s="245"/>
      <c r="F11" s="244"/>
      <c r="G11" s="245"/>
    </row>
    <row r="12" spans="1:19" x14ac:dyDescent="0.25">
      <c r="A12" s="186" t="str">
        <f>FileReviewW12!C12</f>
        <v>EUCA-11-000362</v>
      </c>
      <c r="B12" s="96"/>
      <c r="C12" s="2"/>
      <c r="D12" s="242"/>
      <c r="E12" s="245"/>
      <c r="F12" s="244"/>
      <c r="G12" s="245"/>
    </row>
    <row r="13" spans="1:19" x14ac:dyDescent="0.25">
      <c r="A13" s="186" t="str">
        <f>FileReviewW12!C13</f>
        <v>EUCA-11-000222</v>
      </c>
      <c r="B13" s="250"/>
      <c r="C13" s="2"/>
      <c r="D13" s="242"/>
      <c r="E13" s="245"/>
      <c r="F13" s="244"/>
      <c r="G13" s="245"/>
    </row>
    <row r="14" spans="1:19" x14ac:dyDescent="0.25">
      <c r="A14" s="186" t="str">
        <f>FileReviewW12!C14</f>
        <v>EUCA-11-000190</v>
      </c>
      <c r="B14" s="96"/>
      <c r="C14" s="2"/>
      <c r="D14" s="242"/>
      <c r="E14" s="245"/>
      <c r="F14" s="244"/>
      <c r="G14" s="245"/>
    </row>
    <row r="15" spans="1:19" x14ac:dyDescent="0.25">
      <c r="A15" s="186" t="str">
        <f>FileReviewW12!C15</f>
        <v>EUCA-11-000180</v>
      </c>
      <c r="B15" s="96"/>
      <c r="C15" s="2"/>
      <c r="D15" s="242">
        <f>FileReviewW12!EM15</f>
        <v>5</v>
      </c>
      <c r="E15" s="245">
        <f>FileReviewW12!EN15</f>
        <v>2</v>
      </c>
      <c r="F15" s="244"/>
      <c r="G15" s="245">
        <f>(E15-D15)/D15</f>
        <v>-0.6</v>
      </c>
    </row>
    <row r="16" spans="1:19" x14ac:dyDescent="0.25">
      <c r="A16" s="186" t="str">
        <f>FileReviewW12!C16</f>
        <v>EUCA-11-000170</v>
      </c>
      <c r="B16" s="96"/>
      <c r="C16" s="2"/>
      <c r="D16" s="242"/>
      <c r="E16" s="245"/>
      <c r="F16" s="244"/>
      <c r="G16" s="245"/>
    </row>
    <row r="17" spans="1:7" x14ac:dyDescent="0.25">
      <c r="A17" s="186" t="str">
        <f>FileReviewW12!C17</f>
        <v>EUCA-11-000164</v>
      </c>
      <c r="B17" s="96"/>
      <c r="C17" s="2"/>
      <c r="D17" s="242"/>
      <c r="E17" s="245"/>
      <c r="F17" s="244"/>
      <c r="G17" s="245"/>
    </row>
    <row r="18" spans="1:7" x14ac:dyDescent="0.25">
      <c r="A18" s="186" t="str">
        <f>FileReviewW12!C18</f>
        <v>EUCA-11-000151</v>
      </c>
      <c r="B18" s="96"/>
      <c r="C18" s="2"/>
      <c r="D18" s="242"/>
      <c r="E18" s="245"/>
      <c r="F18" s="244"/>
      <c r="G18" s="245"/>
    </row>
    <row r="19" spans="1:7" x14ac:dyDescent="0.25">
      <c r="A19" s="186" t="str">
        <f>FileReviewW12!C19</f>
        <v>EUCA-11-000127</v>
      </c>
      <c r="B19" s="96"/>
      <c r="C19" s="2"/>
      <c r="D19" s="242"/>
      <c r="E19" s="245"/>
      <c r="F19" s="244"/>
      <c r="G19" s="245"/>
    </row>
    <row r="20" spans="1:7" x14ac:dyDescent="0.25">
      <c r="A20" s="186" t="str">
        <f>FileReviewW12!C20</f>
        <v>EUCA-11-000123</v>
      </c>
      <c r="B20" s="250">
        <f>FileReviewW12!EK20</f>
        <v>78000</v>
      </c>
      <c r="C20" s="2">
        <f>FileReviewW12!EL20</f>
        <v>71000</v>
      </c>
      <c r="D20" s="242">
        <f>FileReviewW12!EM20</f>
        <v>5</v>
      </c>
      <c r="E20" s="245">
        <f>FileReviewW12!EN20</f>
        <v>1.9</v>
      </c>
      <c r="F20" s="244">
        <f>(C20-B20)/B20</f>
        <v>-8.9743589743589744E-2</v>
      </c>
      <c r="G20" s="245">
        <f>(E20-D20)/D20</f>
        <v>-0.62</v>
      </c>
    </row>
    <row r="21" spans="1:7" x14ac:dyDescent="0.25">
      <c r="A21" s="186" t="str">
        <f>FileReviewW12!C21</f>
        <v>EUCA-11-000122</v>
      </c>
      <c r="B21" s="96"/>
      <c r="C21" s="2"/>
      <c r="D21" s="242"/>
      <c r="E21" s="245"/>
      <c r="F21" s="244"/>
      <c r="G21" s="245"/>
    </row>
    <row r="22" spans="1:7" x14ac:dyDescent="0.25">
      <c r="A22" s="186" t="str">
        <f>FileReviewW12!C22</f>
        <v>EUCA-11-000115</v>
      </c>
      <c r="B22" s="96"/>
      <c r="C22" s="2"/>
      <c r="D22" s="242"/>
      <c r="E22" s="245"/>
      <c r="F22" s="244"/>
      <c r="G22" s="245"/>
    </row>
    <row r="23" spans="1:7" x14ac:dyDescent="0.25">
      <c r="A23" s="186" t="str">
        <f>FileReviewW12!C23</f>
        <v>EUCA-11-000112</v>
      </c>
      <c r="B23" s="96"/>
      <c r="C23" s="2"/>
      <c r="D23" s="242"/>
      <c r="E23" s="245"/>
      <c r="F23" s="244"/>
      <c r="G23" s="245"/>
    </row>
    <row r="24" spans="1:7" x14ac:dyDescent="0.25">
      <c r="A24" s="186"/>
      <c r="B24" s="96"/>
      <c r="C24" s="2"/>
      <c r="D24" s="242"/>
      <c r="E24" s="245" t="s">
        <v>2211</v>
      </c>
      <c r="F24" s="255">
        <f>AVERAGE(F2:F23)</f>
        <v>-3.2102564102564089E-2</v>
      </c>
      <c r="G24" s="255">
        <f>AVERAGE(G2:G23)</f>
        <v>-0.35749999999999998</v>
      </c>
    </row>
    <row r="25" spans="1:7" x14ac:dyDescent="0.25">
      <c r="A25" s="186"/>
      <c r="B25" s="96"/>
      <c r="C25" s="2"/>
      <c r="D25" s="242"/>
      <c r="E25" s="245" t="s">
        <v>2210</v>
      </c>
      <c r="F25" s="255">
        <f>MEDIAN(F2:F24)</f>
        <v>-6.0923076923076913E-2</v>
      </c>
      <c r="G25" s="255">
        <f>MEDIAN(G2:G24)</f>
        <v>-0.42500000000000004</v>
      </c>
    </row>
    <row r="26" spans="1:7" x14ac:dyDescent="0.25">
      <c r="A26" s="186"/>
      <c r="B26" s="250"/>
      <c r="C26" s="2"/>
      <c r="D26" s="242"/>
      <c r="E26" s="245"/>
      <c r="F26" s="244"/>
      <c r="G26" s="245"/>
    </row>
    <row r="27" spans="1:7" x14ac:dyDescent="0.25">
      <c r="A27" s="186"/>
      <c r="B27" s="96"/>
      <c r="C27" s="2"/>
      <c r="D27" s="242"/>
      <c r="E27" s="245"/>
      <c r="F27" s="244"/>
      <c r="G27" s="245"/>
    </row>
    <row r="28" spans="1:7" x14ac:dyDescent="0.25">
      <c r="A28" s="186"/>
      <c r="B28" s="96"/>
      <c r="C28" s="2"/>
      <c r="D28" s="242"/>
      <c r="E28" s="245"/>
      <c r="F28" s="244"/>
      <c r="G28" s="245"/>
    </row>
    <row r="29" spans="1:7" x14ac:dyDescent="0.25">
      <c r="A29" s="186"/>
      <c r="B29" s="96"/>
      <c r="C29" s="2"/>
      <c r="D29" s="242"/>
      <c r="E29" s="245"/>
      <c r="F29" s="244"/>
      <c r="G29" s="245"/>
    </row>
    <row r="30" spans="1:7" x14ac:dyDescent="0.25">
      <c r="A30" s="186"/>
      <c r="B30" s="96"/>
      <c r="C30" s="2"/>
      <c r="D30" s="242"/>
      <c r="E30" s="245"/>
      <c r="F30" s="244"/>
      <c r="G30" s="245"/>
    </row>
    <row r="31" spans="1:7" x14ac:dyDescent="0.25">
      <c r="A31" s="186"/>
      <c r="B31" s="250"/>
      <c r="C31" s="2"/>
      <c r="D31" s="242"/>
      <c r="E31" s="245"/>
      <c r="F31" s="244"/>
      <c r="G31" s="245"/>
    </row>
    <row r="32" spans="1:7" ht="65.25" customHeight="1" x14ac:dyDescent="0.25">
      <c r="A32" s="186"/>
      <c r="B32" s="96"/>
      <c r="C32" s="2"/>
      <c r="D32" s="242"/>
      <c r="E32" s="245"/>
      <c r="F32" s="244"/>
      <c r="G32" s="245"/>
    </row>
    <row r="33" spans="1:7" x14ac:dyDescent="0.25">
      <c r="A33" s="186"/>
      <c r="B33" s="96"/>
      <c r="C33" s="2"/>
      <c r="D33" s="242"/>
      <c r="E33" s="245"/>
      <c r="F33" s="244"/>
      <c r="G33" s="245"/>
    </row>
    <row r="34" spans="1:7" x14ac:dyDescent="0.25">
      <c r="A34" s="186"/>
      <c r="B34" s="96"/>
      <c r="C34" s="2"/>
      <c r="D34" s="242"/>
      <c r="E34" s="245"/>
      <c r="F34" s="244"/>
      <c r="G34" s="245"/>
    </row>
    <row r="35" spans="1:7" x14ac:dyDescent="0.25">
      <c r="A35" s="186"/>
      <c r="B35" s="250"/>
      <c r="C35" s="2"/>
      <c r="D35" s="242"/>
      <c r="E35" s="245"/>
      <c r="F35" s="244"/>
      <c r="G35" s="245"/>
    </row>
    <row r="36" spans="1:7" x14ac:dyDescent="0.25">
      <c r="A36" s="186"/>
      <c r="B36" s="96"/>
      <c r="C36" s="2"/>
      <c r="D36" s="242"/>
      <c r="E36" s="245"/>
      <c r="F36" s="244"/>
      <c r="G36" s="245"/>
    </row>
    <row r="37" spans="1:7" x14ac:dyDescent="0.25">
      <c r="A37" s="186"/>
      <c r="B37" s="87"/>
      <c r="C37" s="2"/>
      <c r="D37" s="242"/>
      <c r="E37" s="245"/>
      <c r="F37" s="244"/>
      <c r="G37" s="245"/>
    </row>
    <row r="38" spans="1:7" x14ac:dyDescent="0.25">
      <c r="A38" s="186"/>
      <c r="B38" s="252"/>
      <c r="C38" s="2"/>
      <c r="D38" s="242"/>
      <c r="E38" s="245"/>
      <c r="F38" s="244"/>
      <c r="G38" s="245"/>
    </row>
    <row r="39" spans="1:7" x14ac:dyDescent="0.25">
      <c r="A39" s="186"/>
      <c r="B39" s="252"/>
      <c r="C39" s="2"/>
      <c r="D39" s="242"/>
      <c r="E39" s="245"/>
      <c r="F39" s="244"/>
      <c r="G39" s="245"/>
    </row>
    <row r="40" spans="1:7" x14ac:dyDescent="0.25">
      <c r="A40" s="186"/>
      <c r="B40" s="252"/>
      <c r="C40" s="2"/>
      <c r="D40" s="242"/>
      <c r="E40" s="245"/>
      <c r="F40" s="244"/>
      <c r="G40" s="245"/>
    </row>
    <row r="41" spans="1:7" x14ac:dyDescent="0.25">
      <c r="A41" s="186"/>
      <c r="B41" s="252"/>
      <c r="C41" s="2"/>
      <c r="D41" s="242"/>
      <c r="E41" s="245"/>
      <c r="F41" s="244"/>
      <c r="G41" s="245"/>
    </row>
    <row r="42" spans="1:7" x14ac:dyDescent="0.25">
      <c r="A42" s="186"/>
      <c r="B42" s="252"/>
      <c r="C42" s="2"/>
      <c r="D42" s="242"/>
      <c r="E42" s="245"/>
      <c r="F42" s="244"/>
      <c r="G42" s="245"/>
    </row>
    <row r="43" spans="1:7" x14ac:dyDescent="0.25">
      <c r="A43" s="186"/>
      <c r="B43" s="252"/>
      <c r="C43" s="2"/>
      <c r="D43" s="242"/>
      <c r="E43" s="245"/>
      <c r="F43" s="244"/>
      <c r="G43" s="245"/>
    </row>
    <row r="44" spans="1:7" x14ac:dyDescent="0.25">
      <c r="A44" s="186"/>
      <c r="B44" s="252"/>
      <c r="C44" s="2"/>
      <c r="D44" s="242"/>
      <c r="E44" s="245"/>
      <c r="F44" s="244"/>
      <c r="G44" s="245"/>
    </row>
    <row r="45" spans="1:7" x14ac:dyDescent="0.25">
      <c r="A45" s="186"/>
      <c r="B45" s="252"/>
      <c r="C45" s="2"/>
      <c r="D45" s="242"/>
      <c r="E45" s="245"/>
      <c r="F45" s="244"/>
      <c r="G45" s="245"/>
    </row>
    <row r="46" spans="1:7" x14ac:dyDescent="0.25">
      <c r="A46" s="186"/>
      <c r="B46" s="252"/>
      <c r="C46" s="2"/>
      <c r="D46" s="242"/>
      <c r="E46" s="245"/>
      <c r="F46" s="244"/>
      <c r="G46" s="245"/>
    </row>
    <row r="47" spans="1:7" x14ac:dyDescent="0.25">
      <c r="A47" s="186"/>
      <c r="B47" s="252"/>
      <c r="C47" s="2"/>
      <c r="D47" s="242"/>
      <c r="E47" s="245"/>
      <c r="F47" s="244"/>
      <c r="G47" s="245"/>
    </row>
    <row r="48" spans="1:7" x14ac:dyDescent="0.25">
      <c r="A48" s="186"/>
      <c r="B48" s="252"/>
      <c r="C48" s="2"/>
      <c r="D48" s="242"/>
      <c r="E48" s="245"/>
      <c r="F48" s="244"/>
      <c r="G48" s="245"/>
    </row>
    <row r="49" spans="1:7" x14ac:dyDescent="0.25">
      <c r="A49" s="186"/>
      <c r="B49" s="252"/>
      <c r="C49" s="2"/>
      <c r="D49" s="242"/>
      <c r="E49" s="245"/>
      <c r="F49" s="244"/>
      <c r="G49" s="245"/>
    </row>
    <row r="50" spans="1:7" x14ac:dyDescent="0.25">
      <c r="A50" s="186"/>
      <c r="B50" s="252"/>
      <c r="C50" s="2"/>
      <c r="D50" s="242"/>
      <c r="E50" s="245"/>
      <c r="F50" s="244"/>
      <c r="G50" s="245"/>
    </row>
    <row r="51" spans="1:7" x14ac:dyDescent="0.25">
      <c r="A51" s="186"/>
      <c r="B51" s="252"/>
      <c r="C51" s="2"/>
      <c r="D51" s="242"/>
      <c r="E51" s="245"/>
      <c r="F51" s="244"/>
      <c r="G51" s="245"/>
    </row>
    <row r="52" spans="1:7" x14ac:dyDescent="0.25">
      <c r="A52" s="186"/>
      <c r="B52" s="252"/>
      <c r="C52" s="2"/>
      <c r="D52" s="242"/>
      <c r="E52" s="245"/>
      <c r="F52" s="244"/>
      <c r="G52" s="245"/>
    </row>
    <row r="53" spans="1:7" x14ac:dyDescent="0.25">
      <c r="A53" s="186"/>
      <c r="B53" s="252"/>
      <c r="C53" s="2"/>
      <c r="D53" s="242"/>
      <c r="E53" s="245"/>
      <c r="F53" s="244"/>
      <c r="G53" s="245"/>
    </row>
    <row r="54" spans="1:7" x14ac:dyDescent="0.25">
      <c r="B54" s="2"/>
      <c r="C54" s="2"/>
      <c r="D54" s="242"/>
      <c r="E54" s="245"/>
      <c r="F54" s="244"/>
      <c r="G54" s="245"/>
    </row>
    <row r="55" spans="1:7" x14ac:dyDescent="0.25">
      <c r="B55" s="2"/>
      <c r="C55" s="2"/>
      <c r="D55" s="242"/>
      <c r="E55" s="245"/>
      <c r="F55" s="244"/>
      <c r="G55" s="245"/>
    </row>
    <row r="56" spans="1:7" x14ac:dyDescent="0.25">
      <c r="B56" s="2"/>
      <c r="C56" s="2"/>
      <c r="D56" s="242"/>
      <c r="E56" s="245"/>
      <c r="F56" s="244"/>
      <c r="G56" s="245"/>
    </row>
    <row r="57" spans="1:7" x14ac:dyDescent="0.25">
      <c r="B57" s="2"/>
      <c r="C57" s="2"/>
      <c r="D57" s="242"/>
      <c r="E57" s="245"/>
      <c r="F57" s="244"/>
      <c r="G57" s="245"/>
    </row>
    <row r="58" spans="1:7" x14ac:dyDescent="0.25">
      <c r="B58" s="2"/>
      <c r="C58" s="2"/>
      <c r="D58" s="242"/>
      <c r="E58" s="245"/>
      <c r="F58" s="244"/>
      <c r="G58" s="245"/>
    </row>
    <row r="59" spans="1:7" x14ac:dyDescent="0.25">
      <c r="B59" s="2"/>
      <c r="C59" s="2"/>
      <c r="D59" s="242"/>
      <c r="E59" s="245"/>
      <c r="F59" s="244"/>
      <c r="G59" s="245"/>
    </row>
    <row r="60" spans="1:7" x14ac:dyDescent="0.25">
      <c r="B60" s="2"/>
      <c r="C60" s="2"/>
      <c r="D60" s="242"/>
      <c r="E60" s="245"/>
      <c r="F60" s="244"/>
      <c r="G60" s="245"/>
    </row>
    <row r="61" spans="1:7" x14ac:dyDescent="0.25">
      <c r="B61" s="2"/>
      <c r="C61" s="2"/>
      <c r="D61" s="242"/>
      <c r="E61" s="245"/>
      <c r="F61" s="244"/>
      <c r="G61" s="245"/>
    </row>
    <row r="62" spans="1:7" x14ac:dyDescent="0.25">
      <c r="B62" s="2"/>
      <c r="C62" s="2"/>
      <c r="D62" s="242"/>
      <c r="E62" s="245"/>
      <c r="F62" s="244"/>
      <c r="G62" s="245"/>
    </row>
    <row r="63" spans="1:7" x14ac:dyDescent="0.25">
      <c r="B63" s="2"/>
      <c r="C63" s="2"/>
      <c r="D63" s="242"/>
      <c r="E63" s="245"/>
      <c r="F63" s="244"/>
      <c r="G63" s="245"/>
    </row>
    <row r="64" spans="1:7" x14ac:dyDescent="0.25">
      <c r="B64" s="2"/>
      <c r="C64" s="2"/>
      <c r="D64" s="242"/>
      <c r="E64" s="245"/>
      <c r="F64" s="244"/>
      <c r="G64" s="245"/>
    </row>
    <row r="65" spans="2:7" x14ac:dyDescent="0.25">
      <c r="B65" s="2"/>
      <c r="C65" s="2"/>
      <c r="D65" s="242"/>
      <c r="E65" s="245"/>
      <c r="F65" s="244"/>
      <c r="G65" s="245"/>
    </row>
    <row r="66" spans="2:7" x14ac:dyDescent="0.25">
      <c r="B66" s="2"/>
      <c r="C66" s="2"/>
      <c r="D66" s="242"/>
      <c r="E66" s="245"/>
      <c r="F66" s="244"/>
      <c r="G66" s="245"/>
    </row>
    <row r="67" spans="2:7" x14ac:dyDescent="0.25">
      <c r="B67" s="2"/>
      <c r="C67" s="2"/>
      <c r="D67" s="242"/>
      <c r="E67" s="245"/>
      <c r="F67" s="244"/>
      <c r="G67" s="245"/>
    </row>
    <row r="68" spans="2:7" x14ac:dyDescent="0.25">
      <c r="B68" s="2"/>
      <c r="C68" s="2"/>
      <c r="D68" s="242"/>
      <c r="E68" s="245"/>
      <c r="F68" s="244"/>
      <c r="G68" s="245"/>
    </row>
    <row r="69" spans="2:7" x14ac:dyDescent="0.25">
      <c r="B69" s="2"/>
      <c r="C69" s="2"/>
      <c r="D69" s="242"/>
      <c r="E69" s="245"/>
      <c r="F69" s="244"/>
      <c r="G69" s="245"/>
    </row>
    <row r="70" spans="2:7" x14ac:dyDescent="0.25">
      <c r="B70" s="2"/>
      <c r="C70" s="2"/>
      <c r="D70" s="242"/>
      <c r="E70" s="245"/>
      <c r="F70" s="244"/>
      <c r="G70" s="245"/>
    </row>
    <row r="71" spans="2:7" x14ac:dyDescent="0.25">
      <c r="B71" s="2"/>
      <c r="C71" s="2"/>
      <c r="D71" s="242"/>
      <c r="E71" s="245"/>
      <c r="F71" s="244"/>
      <c r="G71" s="245"/>
    </row>
    <row r="72" spans="2:7" x14ac:dyDescent="0.25">
      <c r="B72" s="2"/>
      <c r="C72" s="2"/>
      <c r="D72" s="242"/>
      <c r="E72" s="245"/>
      <c r="F72" s="244"/>
      <c r="G72" s="245"/>
    </row>
    <row r="73" spans="2:7" x14ac:dyDescent="0.25">
      <c r="B73" s="2"/>
      <c r="C73" s="2"/>
      <c r="D73" s="242"/>
      <c r="E73" s="245"/>
      <c r="F73" s="244"/>
      <c r="G73" s="245"/>
    </row>
    <row r="74" spans="2:7" x14ac:dyDescent="0.25">
      <c r="B74" s="2"/>
      <c r="C74" s="2"/>
      <c r="D74" s="242"/>
      <c r="E74" s="245"/>
      <c r="F74" s="244"/>
      <c r="G74" s="245"/>
    </row>
    <row r="75" spans="2:7" x14ac:dyDescent="0.25">
      <c r="B75" s="2"/>
      <c r="C75" s="2"/>
      <c r="D75" s="242"/>
      <c r="E75" s="245"/>
      <c r="F75" s="244"/>
      <c r="G75" s="245"/>
    </row>
    <row r="78" spans="2:7" x14ac:dyDescent="0.25">
      <c r="D78" s="244"/>
      <c r="E78" s="245"/>
      <c r="F78" s="244"/>
      <c r="G78" s="245"/>
    </row>
    <row r="79" spans="2:7" x14ac:dyDescent="0.25">
      <c r="D79" s="244"/>
      <c r="E79" s="245"/>
      <c r="F79" s="244"/>
      <c r="G79" s="245"/>
    </row>
    <row r="80" spans="2:7" x14ac:dyDescent="0.25">
      <c r="D80" s="244"/>
      <c r="E80" s="245"/>
      <c r="F80" s="244"/>
      <c r="G80" s="245"/>
    </row>
    <row r="81" spans="4:7" x14ac:dyDescent="0.25">
      <c r="D81" s="244"/>
      <c r="E81" s="245"/>
      <c r="F81" s="244"/>
      <c r="G81" s="245"/>
    </row>
    <row r="82" spans="4:7" x14ac:dyDescent="0.25">
      <c r="D82" s="244"/>
      <c r="E82" s="245"/>
      <c r="F82" s="244"/>
      <c r="G82" s="245"/>
    </row>
    <row r="83" spans="4:7" x14ac:dyDescent="0.25">
      <c r="D83" s="244"/>
      <c r="E83" s="245"/>
      <c r="F83" s="244"/>
      <c r="G83" s="245"/>
    </row>
    <row r="84" spans="4:7" x14ac:dyDescent="0.25">
      <c r="D84" s="244"/>
      <c r="E84" s="245"/>
      <c r="F84" s="244"/>
      <c r="G84" s="245"/>
    </row>
    <row r="85" spans="4:7" x14ac:dyDescent="0.25">
      <c r="D85" s="244"/>
      <c r="E85" s="245"/>
      <c r="F85" s="244"/>
      <c r="G85" s="245"/>
    </row>
    <row r="86" spans="4:7" x14ac:dyDescent="0.25">
      <c r="D86" s="244"/>
      <c r="E86" s="245"/>
      <c r="F86" s="244"/>
      <c r="G86" s="245"/>
    </row>
    <row r="87" spans="4:7" x14ac:dyDescent="0.25">
      <c r="D87" s="244"/>
      <c r="E87" s="245"/>
      <c r="F87" s="244"/>
      <c r="G87" s="245"/>
    </row>
    <row r="88" spans="4:7" x14ac:dyDescent="0.25">
      <c r="D88" s="244"/>
      <c r="E88" s="245"/>
      <c r="F88" s="244"/>
      <c r="G88" s="245"/>
    </row>
    <row r="89" spans="4:7" x14ac:dyDescent="0.25">
      <c r="D89" s="244"/>
      <c r="E89" s="245"/>
      <c r="F89" s="244"/>
      <c r="G89" s="245"/>
    </row>
    <row r="90" spans="4:7" x14ac:dyDescent="0.25">
      <c r="D90" s="244"/>
      <c r="E90" s="245"/>
      <c r="F90" s="244"/>
      <c r="G90" s="245"/>
    </row>
    <row r="91" spans="4:7" x14ac:dyDescent="0.25">
      <c r="D91" s="244"/>
      <c r="E91" s="245"/>
      <c r="F91" s="244"/>
      <c r="G91" s="245"/>
    </row>
    <row r="92" spans="4:7" x14ac:dyDescent="0.25">
      <c r="D92" s="244"/>
      <c r="E92" s="245"/>
      <c r="F92" s="244"/>
      <c r="G92" s="245"/>
    </row>
    <row r="93" spans="4:7" x14ac:dyDescent="0.25">
      <c r="D93" s="244"/>
      <c r="E93" s="245"/>
      <c r="F93" s="244"/>
      <c r="G93" s="245"/>
    </row>
    <row r="94" spans="4:7" x14ac:dyDescent="0.25">
      <c r="D94" s="244"/>
      <c r="E94" s="245"/>
      <c r="F94" s="244"/>
      <c r="G94" s="245"/>
    </row>
    <row r="95" spans="4:7" x14ac:dyDescent="0.25">
      <c r="D95" s="244"/>
      <c r="E95" s="245"/>
      <c r="F95" s="244"/>
      <c r="G95" s="245"/>
    </row>
    <row r="96" spans="4:7" x14ac:dyDescent="0.25">
      <c r="D96" s="244"/>
      <c r="E96" s="245"/>
      <c r="F96" s="244"/>
      <c r="G96" s="245"/>
    </row>
    <row r="97" spans="4:7" x14ac:dyDescent="0.25">
      <c r="D97" s="244"/>
      <c r="E97" s="245"/>
      <c r="F97" s="244"/>
      <c r="G97" s="245"/>
    </row>
    <row r="98" spans="4:7" x14ac:dyDescent="0.25">
      <c r="D98" s="244"/>
      <c r="E98" s="245"/>
      <c r="F98" s="244"/>
      <c r="G98" s="245"/>
    </row>
    <row r="99" spans="4:7" x14ac:dyDescent="0.25">
      <c r="D99" s="244"/>
      <c r="E99" s="245"/>
      <c r="F99" s="244"/>
      <c r="G99" s="245"/>
    </row>
    <row r="100" spans="4:7" x14ac:dyDescent="0.25">
      <c r="D100" s="244"/>
      <c r="E100" s="245"/>
      <c r="F100" s="244"/>
      <c r="G100" s="245"/>
    </row>
    <row r="101" spans="4:7" x14ac:dyDescent="0.25">
      <c r="D101" s="244"/>
      <c r="E101" s="245"/>
      <c r="F101" s="244"/>
      <c r="G101" s="245"/>
    </row>
    <row r="102" spans="4:7" x14ac:dyDescent="0.25">
      <c r="D102" s="244"/>
      <c r="E102" s="245"/>
      <c r="F102" s="244"/>
      <c r="G102" s="245"/>
    </row>
    <row r="103" spans="4:7" x14ac:dyDescent="0.25">
      <c r="D103" s="244"/>
      <c r="E103" s="245"/>
      <c r="F103" s="244"/>
      <c r="G103" s="245"/>
    </row>
    <row r="104" spans="4:7" x14ac:dyDescent="0.25">
      <c r="D104" s="244"/>
      <c r="E104" s="245"/>
      <c r="F104" s="244"/>
      <c r="G104" s="245"/>
    </row>
    <row r="105" spans="4:7" x14ac:dyDescent="0.25">
      <c r="D105" s="244"/>
      <c r="E105" s="245"/>
      <c r="F105" s="244"/>
      <c r="G105" s="245"/>
    </row>
    <row r="106" spans="4:7" x14ac:dyDescent="0.25">
      <c r="D106" s="244"/>
      <c r="E106" s="245"/>
      <c r="F106" s="244"/>
      <c r="G106" s="245"/>
    </row>
    <row r="107" spans="4:7" x14ac:dyDescent="0.25">
      <c r="D107" s="244"/>
      <c r="E107" s="245"/>
      <c r="F107" s="244"/>
      <c r="G107" s="245"/>
    </row>
    <row r="108" spans="4:7" x14ac:dyDescent="0.25">
      <c r="D108" s="244"/>
      <c r="E108" s="245"/>
      <c r="F108" s="244"/>
      <c r="G108" s="245"/>
    </row>
    <row r="109" spans="4:7" x14ac:dyDescent="0.25">
      <c r="D109" s="244"/>
      <c r="E109" s="245"/>
      <c r="F109" s="244"/>
      <c r="G109" s="245"/>
    </row>
    <row r="110" spans="4:7" x14ac:dyDescent="0.25">
      <c r="D110" s="244"/>
      <c r="E110" s="245"/>
      <c r="F110" s="244"/>
      <c r="G110" s="245"/>
    </row>
    <row r="111" spans="4:7" x14ac:dyDescent="0.25">
      <c r="D111" s="244"/>
      <c r="E111" s="245"/>
      <c r="F111" s="244"/>
      <c r="G111" s="245"/>
    </row>
    <row r="112" spans="4:7" x14ac:dyDescent="0.25">
      <c r="D112" s="244"/>
      <c r="E112" s="245"/>
      <c r="F112" s="244"/>
      <c r="G112" s="245"/>
    </row>
    <row r="113" spans="4:7" x14ac:dyDescent="0.25">
      <c r="D113" s="244"/>
      <c r="E113" s="245"/>
      <c r="F113" s="244"/>
      <c r="G113" s="245"/>
    </row>
    <row r="114" spans="4:7" x14ac:dyDescent="0.25">
      <c r="D114" s="244"/>
      <c r="E114" s="245"/>
      <c r="F114" s="244"/>
      <c r="G114" s="245"/>
    </row>
    <row r="115" spans="4:7" x14ac:dyDescent="0.25">
      <c r="D115" s="244"/>
      <c r="E115" s="245"/>
      <c r="F115" s="244"/>
      <c r="G115" s="245"/>
    </row>
    <row r="116" spans="4:7" x14ac:dyDescent="0.25">
      <c r="D116" s="244"/>
      <c r="E116" s="245"/>
      <c r="F116" s="244"/>
      <c r="G116" s="245"/>
    </row>
    <row r="117" spans="4:7" x14ac:dyDescent="0.25">
      <c r="D117" s="244"/>
      <c r="E117" s="245"/>
      <c r="F117" s="244"/>
      <c r="G117" s="245"/>
    </row>
    <row r="118" spans="4:7" x14ac:dyDescent="0.25">
      <c r="D118" s="244"/>
      <c r="E118" s="245"/>
      <c r="F118" s="244"/>
      <c r="G118" s="245"/>
    </row>
    <row r="119" spans="4:7" x14ac:dyDescent="0.25">
      <c r="D119" s="244"/>
      <c r="E119" s="245"/>
      <c r="F119" s="244"/>
      <c r="G119" s="245"/>
    </row>
    <row r="120" spans="4:7" x14ac:dyDescent="0.25">
      <c r="D120" s="244"/>
      <c r="E120" s="245"/>
      <c r="F120" s="244"/>
      <c r="G120" s="245"/>
    </row>
    <row r="121" spans="4:7" x14ac:dyDescent="0.25">
      <c r="D121" s="244"/>
      <c r="E121" s="245"/>
      <c r="F121" s="244"/>
      <c r="G121" s="245"/>
    </row>
    <row r="122" spans="4:7" x14ac:dyDescent="0.25">
      <c r="D122" s="244"/>
      <c r="E122" s="245"/>
      <c r="F122" s="244"/>
      <c r="G122" s="245"/>
    </row>
    <row r="123" spans="4:7" x14ac:dyDescent="0.25">
      <c r="D123" s="244"/>
      <c r="E123" s="245"/>
      <c r="F123" s="244"/>
      <c r="G123" s="245"/>
    </row>
    <row r="124" spans="4:7" x14ac:dyDescent="0.25">
      <c r="D124" s="244"/>
      <c r="E124" s="245"/>
      <c r="F124" s="244"/>
      <c r="G124" s="245"/>
    </row>
    <row r="125" spans="4:7" x14ac:dyDescent="0.25">
      <c r="D125" s="244"/>
      <c r="E125" s="245"/>
      <c r="F125" s="244"/>
      <c r="G125" s="245"/>
    </row>
    <row r="126" spans="4:7" x14ac:dyDescent="0.25">
      <c r="D126" s="244"/>
      <c r="E126" s="245"/>
      <c r="F126" s="244"/>
      <c r="G126" s="245"/>
    </row>
    <row r="127" spans="4:7" x14ac:dyDescent="0.25">
      <c r="D127" s="244"/>
      <c r="E127" s="245"/>
      <c r="F127" s="244"/>
      <c r="G127" s="245"/>
    </row>
    <row r="128" spans="4:7" x14ac:dyDescent="0.25">
      <c r="D128" s="244"/>
      <c r="E128" s="245"/>
      <c r="F128" s="244"/>
      <c r="G128" s="245"/>
    </row>
    <row r="129" spans="4:7" x14ac:dyDescent="0.25">
      <c r="D129" s="244"/>
      <c r="E129" s="245"/>
      <c r="F129" s="244"/>
      <c r="G129" s="245"/>
    </row>
    <row r="130" spans="4:7" x14ac:dyDescent="0.25">
      <c r="D130" s="244"/>
      <c r="E130" s="245"/>
      <c r="F130" s="244"/>
      <c r="G130" s="245"/>
    </row>
    <row r="131" spans="4:7" x14ac:dyDescent="0.25">
      <c r="D131" s="244"/>
      <c r="E131" s="245"/>
      <c r="F131" s="244"/>
      <c r="G131" s="245"/>
    </row>
    <row r="132" spans="4:7" x14ac:dyDescent="0.25">
      <c r="D132" s="244"/>
      <c r="E132" s="245"/>
      <c r="F132" s="244"/>
      <c r="G132" s="245"/>
    </row>
    <row r="133" spans="4:7" x14ac:dyDescent="0.25">
      <c r="D133" s="244"/>
      <c r="E133" s="245"/>
      <c r="F133" s="244"/>
      <c r="G133" s="245"/>
    </row>
    <row r="134" spans="4:7" x14ac:dyDescent="0.25">
      <c r="D134" s="244"/>
      <c r="E134" s="245"/>
      <c r="F134" s="244"/>
      <c r="G134" s="245"/>
    </row>
    <row r="135" spans="4:7" x14ac:dyDescent="0.25">
      <c r="D135" s="244"/>
      <c r="E135" s="245"/>
      <c r="F135" s="244"/>
      <c r="G135" s="245"/>
    </row>
    <row r="136" spans="4:7" x14ac:dyDescent="0.25">
      <c r="D136" s="244"/>
      <c r="E136" s="245"/>
      <c r="F136" s="244"/>
      <c r="G136" s="245"/>
    </row>
    <row r="137" spans="4:7" x14ac:dyDescent="0.25">
      <c r="D137" s="244"/>
      <c r="E137" s="245"/>
      <c r="F137" s="244"/>
      <c r="G137" s="245"/>
    </row>
    <row r="138" spans="4:7" x14ac:dyDescent="0.25">
      <c r="D138" s="244"/>
      <c r="E138" s="245"/>
      <c r="F138" s="244"/>
      <c r="G138" s="245"/>
    </row>
    <row r="139" spans="4:7" x14ac:dyDescent="0.25">
      <c r="D139" s="244"/>
      <c r="E139" s="245"/>
      <c r="F139" s="244"/>
      <c r="G139" s="245"/>
    </row>
    <row r="140" spans="4:7" x14ac:dyDescent="0.25">
      <c r="D140" s="244"/>
      <c r="E140" s="245"/>
      <c r="F140" s="244"/>
      <c r="G140" s="245"/>
    </row>
    <row r="141" spans="4:7" x14ac:dyDescent="0.25">
      <c r="D141" s="244"/>
      <c r="E141" s="245"/>
      <c r="F141" s="244"/>
      <c r="G141" s="245"/>
    </row>
    <row r="142" spans="4:7" x14ac:dyDescent="0.25">
      <c r="D142" s="244"/>
      <c r="E142" s="245"/>
      <c r="F142" s="244"/>
      <c r="G142" s="245"/>
    </row>
    <row r="143" spans="4:7" x14ac:dyDescent="0.25">
      <c r="D143" s="244"/>
      <c r="E143" s="245"/>
      <c r="F143" s="244"/>
      <c r="G143" s="245"/>
    </row>
    <row r="144" spans="4:7" x14ac:dyDescent="0.25">
      <c r="D144" s="244"/>
      <c r="E144" s="245"/>
      <c r="F144" s="244"/>
      <c r="G144" s="245"/>
    </row>
    <row r="145" spans="4:7" x14ac:dyDescent="0.25">
      <c r="D145" s="244"/>
      <c r="E145" s="245"/>
      <c r="F145" s="244"/>
      <c r="G145" s="245"/>
    </row>
    <row r="146" spans="4:7" x14ac:dyDescent="0.25">
      <c r="D146" s="244"/>
      <c r="E146" s="245"/>
      <c r="F146" s="244"/>
      <c r="G146" s="245"/>
    </row>
    <row r="147" spans="4:7" x14ac:dyDescent="0.25">
      <c r="D147" s="244"/>
      <c r="E147" s="245"/>
      <c r="F147" s="244"/>
      <c r="G147" s="245"/>
    </row>
    <row r="148" spans="4:7" x14ac:dyDescent="0.25">
      <c r="D148" s="244"/>
      <c r="E148" s="245"/>
      <c r="F148" s="244"/>
      <c r="G148" s="245"/>
    </row>
    <row r="149" spans="4:7" x14ac:dyDescent="0.25">
      <c r="D149" s="244"/>
      <c r="E149" s="245"/>
      <c r="F149" s="244"/>
      <c r="G149" s="245"/>
    </row>
    <row r="150" spans="4:7" x14ac:dyDescent="0.25">
      <c r="D150" s="244"/>
      <c r="E150" s="245"/>
      <c r="F150" s="244"/>
      <c r="G150" s="245"/>
    </row>
    <row r="151" spans="4:7" x14ac:dyDescent="0.25">
      <c r="D151" s="244"/>
      <c r="E151" s="245"/>
      <c r="F151" s="244"/>
      <c r="G151" s="245"/>
    </row>
    <row r="152" spans="4:7" x14ac:dyDescent="0.25">
      <c r="D152" s="244"/>
      <c r="E152" s="245"/>
      <c r="F152" s="244"/>
      <c r="G152" s="245"/>
    </row>
    <row r="153" spans="4:7" x14ac:dyDescent="0.25">
      <c r="D153" s="244"/>
      <c r="E153" s="245"/>
      <c r="F153" s="244"/>
      <c r="G153" s="245"/>
    </row>
    <row r="154" spans="4:7" x14ac:dyDescent="0.25">
      <c r="D154" s="244"/>
      <c r="E154" s="245"/>
      <c r="F154" s="244"/>
      <c r="G154" s="245"/>
    </row>
    <row r="155" spans="4:7" x14ac:dyDescent="0.25">
      <c r="D155" s="244"/>
      <c r="E155" s="245"/>
      <c r="F155" s="244"/>
      <c r="G155" s="245"/>
    </row>
    <row r="156" spans="4:7" x14ac:dyDescent="0.25">
      <c r="D156" s="244"/>
      <c r="E156" s="245"/>
      <c r="F156" s="244"/>
      <c r="G156" s="245"/>
    </row>
    <row r="157" spans="4:7" x14ac:dyDescent="0.25">
      <c r="D157" s="244"/>
      <c r="E157" s="245"/>
      <c r="F157" s="244"/>
      <c r="G157" s="245"/>
    </row>
    <row r="158" spans="4:7" x14ac:dyDescent="0.25">
      <c r="D158" s="244"/>
      <c r="E158" s="245"/>
      <c r="F158" s="244"/>
      <c r="G158" s="245"/>
    </row>
    <row r="159" spans="4:7" x14ac:dyDescent="0.25">
      <c r="D159" s="244"/>
      <c r="E159" s="245"/>
      <c r="F159" s="244"/>
      <c r="G159" s="245"/>
    </row>
    <row r="160" spans="4:7" x14ac:dyDescent="0.25">
      <c r="D160" s="244"/>
      <c r="E160" s="245"/>
      <c r="F160" s="244"/>
      <c r="G160" s="245"/>
    </row>
    <row r="161" spans="4:7" x14ac:dyDescent="0.25">
      <c r="D161" s="244"/>
      <c r="E161" s="245"/>
      <c r="F161" s="244"/>
      <c r="G161" s="245"/>
    </row>
    <row r="162" spans="4:7" x14ac:dyDescent="0.25">
      <c r="D162" s="244"/>
      <c r="E162" s="245"/>
      <c r="F162" s="244"/>
      <c r="G162" s="245"/>
    </row>
    <row r="163" spans="4:7" x14ac:dyDescent="0.25">
      <c r="D163" s="244"/>
      <c r="E163" s="245"/>
      <c r="F163" s="244"/>
      <c r="G163" s="245"/>
    </row>
    <row r="164" spans="4:7" x14ac:dyDescent="0.25">
      <c r="D164" s="244"/>
      <c r="E164" s="245"/>
      <c r="F164" s="244"/>
      <c r="G164" s="245"/>
    </row>
    <row r="165" spans="4:7" x14ac:dyDescent="0.25">
      <c r="D165" s="244"/>
      <c r="E165" s="245"/>
      <c r="F165" s="244"/>
      <c r="G165" s="245"/>
    </row>
    <row r="166" spans="4:7" x14ac:dyDescent="0.25">
      <c r="D166" s="244"/>
      <c r="E166" s="245"/>
      <c r="F166" s="244"/>
      <c r="G166" s="245"/>
    </row>
    <row r="167" spans="4:7" x14ac:dyDescent="0.25">
      <c r="D167" s="244"/>
      <c r="E167" s="245"/>
      <c r="F167" s="244"/>
      <c r="G167" s="245"/>
    </row>
    <row r="168" spans="4:7" x14ac:dyDescent="0.25">
      <c r="D168" s="244"/>
      <c r="E168" s="245"/>
      <c r="F168" s="244"/>
      <c r="G168" s="245"/>
    </row>
    <row r="169" spans="4:7" x14ac:dyDescent="0.25">
      <c r="D169" s="244"/>
      <c r="E169" s="245"/>
      <c r="F169" s="244"/>
      <c r="G169" s="245"/>
    </row>
    <row r="170" spans="4:7" x14ac:dyDescent="0.25">
      <c r="D170" s="244"/>
      <c r="E170" s="245"/>
      <c r="F170" s="244"/>
      <c r="G170" s="245"/>
    </row>
    <row r="171" spans="4:7" x14ac:dyDescent="0.25">
      <c r="D171" s="244"/>
      <c r="E171" s="245"/>
      <c r="F171" s="244"/>
      <c r="G171" s="245"/>
    </row>
    <row r="172" spans="4:7" x14ac:dyDescent="0.25">
      <c r="D172" s="244"/>
      <c r="E172" s="245"/>
      <c r="F172" s="244"/>
      <c r="G172" s="245"/>
    </row>
    <row r="173" spans="4:7" x14ac:dyDescent="0.25">
      <c r="D173" s="244"/>
      <c r="E173" s="245"/>
      <c r="F173" s="244"/>
      <c r="G173" s="245"/>
    </row>
    <row r="174" spans="4:7" x14ac:dyDescent="0.25">
      <c r="D174" s="244"/>
      <c r="E174" s="245"/>
      <c r="F174" s="244"/>
      <c r="G174" s="245"/>
    </row>
    <row r="175" spans="4:7" x14ac:dyDescent="0.25">
      <c r="D175" s="244"/>
      <c r="E175" s="245"/>
      <c r="F175" s="244"/>
      <c r="G175" s="245"/>
    </row>
    <row r="176" spans="4:7" x14ac:dyDescent="0.25">
      <c r="D176" s="244"/>
      <c r="E176" s="245"/>
      <c r="F176" s="244"/>
      <c r="G176" s="245"/>
    </row>
    <row r="177" spans="4:7" x14ac:dyDescent="0.25">
      <c r="D177" s="244"/>
      <c r="E177" s="245"/>
      <c r="F177" s="244"/>
      <c r="G177" s="245"/>
    </row>
    <row r="178" spans="4:7" x14ac:dyDescent="0.25">
      <c r="D178" s="244"/>
      <c r="E178" s="245"/>
      <c r="F178" s="244"/>
      <c r="G178" s="245"/>
    </row>
    <row r="179" spans="4:7" x14ac:dyDescent="0.25">
      <c r="D179" s="244"/>
      <c r="E179" s="245"/>
      <c r="F179" s="244"/>
      <c r="G179" s="245"/>
    </row>
    <row r="180" spans="4:7" x14ac:dyDescent="0.25">
      <c r="D180" s="244"/>
      <c r="E180" s="245"/>
      <c r="F180" s="244"/>
      <c r="G180" s="245"/>
    </row>
    <row r="181" spans="4:7" x14ac:dyDescent="0.25">
      <c r="D181" s="244"/>
      <c r="E181" s="245"/>
      <c r="F181" s="244"/>
      <c r="G181" s="245"/>
    </row>
    <row r="182" spans="4:7" x14ac:dyDescent="0.25">
      <c r="D182" s="244"/>
      <c r="E182" s="245"/>
      <c r="F182" s="244"/>
      <c r="G182" s="245"/>
    </row>
    <row r="183" spans="4:7" x14ac:dyDescent="0.25">
      <c r="D183" s="244"/>
      <c r="E183" s="245"/>
      <c r="F183" s="244"/>
      <c r="G183" s="245"/>
    </row>
    <row r="184" spans="4:7" x14ac:dyDescent="0.25">
      <c r="D184" s="244"/>
      <c r="E184" s="245"/>
      <c r="F184" s="244"/>
      <c r="G184" s="245"/>
    </row>
    <row r="185" spans="4:7" x14ac:dyDescent="0.25">
      <c r="D185" s="244"/>
      <c r="E185" s="245"/>
      <c r="F185" s="244"/>
      <c r="G185" s="245"/>
    </row>
    <row r="186" spans="4:7" x14ac:dyDescent="0.25">
      <c r="D186" s="244"/>
      <c r="E186" s="245"/>
      <c r="F186" s="244"/>
      <c r="G186" s="245"/>
    </row>
    <row r="187" spans="4:7" x14ac:dyDescent="0.25">
      <c r="D187" s="244"/>
      <c r="E187" s="245"/>
      <c r="F187" s="244"/>
      <c r="G187" s="245"/>
    </row>
    <row r="188" spans="4:7" x14ac:dyDescent="0.25">
      <c r="D188" s="244"/>
      <c r="E188" s="245"/>
      <c r="F188" s="244"/>
      <c r="G188" s="245"/>
    </row>
    <row r="189" spans="4:7" x14ac:dyDescent="0.25">
      <c r="D189" s="244"/>
      <c r="E189" s="245"/>
      <c r="F189" s="244"/>
      <c r="G189" s="245"/>
    </row>
    <row r="190" spans="4:7" x14ac:dyDescent="0.25">
      <c r="D190" s="244"/>
      <c r="E190" s="245"/>
      <c r="F190" s="244"/>
      <c r="G190" s="245"/>
    </row>
    <row r="191" spans="4:7" x14ac:dyDescent="0.25">
      <c r="D191" s="244"/>
      <c r="E191" s="245"/>
      <c r="F191" s="244"/>
      <c r="G191" s="245"/>
    </row>
    <row r="192" spans="4:7" x14ac:dyDescent="0.25">
      <c r="D192" s="244"/>
      <c r="E192" s="245"/>
      <c r="F192" s="244"/>
      <c r="G192" s="245"/>
    </row>
    <row r="193" spans="4:7" x14ac:dyDescent="0.25">
      <c r="D193" s="244"/>
      <c r="E193" s="245"/>
      <c r="F193" s="244"/>
      <c r="G193" s="245"/>
    </row>
    <row r="194" spans="4:7" x14ac:dyDescent="0.25">
      <c r="D194" s="244"/>
      <c r="E194" s="245"/>
      <c r="F194" s="244"/>
      <c r="G194" s="245"/>
    </row>
    <row r="195" spans="4:7" x14ac:dyDescent="0.25">
      <c r="D195" s="244"/>
      <c r="E195" s="245"/>
      <c r="F195" s="244"/>
      <c r="G195" s="245"/>
    </row>
    <row r="196" spans="4:7" x14ac:dyDescent="0.25">
      <c r="D196" s="244"/>
      <c r="E196" s="245"/>
      <c r="F196" s="244"/>
      <c r="G196" s="245"/>
    </row>
    <row r="197" spans="4:7" x14ac:dyDescent="0.25">
      <c r="D197" s="244"/>
      <c r="E197" s="245"/>
      <c r="F197" s="244"/>
      <c r="G197" s="245"/>
    </row>
    <row r="198" spans="4:7" x14ac:dyDescent="0.25">
      <c r="D198" s="244"/>
      <c r="E198" s="245"/>
      <c r="F198" s="244"/>
      <c r="G198" s="245"/>
    </row>
    <row r="199" spans="4:7" x14ac:dyDescent="0.25">
      <c r="D199" s="244"/>
      <c r="E199" s="245"/>
      <c r="F199" s="244"/>
      <c r="G199" s="245"/>
    </row>
    <row r="200" spans="4:7" x14ac:dyDescent="0.25">
      <c r="D200" s="244"/>
      <c r="E200" s="245"/>
      <c r="F200" s="244"/>
      <c r="G200" s="245"/>
    </row>
    <row r="201" spans="4:7" x14ac:dyDescent="0.25">
      <c r="D201" s="244"/>
      <c r="E201" s="245"/>
      <c r="F201" s="244"/>
      <c r="G201" s="245"/>
    </row>
    <row r="202" spans="4:7" x14ac:dyDescent="0.25">
      <c r="D202" s="244"/>
      <c r="E202" s="245"/>
      <c r="F202" s="244"/>
      <c r="G202" s="245"/>
    </row>
    <row r="203" spans="4:7" x14ac:dyDescent="0.25">
      <c r="D203" s="244"/>
      <c r="E203" s="245"/>
      <c r="F203" s="244"/>
      <c r="G203" s="245"/>
    </row>
    <row r="204" spans="4:7" x14ac:dyDescent="0.25">
      <c r="D204" s="244"/>
      <c r="E204" s="245"/>
      <c r="F204" s="244"/>
      <c r="G204" s="245"/>
    </row>
    <row r="205" spans="4:7" x14ac:dyDescent="0.25">
      <c r="D205" s="244"/>
      <c r="E205" s="245"/>
      <c r="F205" s="244"/>
      <c r="G205" s="245"/>
    </row>
    <row r="206" spans="4:7" x14ac:dyDescent="0.25">
      <c r="D206" s="244"/>
      <c r="E206" s="245"/>
      <c r="F206" s="244"/>
      <c r="G206" s="245"/>
    </row>
    <row r="207" spans="4:7" x14ac:dyDescent="0.25">
      <c r="D207" s="244"/>
      <c r="E207" s="245"/>
      <c r="F207" s="244"/>
      <c r="G207" s="245"/>
    </row>
    <row r="208" spans="4:7" x14ac:dyDescent="0.25">
      <c r="D208" s="244"/>
      <c r="E208" s="245"/>
      <c r="F208" s="244"/>
      <c r="G208" s="245"/>
    </row>
    <row r="209" spans="4:7" x14ac:dyDescent="0.25">
      <c r="D209" s="244"/>
      <c r="E209" s="245"/>
      <c r="F209" s="244"/>
      <c r="G209" s="245"/>
    </row>
    <row r="210" spans="4:7" x14ac:dyDescent="0.25">
      <c r="D210" s="244"/>
      <c r="E210" s="245"/>
      <c r="F210" s="244"/>
      <c r="G210" s="245"/>
    </row>
    <row r="211" spans="4:7" x14ac:dyDescent="0.25">
      <c r="D211" s="244"/>
      <c r="E211" s="245"/>
      <c r="F211" s="244"/>
      <c r="G211" s="245"/>
    </row>
    <row r="212" spans="4:7" x14ac:dyDescent="0.25">
      <c r="D212" s="244"/>
      <c r="E212" s="245"/>
      <c r="F212" s="244"/>
      <c r="G212" s="245"/>
    </row>
    <row r="213" spans="4:7" x14ac:dyDescent="0.25">
      <c r="D213" s="244"/>
      <c r="E213" s="245"/>
      <c r="F213" s="244"/>
      <c r="G213" s="245"/>
    </row>
    <row r="214" spans="4:7" x14ac:dyDescent="0.25">
      <c r="D214" s="244"/>
      <c r="E214" s="245"/>
      <c r="F214" s="244"/>
      <c r="G214" s="245"/>
    </row>
    <row r="215" spans="4:7" x14ac:dyDescent="0.25">
      <c r="D215" s="244"/>
      <c r="E215" s="245"/>
      <c r="F215" s="244"/>
      <c r="G215" s="245"/>
    </row>
    <row r="216" spans="4:7" x14ac:dyDescent="0.25">
      <c r="D216" s="244"/>
      <c r="E216" s="245"/>
      <c r="F216" s="244"/>
      <c r="G216" s="245"/>
    </row>
    <row r="217" spans="4:7" x14ac:dyDescent="0.25">
      <c r="D217" s="244"/>
      <c r="E217" s="245"/>
      <c r="F217" s="244"/>
      <c r="G217" s="245"/>
    </row>
    <row r="218" spans="4:7" x14ac:dyDescent="0.25">
      <c r="D218" s="244"/>
      <c r="E218" s="245"/>
      <c r="F218" s="244"/>
      <c r="G218" s="245"/>
    </row>
    <row r="219" spans="4:7" x14ac:dyDescent="0.25">
      <c r="D219" s="244"/>
      <c r="E219" s="245"/>
      <c r="F219" s="244"/>
      <c r="G219" s="245"/>
    </row>
    <row r="220" spans="4:7" x14ac:dyDescent="0.25">
      <c r="D220" s="244"/>
      <c r="E220" s="245"/>
      <c r="F220" s="244"/>
      <c r="G220" s="245"/>
    </row>
    <row r="221" spans="4:7" x14ac:dyDescent="0.25">
      <c r="D221" s="244"/>
      <c r="E221" s="245"/>
      <c r="F221" s="244"/>
      <c r="G221" s="245"/>
    </row>
    <row r="222" spans="4:7" x14ac:dyDescent="0.25">
      <c r="D222" s="244"/>
      <c r="E222" s="245"/>
      <c r="F222" s="244"/>
      <c r="G222" s="245"/>
    </row>
    <row r="223" spans="4:7" x14ac:dyDescent="0.25">
      <c r="D223" s="244"/>
      <c r="E223" s="245"/>
      <c r="F223" s="244"/>
      <c r="G223" s="245"/>
    </row>
    <row r="224" spans="4:7" x14ac:dyDescent="0.25">
      <c r="D224" s="244"/>
      <c r="E224" s="245"/>
      <c r="F224" s="244"/>
      <c r="G224" s="245"/>
    </row>
    <row r="225" spans="4:7" x14ac:dyDescent="0.25">
      <c r="D225" s="244"/>
      <c r="E225" s="245"/>
      <c r="F225" s="244"/>
      <c r="G225" s="245"/>
    </row>
    <row r="226" spans="4:7" x14ac:dyDescent="0.25">
      <c r="D226" s="244"/>
      <c r="E226" s="245"/>
      <c r="F226" s="244"/>
      <c r="G226" s="245"/>
    </row>
    <row r="227" spans="4:7" x14ac:dyDescent="0.25">
      <c r="D227" s="244"/>
      <c r="E227" s="245"/>
      <c r="F227" s="244"/>
      <c r="G227" s="245"/>
    </row>
    <row r="228" spans="4:7" x14ac:dyDescent="0.25">
      <c r="D228" s="244"/>
      <c r="E228" s="245"/>
      <c r="F228" s="244"/>
      <c r="G228" s="245"/>
    </row>
    <row r="229" spans="4:7" x14ac:dyDescent="0.25">
      <c r="D229" s="244"/>
      <c r="E229" s="245"/>
      <c r="F229" s="244"/>
      <c r="G229" s="245"/>
    </row>
    <row r="230" spans="4:7" x14ac:dyDescent="0.25">
      <c r="D230" s="244"/>
      <c r="E230" s="245"/>
      <c r="F230" s="244"/>
      <c r="G230" s="245"/>
    </row>
    <row r="231" spans="4:7" x14ac:dyDescent="0.25">
      <c r="D231" s="244"/>
      <c r="E231" s="245"/>
      <c r="F231" s="244"/>
      <c r="G231" s="245"/>
    </row>
    <row r="232" spans="4:7" x14ac:dyDescent="0.25">
      <c r="D232" s="244"/>
      <c r="E232" s="245"/>
      <c r="F232" s="244"/>
      <c r="G232" s="245"/>
    </row>
    <row r="233" spans="4:7" x14ac:dyDescent="0.25">
      <c r="D233" s="244"/>
      <c r="E233" s="245"/>
      <c r="F233" s="244"/>
      <c r="G233" s="245"/>
    </row>
    <row r="234" spans="4:7" x14ac:dyDescent="0.25">
      <c r="D234" s="244"/>
      <c r="E234" s="245"/>
      <c r="F234" s="244"/>
      <c r="G234" s="245"/>
    </row>
    <row r="235" spans="4:7" x14ac:dyDescent="0.25">
      <c r="D235" s="244"/>
      <c r="E235" s="245"/>
      <c r="F235" s="244"/>
      <c r="G235" s="245"/>
    </row>
    <row r="236" spans="4:7" x14ac:dyDescent="0.25">
      <c r="D236" s="244"/>
      <c r="E236" s="245"/>
      <c r="F236" s="244"/>
      <c r="G236" s="245"/>
    </row>
    <row r="237" spans="4:7" x14ac:dyDescent="0.25">
      <c r="D237" s="244"/>
      <c r="E237" s="245"/>
      <c r="F237" s="244"/>
      <c r="G237" s="245"/>
    </row>
    <row r="238" spans="4:7" x14ac:dyDescent="0.25">
      <c r="D238" s="244"/>
      <c r="E238" s="245"/>
      <c r="F238" s="244"/>
      <c r="G238" s="245"/>
    </row>
    <row r="239" spans="4:7" x14ac:dyDescent="0.25">
      <c r="D239" s="244"/>
      <c r="E239" s="245"/>
      <c r="F239" s="244"/>
      <c r="G239" s="245"/>
    </row>
    <row r="240" spans="4:7" x14ac:dyDescent="0.25">
      <c r="D240" s="244"/>
      <c r="E240" s="245"/>
      <c r="F240" s="244"/>
      <c r="G240" s="245"/>
    </row>
    <row r="241" spans="4:7" x14ac:dyDescent="0.25">
      <c r="D241" s="244"/>
      <c r="E241" s="245"/>
      <c r="F241" s="244"/>
      <c r="G241" s="245"/>
    </row>
    <row r="242" spans="4:7" x14ac:dyDescent="0.25">
      <c r="D242" s="244"/>
      <c r="E242" s="245"/>
      <c r="F242" s="244"/>
      <c r="G242" s="245"/>
    </row>
    <row r="243" spans="4:7" x14ac:dyDescent="0.25">
      <c r="D243" s="244"/>
      <c r="E243" s="245"/>
      <c r="F243" s="244"/>
      <c r="G243" s="245"/>
    </row>
    <row r="244" spans="4:7" x14ac:dyDescent="0.25">
      <c r="D244" s="244"/>
      <c r="E244" s="245"/>
      <c r="F244" s="244"/>
      <c r="G244" s="245"/>
    </row>
    <row r="245" spans="4:7" x14ac:dyDescent="0.25">
      <c r="D245" s="244"/>
      <c r="E245" s="245"/>
      <c r="F245" s="244"/>
      <c r="G245" s="245"/>
    </row>
    <row r="246" spans="4:7" x14ac:dyDescent="0.25">
      <c r="D246" s="244"/>
      <c r="E246" s="245"/>
      <c r="F246" s="244"/>
      <c r="G246" s="245"/>
    </row>
    <row r="247" spans="4:7" x14ac:dyDescent="0.25">
      <c r="D247" s="244"/>
      <c r="E247" s="245"/>
      <c r="F247" s="244"/>
      <c r="G247" s="245"/>
    </row>
    <row r="248" spans="4:7" x14ac:dyDescent="0.25">
      <c r="D248" s="244"/>
      <c r="E248" s="245"/>
      <c r="F248" s="244"/>
      <c r="G248" s="245"/>
    </row>
    <row r="249" spans="4:7" x14ac:dyDescent="0.25">
      <c r="D249" s="244"/>
      <c r="E249" s="245"/>
      <c r="F249" s="244"/>
      <c r="G249" s="245"/>
    </row>
    <row r="250" spans="4:7" x14ac:dyDescent="0.25">
      <c r="D250" s="244"/>
      <c r="E250" s="245"/>
      <c r="F250" s="244"/>
      <c r="G250" s="245"/>
    </row>
    <row r="251" spans="4:7" x14ac:dyDescent="0.25">
      <c r="D251" s="244"/>
      <c r="E251" s="245"/>
      <c r="F251" s="244"/>
      <c r="G251" s="245"/>
    </row>
    <row r="252" spans="4:7" x14ac:dyDescent="0.25">
      <c r="D252" s="244"/>
      <c r="E252" s="245"/>
      <c r="F252" s="244"/>
      <c r="G252" s="245"/>
    </row>
    <row r="253" spans="4:7" x14ac:dyDescent="0.25">
      <c r="D253" s="244"/>
      <c r="E253" s="245"/>
      <c r="F253" s="244"/>
      <c r="G253" s="245"/>
    </row>
    <row r="254" spans="4:7" x14ac:dyDescent="0.25">
      <c r="D254" s="244"/>
      <c r="E254" s="245"/>
      <c r="F254" s="244"/>
      <c r="G254" s="245"/>
    </row>
    <row r="255" spans="4:7" x14ac:dyDescent="0.25">
      <c r="D255" s="244"/>
      <c r="E255" s="245"/>
      <c r="F255" s="244"/>
      <c r="G255" s="245"/>
    </row>
    <row r="256" spans="4:7" x14ac:dyDescent="0.25">
      <c r="D256" s="244"/>
      <c r="E256" s="245"/>
      <c r="F256" s="244"/>
      <c r="G256" s="245"/>
    </row>
    <row r="257" spans="4:7" x14ac:dyDescent="0.25">
      <c r="D257" s="244"/>
      <c r="E257" s="245"/>
      <c r="F257" s="244"/>
      <c r="G257" s="245"/>
    </row>
    <row r="258" spans="4:7" x14ac:dyDescent="0.25">
      <c r="D258" s="244"/>
      <c r="E258" s="245"/>
      <c r="F258" s="244"/>
      <c r="G258" s="245"/>
    </row>
    <row r="259" spans="4:7" x14ac:dyDescent="0.25">
      <c r="D259" s="244"/>
      <c r="E259" s="245"/>
      <c r="F259" s="244"/>
      <c r="G259" s="245"/>
    </row>
    <row r="260" spans="4:7" x14ac:dyDescent="0.25">
      <c r="D260" s="244"/>
      <c r="E260" s="245"/>
      <c r="F260" s="244"/>
      <c r="G260" s="245"/>
    </row>
    <row r="261" spans="4:7" x14ac:dyDescent="0.25">
      <c r="D261" s="244"/>
      <c r="E261" s="245"/>
      <c r="F261" s="244"/>
      <c r="G261" s="245"/>
    </row>
    <row r="262" spans="4:7" x14ac:dyDescent="0.25">
      <c r="D262" s="244"/>
      <c r="E262" s="245"/>
      <c r="F262" s="244"/>
      <c r="G262" s="245"/>
    </row>
    <row r="263" spans="4:7" x14ac:dyDescent="0.25">
      <c r="D263" s="244"/>
      <c r="E263" s="245"/>
      <c r="F263" s="244"/>
      <c r="G263" s="245"/>
    </row>
    <row r="264" spans="4:7" x14ac:dyDescent="0.25">
      <c r="D264" s="244"/>
      <c r="E264" s="245"/>
      <c r="F264" s="244"/>
      <c r="G264" s="245"/>
    </row>
    <row r="265" spans="4:7" x14ac:dyDescent="0.25">
      <c r="D265" s="244"/>
      <c r="E265" s="245"/>
      <c r="F265" s="244"/>
      <c r="G265" s="245"/>
    </row>
    <row r="266" spans="4:7" x14ac:dyDescent="0.25">
      <c r="D266" s="244"/>
      <c r="E266" s="245"/>
      <c r="F266" s="244"/>
      <c r="G266" s="245"/>
    </row>
    <row r="267" spans="4:7" x14ac:dyDescent="0.25">
      <c r="D267" s="244"/>
      <c r="E267" s="245"/>
      <c r="F267" s="244"/>
      <c r="G267" s="245"/>
    </row>
    <row r="268" spans="4:7" x14ac:dyDescent="0.25">
      <c r="D268" s="244"/>
      <c r="E268" s="245"/>
      <c r="F268" s="244"/>
      <c r="G268" s="245"/>
    </row>
    <row r="269" spans="4:7" x14ac:dyDescent="0.25">
      <c r="D269" s="244"/>
      <c r="E269" s="245"/>
      <c r="F269" s="244"/>
      <c r="G269" s="245"/>
    </row>
    <row r="270" spans="4:7" x14ac:dyDescent="0.25">
      <c r="D270" s="244"/>
      <c r="E270" s="245"/>
      <c r="F270" s="244"/>
      <c r="G270" s="245"/>
    </row>
    <row r="271" spans="4:7" x14ac:dyDescent="0.25">
      <c r="D271" s="244"/>
      <c r="E271" s="245"/>
      <c r="F271" s="244"/>
      <c r="G271" s="245"/>
    </row>
    <row r="272" spans="4:7" x14ac:dyDescent="0.25">
      <c r="D272" s="244"/>
      <c r="E272" s="245"/>
      <c r="F272" s="244"/>
      <c r="G272" s="245"/>
    </row>
    <row r="273" spans="4:7" x14ac:dyDescent="0.25">
      <c r="D273" s="244"/>
      <c r="E273" s="245"/>
      <c r="F273" s="244"/>
      <c r="G273" s="245"/>
    </row>
    <row r="274" spans="4:7" x14ac:dyDescent="0.25">
      <c r="D274" s="244"/>
      <c r="E274" s="245"/>
      <c r="F274" s="244"/>
      <c r="G274" s="245"/>
    </row>
    <row r="275" spans="4:7" x14ac:dyDescent="0.25">
      <c r="D275" s="244"/>
      <c r="E275" s="245"/>
      <c r="F275" s="244"/>
      <c r="G275" s="245"/>
    </row>
    <row r="276" spans="4:7" x14ac:dyDescent="0.25">
      <c r="D276" s="244"/>
      <c r="E276" s="245"/>
      <c r="F276" s="244"/>
      <c r="G276" s="245"/>
    </row>
    <row r="277" spans="4:7" x14ac:dyDescent="0.25">
      <c r="D277" s="244"/>
      <c r="E277" s="245"/>
      <c r="F277" s="244"/>
      <c r="G277" s="245"/>
    </row>
    <row r="278" spans="4:7" x14ac:dyDescent="0.25">
      <c r="D278" s="244"/>
      <c r="E278" s="245"/>
      <c r="F278" s="244"/>
      <c r="G278" s="245"/>
    </row>
    <row r="279" spans="4:7" x14ac:dyDescent="0.25">
      <c r="D279" s="244"/>
      <c r="E279" s="245"/>
      <c r="F279" s="244"/>
      <c r="G279" s="245"/>
    </row>
    <row r="280" spans="4:7" x14ac:dyDescent="0.25">
      <c r="D280" s="244"/>
      <c r="E280" s="245"/>
      <c r="F280" s="244"/>
      <c r="G280" s="245"/>
    </row>
    <row r="281" spans="4:7" x14ac:dyDescent="0.25">
      <c r="D281" s="244"/>
      <c r="E281" s="245"/>
      <c r="F281" s="244"/>
      <c r="G281" s="245"/>
    </row>
    <row r="282" spans="4:7" x14ac:dyDescent="0.25">
      <c r="D282" s="244"/>
      <c r="E282" s="245"/>
      <c r="F282" s="244"/>
      <c r="G282" s="245"/>
    </row>
    <row r="283" spans="4:7" x14ac:dyDescent="0.25">
      <c r="D283" s="244"/>
      <c r="E283" s="245"/>
      <c r="F283" s="244"/>
      <c r="G283" s="245"/>
    </row>
    <row r="284" spans="4:7" x14ac:dyDescent="0.25">
      <c r="D284" s="244"/>
      <c r="E284" s="245"/>
      <c r="F284" s="244"/>
      <c r="G284" s="245"/>
    </row>
    <row r="285" spans="4:7" x14ac:dyDescent="0.25">
      <c r="D285" s="244"/>
      <c r="E285" s="245"/>
      <c r="F285" s="244"/>
      <c r="G285" s="245"/>
    </row>
    <row r="286" spans="4:7" x14ac:dyDescent="0.25">
      <c r="D286" s="244"/>
      <c r="E286" s="245"/>
      <c r="F286" s="244"/>
      <c r="G286" s="245"/>
    </row>
    <row r="287" spans="4:7" x14ac:dyDescent="0.25">
      <c r="D287" s="244"/>
      <c r="E287" s="245"/>
      <c r="F287" s="244"/>
      <c r="G287" s="245"/>
    </row>
    <row r="288" spans="4:7" x14ac:dyDescent="0.25">
      <c r="D288" s="244"/>
      <c r="E288" s="245"/>
      <c r="F288" s="244"/>
      <c r="G288" s="245"/>
    </row>
    <row r="289" spans="4:7" x14ac:dyDescent="0.25">
      <c r="D289" s="244"/>
      <c r="E289" s="245"/>
      <c r="F289" s="244"/>
      <c r="G289" s="245"/>
    </row>
    <row r="290" spans="4:7" x14ac:dyDescent="0.25">
      <c r="D290" s="244"/>
      <c r="E290" s="245"/>
      <c r="F290" s="244"/>
      <c r="G290" s="245"/>
    </row>
    <row r="291" spans="4:7" x14ac:dyDescent="0.25">
      <c r="D291" s="244"/>
      <c r="E291" s="245"/>
      <c r="F291" s="244"/>
      <c r="G291" s="245"/>
    </row>
    <row r="292" spans="4:7" x14ac:dyDescent="0.25">
      <c r="D292" s="244"/>
      <c r="E292" s="245"/>
      <c r="F292" s="244"/>
      <c r="G292" s="245"/>
    </row>
    <row r="293" spans="4:7" x14ac:dyDescent="0.25">
      <c r="D293" s="244"/>
      <c r="E293" s="245"/>
      <c r="F293" s="244"/>
      <c r="G293" s="245"/>
    </row>
    <row r="294" spans="4:7" x14ac:dyDescent="0.25">
      <c r="D294" s="244"/>
      <c r="E294" s="245"/>
      <c r="F294" s="244"/>
      <c r="G294" s="245"/>
    </row>
    <row r="295" spans="4:7" x14ac:dyDescent="0.25">
      <c r="D295" s="244"/>
      <c r="E295" s="245"/>
      <c r="F295" s="244"/>
      <c r="G295" s="245"/>
    </row>
    <row r="296" spans="4:7" x14ac:dyDescent="0.25">
      <c r="D296" s="244"/>
      <c r="E296" s="245"/>
      <c r="F296" s="244"/>
      <c r="G296" s="245"/>
    </row>
    <row r="297" spans="4:7" x14ac:dyDescent="0.25">
      <c r="D297" s="244"/>
      <c r="E297" s="245"/>
      <c r="F297" s="244"/>
      <c r="G297" s="245"/>
    </row>
    <row r="298" spans="4:7" x14ac:dyDescent="0.25">
      <c r="D298" s="244"/>
      <c r="E298" s="245"/>
      <c r="F298" s="244"/>
      <c r="G298" s="245"/>
    </row>
    <row r="299" spans="4:7" x14ac:dyDescent="0.25">
      <c r="D299" s="244"/>
      <c r="E299" s="245"/>
      <c r="F299" s="244"/>
      <c r="G299" s="245"/>
    </row>
    <row r="300" spans="4:7" x14ac:dyDescent="0.25">
      <c r="D300" s="244"/>
      <c r="E300" s="245"/>
      <c r="F300" s="244"/>
      <c r="G300" s="245"/>
    </row>
    <row r="301" spans="4:7" x14ac:dyDescent="0.25">
      <c r="D301" s="244"/>
      <c r="E301" s="245"/>
      <c r="F301" s="244"/>
      <c r="G301" s="245"/>
    </row>
    <row r="302" spans="4:7" x14ac:dyDescent="0.25">
      <c r="D302" s="244"/>
      <c r="E302" s="245"/>
      <c r="F302" s="244"/>
      <c r="G302" s="245"/>
    </row>
  </sheetData>
  <customSheetViews>
    <customSheetView guid="{679A3195-3DEA-4AC2-A535-82AAF5B552BC}" state="hidden" topLeftCell="J1">
      <selection activeCell="A7" sqref="A7"/>
      <pageMargins left="0.7" right="0.7" top="0.75" bottom="0.75" header="0.3" footer="0.3"/>
    </customSheetView>
    <customSheetView guid="{7378B641-E8D1-4C14-8151-CF4CE159D121}" topLeftCell="J1">
      <selection activeCell="E41" sqref="E41"/>
      <pageMargins left="0.7" right="0.7" top="0.75" bottom="0.75" header="0.3" footer="0.3"/>
    </customSheetView>
    <customSheetView guid="{6D63B10B-E1E6-452A-80EB-4B2C7D61CF66}" state="hidden" topLeftCell="J1">
      <selection activeCell="A7" sqref="A7"/>
      <pageMargins left="0.7" right="0.7" top="0.75" bottom="0.75" header="0.3" footer="0.3"/>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L8"/>
  <sheetViews>
    <sheetView topLeftCell="C1" workbookViewId="0">
      <selection activeCell="C3" sqref="C3"/>
    </sheetView>
  </sheetViews>
  <sheetFormatPr defaultRowHeight="15" x14ac:dyDescent="0.25"/>
  <cols>
    <col min="1" max="1" width="11.5703125" hidden="1" customWidth="1"/>
    <col min="2" max="2" width="57.28515625" hidden="1" customWidth="1"/>
    <col min="3" max="3" width="18.7109375" customWidth="1"/>
    <col min="5" max="5" width="14.85546875" customWidth="1"/>
    <col min="6" max="6" width="14" customWidth="1"/>
    <col min="8" max="8" width="11" customWidth="1"/>
    <col min="9" max="9" width="15.140625" customWidth="1"/>
    <col min="10" max="10" width="13.85546875" customWidth="1"/>
    <col min="11" max="11" width="11.5703125" bestFit="1" customWidth="1"/>
    <col min="12" max="12" width="16" customWidth="1"/>
  </cols>
  <sheetData>
    <row r="1" spans="1:12" ht="21" customHeight="1" x14ac:dyDescent="0.25">
      <c r="A1" s="3" t="s">
        <v>26</v>
      </c>
      <c r="B1" s="4" t="s">
        <v>3313</v>
      </c>
      <c r="C1" s="535" t="s">
        <v>3058</v>
      </c>
      <c r="D1" s="558" t="str">
        <f>B1</f>
        <v>Time Lags Between Key Phases in Projects</v>
      </c>
    </row>
    <row r="2" spans="1:12" x14ac:dyDescent="0.25">
      <c r="A2" t="s">
        <v>20</v>
      </c>
      <c r="B2" s="2" t="s">
        <v>60</v>
      </c>
      <c r="C2" s="536" t="s">
        <v>3059</v>
      </c>
    </row>
    <row r="3" spans="1:12" x14ac:dyDescent="0.25">
      <c r="A3" t="s">
        <v>1184</v>
      </c>
      <c r="B3" s="2" t="s">
        <v>2426</v>
      </c>
      <c r="C3" s="536" t="s">
        <v>1193</v>
      </c>
    </row>
    <row r="4" spans="1:12" ht="85.5" x14ac:dyDescent="0.25">
      <c r="A4" t="s">
        <v>3136</v>
      </c>
      <c r="B4" s="2" t="s">
        <v>1897</v>
      </c>
      <c r="D4" s="604" t="str">
        <f>'12D'!A1</f>
        <v>IOU</v>
      </c>
      <c r="E4" s="605" t="str">
        <f>'12D'!B1</f>
        <v>Number of Post-Pilot Rebate Approved Jobs</v>
      </c>
      <c r="F4" s="605" t="str">
        <f>'12D'!C1</f>
        <v>Electric Utility</v>
      </c>
      <c r="G4" s="605" t="str">
        <f>'12D'!D1</f>
        <v>Gas Utility</v>
      </c>
      <c r="H4" s="605" t="str">
        <f>'12D'!E1</f>
        <v>Upgrade Type</v>
      </c>
      <c r="I4" s="605" t="str">
        <f>'12D'!F1</f>
        <v>Days from Preliminary Application to Work Authorized</v>
      </c>
      <c r="J4" s="605" t="str">
        <f>'12D'!G1</f>
        <v>Days from Work Authorized to Work Complete</v>
      </c>
      <c r="K4" s="605" t="str">
        <f>'12D'!H1</f>
        <v>Days from Work Complete to Rebate Approved</v>
      </c>
      <c r="L4" s="606" t="str">
        <f>'12D'!I1</f>
        <v>Days from Rebate Approved to Check Sent
PG&amp;E n=297
SCE/SCG n=1</v>
      </c>
    </row>
    <row r="5" spans="1:12" x14ac:dyDescent="0.25">
      <c r="B5" s="2"/>
      <c r="C5" s="2"/>
      <c r="D5" s="82" t="str">
        <f>'12D'!A2</f>
        <v>PG&amp;E</v>
      </c>
      <c r="E5" s="83">
        <f>'12D'!B2</f>
        <v>482</v>
      </c>
      <c r="F5" s="83" t="str">
        <f>'12D'!C2</f>
        <v>PG&amp;E</v>
      </c>
      <c r="G5" s="83" t="str">
        <f>'12D'!D2</f>
        <v>PG&amp;E</v>
      </c>
      <c r="H5" s="83" t="str">
        <f>'12D'!E2</f>
        <v>Advanced</v>
      </c>
      <c r="I5" s="183">
        <f>'12D'!F2</f>
        <v>7.2219917012448134</v>
      </c>
      <c r="J5" s="183">
        <f>'12D'!G2</f>
        <v>55.711618257261414</v>
      </c>
      <c r="K5" s="183">
        <f>'12D'!H2</f>
        <v>17.235416666666666</v>
      </c>
      <c r="L5" s="184">
        <f>'12D'!I2</f>
        <v>36.57676348547718</v>
      </c>
    </row>
    <row r="6" spans="1:12" x14ac:dyDescent="0.25">
      <c r="D6" s="82" t="str">
        <f>'12D'!A3</f>
        <v>PG&amp;E</v>
      </c>
      <c r="E6" s="83">
        <f>'12D'!B3</f>
        <v>2</v>
      </c>
      <c r="F6" s="83" t="str">
        <f>'12D'!C3</f>
        <v>PG&amp;E</v>
      </c>
      <c r="G6" s="83" t="str">
        <f>'12D'!D3</f>
        <v>PG&amp;E</v>
      </c>
      <c r="H6" s="83" t="str">
        <f>'12D'!E3</f>
        <v>Basic</v>
      </c>
      <c r="I6" s="183">
        <f>'12D'!F3</f>
        <v>7</v>
      </c>
      <c r="J6" s="183">
        <f>'12D'!G3</f>
        <v>36</v>
      </c>
      <c r="K6" s="183">
        <f>'12D'!H3</f>
        <v>3</v>
      </c>
      <c r="L6" s="184">
        <f>'12D'!I3</f>
        <v>22</v>
      </c>
    </row>
    <row r="7" spans="1:12" x14ac:dyDescent="0.25">
      <c r="D7" s="82" t="str">
        <f>'12D'!A6</f>
        <v>SCE</v>
      </c>
      <c r="E7" s="83">
        <f>'12D'!B6</f>
        <v>36</v>
      </c>
      <c r="F7" s="83" t="str">
        <f>'12D'!C6</f>
        <v>SCE</v>
      </c>
      <c r="G7" s="83" t="str">
        <f>'12D'!D6</f>
        <v>SCG</v>
      </c>
      <c r="H7" s="83" t="str">
        <f>'12D'!E6</f>
        <v>Advanced</v>
      </c>
      <c r="I7" s="183">
        <f>'12D'!F6</f>
        <v>35.057142857142857</v>
      </c>
      <c r="J7" s="183">
        <f>'12D'!G6</f>
        <v>63.2</v>
      </c>
      <c r="K7" s="183">
        <f>'12D'!H6</f>
        <v>51.222222222222221</v>
      </c>
      <c r="L7" s="184">
        <f>'12D'!I6</f>
        <v>29</v>
      </c>
    </row>
    <row r="8" spans="1:12" x14ac:dyDescent="0.25">
      <c r="D8" s="82" t="str">
        <f>'12D'!A7</f>
        <v>SCE</v>
      </c>
      <c r="E8" s="83">
        <f>'12D'!B7</f>
        <v>15</v>
      </c>
      <c r="F8" s="83" t="str">
        <f>'12D'!C7</f>
        <v>SCE</v>
      </c>
      <c r="G8" s="83" t="str">
        <f>'12D'!D7</f>
        <v>SCG</v>
      </c>
      <c r="H8" s="83" t="str">
        <f>'12D'!E7</f>
        <v>Basic</v>
      </c>
      <c r="I8" s="183">
        <f>'12D'!F7</f>
        <v>11.583333333333334</v>
      </c>
      <c r="J8" s="183">
        <f>'12D'!G7</f>
        <v>41.166666666666664</v>
      </c>
      <c r="K8" s="183">
        <f>'12D'!H7</f>
        <v>28.333333333333332</v>
      </c>
      <c r="L8" s="184"/>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F14" sqref="F14"/>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7"/>
  <sheetViews>
    <sheetView workbookViewId="0">
      <selection activeCell="A7" sqref="A7"/>
    </sheetView>
  </sheetViews>
  <sheetFormatPr defaultRowHeight="15" x14ac:dyDescent="0.25"/>
  <cols>
    <col min="1" max="9" width="16.7109375" customWidth="1"/>
  </cols>
  <sheetData>
    <row r="1" spans="1:9" ht="75" x14ac:dyDescent="0.25">
      <c r="A1" s="181" t="s">
        <v>1895</v>
      </c>
      <c r="B1" s="181" t="s">
        <v>1901</v>
      </c>
      <c r="C1" s="181" t="s">
        <v>1903</v>
      </c>
      <c r="D1" s="181" t="s">
        <v>1902</v>
      </c>
      <c r="E1" s="181" t="s">
        <v>1904</v>
      </c>
      <c r="F1" s="181" t="s">
        <v>1898</v>
      </c>
      <c r="G1" s="181" t="s">
        <v>1899</v>
      </c>
      <c r="H1" s="181" t="s">
        <v>1900</v>
      </c>
      <c r="I1" s="181" t="s">
        <v>3181</v>
      </c>
    </row>
    <row r="2" spans="1:9" x14ac:dyDescent="0.25">
      <c r="A2" s="177" t="s">
        <v>58</v>
      </c>
      <c r="B2" s="178">
        <v>482</v>
      </c>
      <c r="C2" s="177" t="s">
        <v>58</v>
      </c>
      <c r="D2" s="177" t="s">
        <v>58</v>
      </c>
      <c r="E2" s="177" t="s">
        <v>1422</v>
      </c>
      <c r="F2" s="179">
        <v>7.2219917012448134</v>
      </c>
      <c r="G2" s="179">
        <v>55.711618257261414</v>
      </c>
      <c r="H2" s="179">
        <v>17.235416666666666</v>
      </c>
      <c r="I2" s="179">
        <v>36.57676348547718</v>
      </c>
    </row>
    <row r="3" spans="1:9" x14ac:dyDescent="0.25">
      <c r="A3" s="177" t="s">
        <v>58</v>
      </c>
      <c r="B3" s="178">
        <v>2</v>
      </c>
      <c r="C3" s="177" t="s">
        <v>58</v>
      </c>
      <c r="D3" s="177" t="s">
        <v>58</v>
      </c>
      <c r="E3" s="177" t="s">
        <v>1491</v>
      </c>
      <c r="F3" s="179">
        <v>7</v>
      </c>
      <c r="G3" s="179">
        <v>36</v>
      </c>
      <c r="H3" s="179">
        <v>3</v>
      </c>
      <c r="I3" s="179">
        <v>22</v>
      </c>
    </row>
    <row r="4" spans="1:9" x14ac:dyDescent="0.25">
      <c r="A4" s="177" t="s">
        <v>58</v>
      </c>
      <c r="B4" s="178">
        <v>118</v>
      </c>
      <c r="C4" s="177" t="s">
        <v>1896</v>
      </c>
      <c r="D4" s="177" t="s">
        <v>58</v>
      </c>
      <c r="E4" s="177" t="s">
        <v>1422</v>
      </c>
      <c r="F4" s="179">
        <v>5.1694915254237293</v>
      </c>
      <c r="G4" s="179">
        <v>59.991452991452988</v>
      </c>
      <c r="H4" s="179">
        <v>19.508474576271187</v>
      </c>
      <c r="I4" s="180"/>
    </row>
    <row r="5" spans="1:9" x14ac:dyDescent="0.25">
      <c r="A5" s="177" t="s">
        <v>58</v>
      </c>
      <c r="B5" s="178">
        <v>6</v>
      </c>
      <c r="C5" s="177" t="s">
        <v>1896</v>
      </c>
      <c r="D5" s="177" t="s">
        <v>58</v>
      </c>
      <c r="E5" s="177" t="s">
        <v>1491</v>
      </c>
      <c r="F5" s="179">
        <v>9.3333333333333339</v>
      </c>
      <c r="G5" s="179">
        <v>75.333333333333329</v>
      </c>
      <c r="H5" s="179">
        <v>5.666666666666667</v>
      </c>
      <c r="I5" s="180"/>
    </row>
    <row r="6" spans="1:9" x14ac:dyDescent="0.25">
      <c r="A6" s="177" t="s">
        <v>59</v>
      </c>
      <c r="B6" s="178">
        <v>36</v>
      </c>
      <c r="C6" s="177" t="s">
        <v>59</v>
      </c>
      <c r="D6" s="177" t="s">
        <v>109</v>
      </c>
      <c r="E6" s="177" t="s">
        <v>1422</v>
      </c>
      <c r="F6" s="179">
        <v>35.057142857142857</v>
      </c>
      <c r="G6" s="179">
        <v>63.2</v>
      </c>
      <c r="H6" s="179">
        <v>51.222222222222221</v>
      </c>
      <c r="I6" s="179">
        <v>29</v>
      </c>
    </row>
    <row r="7" spans="1:9" x14ac:dyDescent="0.25">
      <c r="A7" s="177" t="s">
        <v>59</v>
      </c>
      <c r="B7" s="178">
        <v>15</v>
      </c>
      <c r="C7" s="177" t="s">
        <v>59</v>
      </c>
      <c r="D7" s="177" t="s">
        <v>109</v>
      </c>
      <c r="E7" s="177" t="s">
        <v>1491</v>
      </c>
      <c r="F7" s="179">
        <v>11.583333333333334</v>
      </c>
      <c r="G7" s="179">
        <v>41.166666666666664</v>
      </c>
      <c r="H7" s="179">
        <v>28.333333333333332</v>
      </c>
      <c r="I7" s="180"/>
    </row>
  </sheetData>
  <customSheetViews>
    <customSheetView guid="{679A3195-3DEA-4AC2-A535-82AAF5B552BC}" state="hidden">
      <selection activeCell="A7" sqref="A7"/>
      <pageMargins left="0.7" right="0.7" top="0.75" bottom="0.75" header="0.3" footer="0.3"/>
    </customSheetView>
    <customSheetView guid="{7378B641-E8D1-4C14-8151-CF4CE159D121}">
      <selection activeCell="I1" sqref="I1"/>
      <pageMargins left="0.7" right="0.7" top="0.75" bottom="0.75" header="0.3" footer="0.3"/>
    </customSheetView>
    <customSheetView guid="{6D63B10B-E1E6-452A-80EB-4B2C7D61CF66}" state="hidden">
      <selection activeCell="A7" sqref="A7"/>
      <pageMargins left="0.7" right="0.7" top="0.75" bottom="0.75" header="0.3" footer="0.3"/>
    </customSheetView>
  </customSheetView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7" width="9.140625" style="3"/>
  </cols>
  <sheetData>
    <row r="1" spans="1:17" ht="22.5" customHeight="1" x14ac:dyDescent="0.25">
      <c r="A1" s="3" t="s">
        <v>26</v>
      </c>
      <c r="B1" s="4" t="s">
        <v>3319</v>
      </c>
      <c r="C1" s="535" t="s">
        <v>3058</v>
      </c>
      <c r="D1" s="37" t="str">
        <f>B1</f>
        <v>Distribution of Incentives as a Percentage of Measure Costs for Advanced jobs</v>
      </c>
    </row>
    <row r="2" spans="1:17" x14ac:dyDescent="0.25">
      <c r="A2" s="3" t="s">
        <v>20</v>
      </c>
      <c r="B2" s="4" t="s">
        <v>60</v>
      </c>
      <c r="C2" s="536" t="s">
        <v>3059</v>
      </c>
    </row>
    <row r="3" spans="1:17" x14ac:dyDescent="0.25">
      <c r="A3" s="3" t="s">
        <v>1184</v>
      </c>
      <c r="B3" s="4" t="s">
        <v>3147</v>
      </c>
      <c r="C3" s="536" t="s">
        <v>1193</v>
      </c>
      <c r="D3" s="733"/>
      <c r="E3" s="733"/>
      <c r="F3" s="733"/>
      <c r="G3" s="733"/>
      <c r="H3" s="733"/>
      <c r="I3" s="733"/>
      <c r="J3" s="733"/>
      <c r="K3" s="733"/>
      <c r="L3" s="733"/>
      <c r="M3" s="733"/>
      <c r="N3" s="733"/>
      <c r="O3" s="733"/>
    </row>
    <row r="4" spans="1:17" ht="45" x14ac:dyDescent="0.25">
      <c r="A4" s="3" t="s">
        <v>3136</v>
      </c>
      <c r="B4" s="4" t="s">
        <v>3350</v>
      </c>
      <c r="C4" s="4"/>
      <c r="D4" s="3" t="s">
        <v>61</v>
      </c>
      <c r="P4" s="730"/>
      <c r="Q4" s="48"/>
    </row>
    <row r="5" spans="1:17" x14ac:dyDescent="0.25">
      <c r="B5" s="4"/>
      <c r="C5" s="4"/>
      <c r="P5" s="730"/>
    </row>
    <row r="6" spans="1:17" x14ac:dyDescent="0.25">
      <c r="B6" s="73"/>
      <c r="C6" s="73"/>
      <c r="P6" s="730"/>
    </row>
    <row r="7" spans="1:17" x14ac:dyDescent="0.25">
      <c r="P7" s="730"/>
    </row>
    <row r="8" spans="1:17" x14ac:dyDescent="0.25">
      <c r="P8" s="730"/>
    </row>
    <row r="9" spans="1:17" x14ac:dyDescent="0.25">
      <c r="P9" s="730"/>
    </row>
    <row r="10" spans="1:17" x14ac:dyDescent="0.25">
      <c r="P10" s="730"/>
    </row>
    <row r="11" spans="1:17" x14ac:dyDescent="0.25">
      <c r="P11" s="730"/>
    </row>
    <row r="12" spans="1:17" x14ac:dyDescent="0.25">
      <c r="P12" s="730"/>
    </row>
    <row r="13" spans="1:17" x14ac:dyDescent="0.25">
      <c r="P13" s="730"/>
    </row>
    <row r="14" spans="1:17" x14ac:dyDescent="0.25">
      <c r="P14" s="730"/>
    </row>
    <row r="15" spans="1:17" x14ac:dyDescent="0.25">
      <c r="P15" s="730"/>
    </row>
    <row r="16" spans="1:17" x14ac:dyDescent="0.25">
      <c r="P16" s="730"/>
    </row>
    <row r="17" spans="16:16" x14ac:dyDescent="0.25">
      <c r="P17" s="730"/>
    </row>
    <row r="18" spans="16:16" x14ac:dyDescent="0.25">
      <c r="P18" s="730"/>
    </row>
    <row r="19" spans="16:16" x14ac:dyDescent="0.25">
      <c r="P19" s="730"/>
    </row>
    <row r="20" spans="16:16" x14ac:dyDescent="0.25">
      <c r="P20" s="730"/>
    </row>
    <row r="21" spans="16:16" x14ac:dyDescent="0.25">
      <c r="P21" s="730"/>
    </row>
    <row r="22" spans="16:16" x14ac:dyDescent="0.25">
      <c r="P22" s="730"/>
    </row>
    <row r="23" spans="16:16" x14ac:dyDescent="0.25">
      <c r="P23" s="730"/>
    </row>
    <row r="24" spans="16:16" x14ac:dyDescent="0.25">
      <c r="P24" s="730"/>
    </row>
    <row r="25" spans="16:16" x14ac:dyDescent="0.25">
      <c r="P25" s="730"/>
    </row>
    <row r="26" spans="16:16" x14ac:dyDescent="0.25">
      <c r="P26" s="730"/>
    </row>
    <row r="27" spans="16:16" x14ac:dyDescent="0.25">
      <c r="P27" s="730"/>
    </row>
    <row r="28" spans="16:16" x14ac:dyDescent="0.25">
      <c r="P28" s="730"/>
    </row>
    <row r="29" spans="16:16" x14ac:dyDescent="0.25">
      <c r="P29" s="730"/>
    </row>
    <row r="30" spans="16:16" x14ac:dyDescent="0.25">
      <c r="P30" s="730"/>
    </row>
    <row r="31" spans="16:16" x14ac:dyDescent="0.25">
      <c r="P31" s="730"/>
    </row>
    <row r="32" spans="16:16" ht="6.75" hidden="1" customHeight="1" x14ac:dyDescent="0.25"/>
    <row r="33" spans="4:15" ht="92.25" customHeight="1" x14ac:dyDescent="0.25">
      <c r="D33" s="731" t="s">
        <v>3160</v>
      </c>
      <c r="E33" s="731"/>
      <c r="F33" s="731"/>
      <c r="G33" s="731"/>
      <c r="H33" s="731"/>
      <c r="I33" s="731"/>
      <c r="J33" s="731"/>
      <c r="K33" s="731"/>
      <c r="L33" s="731"/>
      <c r="M33" s="731"/>
      <c r="N33" s="731"/>
      <c r="O33" s="731"/>
    </row>
  </sheetData>
  <customSheetViews>
    <customSheetView guid="{679A3195-3DEA-4AC2-A535-82AAF5B552BC}" hiddenRows="1" hiddenColumns="1" topLeftCell="C1">
      <selection activeCell="C3" sqref="C3"/>
      <pageMargins left="0.7" right="0.7" top="0.75" bottom="0.75" header="0.3" footer="0.3"/>
    </customSheetView>
    <customSheetView guid="{7378B641-E8D1-4C14-8151-CF4CE159D121}" hiddenRows="1" hiddenColumns="1" topLeftCell="C1">
      <selection activeCell="D1" sqref="D1"/>
      <pageMargins left="0.7" right="0.7" top="0.75" bottom="0.75" header="0.3" footer="0.3"/>
    </customSheetView>
    <customSheetView guid="{6D63B10B-E1E6-452A-80EB-4B2C7D61CF66}" hiddenRows="1" hiddenColumns="1" topLeftCell="C1">
      <selection activeCell="C3" sqref="C3"/>
      <pageMargins left="0.7" right="0.7" top="0.75" bottom="0.75" header="0.3" footer="0.3"/>
    </customSheetView>
  </customSheetViews>
  <mergeCells count="3">
    <mergeCell ref="D3:O3"/>
    <mergeCell ref="P4:P31"/>
    <mergeCell ref="D33:O33"/>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462"/>
  <sheetViews>
    <sheetView zoomScaleNormal="100" workbookViewId="0">
      <selection activeCell="J26" sqref="J26"/>
    </sheetView>
  </sheetViews>
  <sheetFormatPr defaultRowHeight="18.75" x14ac:dyDescent="0.25"/>
  <cols>
    <col min="1" max="1" width="6.85546875" style="593" customWidth="1"/>
    <col min="2" max="2" width="16.5703125" style="3" customWidth="1"/>
    <col min="3" max="3" width="31.140625" style="548" customWidth="1"/>
    <col min="4" max="4" width="100.5703125" style="4" customWidth="1"/>
    <col min="5" max="5" width="31.42578125" style="296" hidden="1" customWidth="1"/>
    <col min="6" max="6" width="31.42578125" style="4" hidden="1" customWidth="1"/>
    <col min="7" max="7" width="31.42578125" style="36" hidden="1" customWidth="1"/>
    <col min="8" max="9" width="16.7109375" style="3" customWidth="1"/>
    <col min="10" max="10" width="16.7109375" style="539" customWidth="1"/>
    <col min="11" max="13" width="16.7109375" style="3" customWidth="1"/>
    <col min="14" max="14" width="18.7109375" style="3" customWidth="1"/>
    <col min="15" max="23" width="16.7109375" style="3" customWidth="1"/>
    <col min="24" max="16384" width="9.140625" style="3"/>
  </cols>
  <sheetData>
    <row r="1" spans="1:23" x14ac:dyDescent="0.25">
      <c r="B1" s="537" t="s">
        <v>3098</v>
      </c>
      <c r="C1" s="543" t="s">
        <v>3099</v>
      </c>
      <c r="E1" s="35" t="s">
        <v>63</v>
      </c>
      <c r="F1" s="33"/>
      <c r="G1" s="34"/>
      <c r="H1" s="33" t="s">
        <v>2274</v>
      </c>
      <c r="I1" s="33"/>
      <c r="J1" s="35" t="s">
        <v>3095</v>
      </c>
      <c r="K1" s="33"/>
      <c r="L1" s="33"/>
      <c r="M1" s="33"/>
    </row>
    <row r="2" spans="1:23" s="37" customFormat="1" ht="18" customHeight="1" x14ac:dyDescent="0.25">
      <c r="A2" s="700" t="s">
        <v>3156</v>
      </c>
      <c r="B2" s="573" t="s">
        <v>27</v>
      </c>
      <c r="C2" s="571" t="s">
        <v>32</v>
      </c>
      <c r="D2" s="572" t="s">
        <v>31</v>
      </c>
      <c r="E2" s="574" t="s">
        <v>64</v>
      </c>
      <c r="F2" s="575" t="s">
        <v>65</v>
      </c>
      <c r="G2" s="576" t="s">
        <v>66</v>
      </c>
      <c r="H2" s="577" t="s">
        <v>58</v>
      </c>
      <c r="I2" s="577" t="s">
        <v>59</v>
      </c>
      <c r="J2" s="578" t="s">
        <v>33</v>
      </c>
      <c r="K2" s="579" t="s">
        <v>34</v>
      </c>
      <c r="L2" s="579" t="s">
        <v>35</v>
      </c>
      <c r="M2" s="579" t="s">
        <v>36</v>
      </c>
      <c r="N2" s="579" t="s">
        <v>3079</v>
      </c>
      <c r="O2" s="579" t="s">
        <v>3080</v>
      </c>
      <c r="P2" s="579" t="s">
        <v>3081</v>
      </c>
      <c r="Q2" s="579" t="s">
        <v>3082</v>
      </c>
      <c r="R2" s="579" t="s">
        <v>3083</v>
      </c>
      <c r="S2" s="579" t="s">
        <v>3084</v>
      </c>
      <c r="T2" s="579" t="s">
        <v>3085</v>
      </c>
      <c r="U2" s="579" t="s">
        <v>3086</v>
      </c>
      <c r="V2" s="579" t="s">
        <v>3087</v>
      </c>
      <c r="W2" s="579" t="s">
        <v>3088</v>
      </c>
    </row>
    <row r="3" spans="1:23" ht="90" x14ac:dyDescent="0.25">
      <c r="A3" s="593">
        <v>1</v>
      </c>
      <c r="B3" s="581" t="s">
        <v>13</v>
      </c>
      <c r="C3" s="569" t="s">
        <v>3165</v>
      </c>
      <c r="D3" s="320" t="s">
        <v>3166</v>
      </c>
      <c r="E3" s="296" t="s">
        <v>1189</v>
      </c>
      <c r="F3" s="4" t="s">
        <v>1188</v>
      </c>
      <c r="H3" s="4" t="s">
        <v>2529</v>
      </c>
      <c r="I3" s="4" t="s">
        <v>2529</v>
      </c>
      <c r="J3" s="540" t="str">
        <f>Findings!B14</f>
        <v>Cost, time and finding a contractor prevent customer participation</v>
      </c>
      <c r="K3" s="535" t="str">
        <f>Findings!B15</f>
        <v>Financing plays a large role in this program's potential success</v>
      </c>
      <c r="L3" s="535" t="str">
        <f>Findings!B16</f>
        <v>Customer barriers to program participation</v>
      </c>
      <c r="M3" s="535" t="str">
        <f>Findings!B31</f>
        <v>Participant satisfaction with contractors</v>
      </c>
      <c r="N3" s="4"/>
      <c r="O3" s="4"/>
      <c r="P3" s="4"/>
      <c r="Q3" s="4"/>
      <c r="R3" s="4"/>
      <c r="S3" s="4"/>
      <c r="T3" s="4"/>
      <c r="U3" s="4"/>
      <c r="V3" s="4"/>
      <c r="W3" s="4"/>
    </row>
    <row r="4" spans="1:23" ht="244.5" customHeight="1" x14ac:dyDescent="0.25">
      <c r="A4" s="593">
        <v>2</v>
      </c>
      <c r="B4" s="581" t="s">
        <v>13</v>
      </c>
      <c r="C4" s="548" t="s">
        <v>2530</v>
      </c>
      <c r="D4" s="4" t="s">
        <v>2531</v>
      </c>
      <c r="E4" s="296" t="s">
        <v>1167</v>
      </c>
      <c r="H4" s="4" t="s">
        <v>1201</v>
      </c>
      <c r="I4" s="4" t="s">
        <v>1201</v>
      </c>
      <c r="J4" s="540" t="str">
        <f>Findings!B19</f>
        <v>Contractor program satisfaction and barriers to participation</v>
      </c>
      <c r="K4" s="535" t="str">
        <f>Findings!B20</f>
        <v>SCE is working to reduce application processing delays</v>
      </c>
      <c r="L4" s="535" t="str">
        <f>Findings!B21</f>
        <v>PG&amp;E is working to reduce application processing delays</v>
      </c>
      <c r="M4" s="535" t="str">
        <f>Findings!B34</f>
        <v>Participant Program Satisfaction</v>
      </c>
      <c r="N4" s="4"/>
      <c r="O4" s="4"/>
      <c r="P4" s="4"/>
      <c r="Q4" s="4"/>
      <c r="R4" s="4"/>
      <c r="S4" s="4"/>
      <c r="T4" s="4"/>
      <c r="U4" s="4"/>
      <c r="V4" s="4"/>
      <c r="W4" s="4"/>
    </row>
    <row r="5" spans="1:23" ht="75" x14ac:dyDescent="0.25">
      <c r="A5" s="593">
        <v>3</v>
      </c>
      <c r="B5" s="581" t="s">
        <v>13</v>
      </c>
      <c r="C5" s="548" t="s">
        <v>3100</v>
      </c>
      <c r="D5" s="4" t="s">
        <v>2532</v>
      </c>
      <c r="E5" s="296" t="s">
        <v>1167</v>
      </c>
      <c r="H5" s="4" t="s">
        <v>2533</v>
      </c>
      <c r="I5" s="4" t="s">
        <v>2534</v>
      </c>
      <c r="J5" s="540" t="str">
        <f>Findings!B19</f>
        <v>Contractor program satisfaction and barriers to participation</v>
      </c>
      <c r="K5" s="535" t="str">
        <f>Findings!B20</f>
        <v>SCE is working to reduce application processing delays</v>
      </c>
      <c r="L5" s="535" t="str">
        <f>Findings!B22</f>
        <v>A small group of contractors generate the bulk of projects</v>
      </c>
      <c r="M5" s="535" t="str">
        <f>Findings!B25</f>
        <v>Program impact on workforce development</v>
      </c>
      <c r="N5" s="535" t="str">
        <f>Findings!B28</f>
        <v xml:space="preserve">Reaction to EnergyPro </v>
      </c>
      <c r="O5" s="4"/>
      <c r="P5" s="4"/>
      <c r="Q5" s="4"/>
      <c r="R5" s="4"/>
      <c r="S5" s="4"/>
      <c r="T5" s="4"/>
      <c r="U5" s="4"/>
      <c r="V5" s="4"/>
      <c r="W5" s="4"/>
    </row>
    <row r="6" spans="1:23" ht="195" x14ac:dyDescent="0.25">
      <c r="A6" s="593">
        <v>4</v>
      </c>
      <c r="B6" s="581" t="s">
        <v>14</v>
      </c>
      <c r="C6" s="548" t="s">
        <v>2535</v>
      </c>
      <c r="D6" s="4" t="s">
        <v>2536</v>
      </c>
      <c r="H6" s="4" t="s">
        <v>1201</v>
      </c>
      <c r="I6" s="4" t="s">
        <v>1201</v>
      </c>
      <c r="J6" s="540" t="str">
        <f>Findings!B29</f>
        <v>Contractors and customers need a consistent and knowledgeable program contact</v>
      </c>
      <c r="K6" s="535" t="str">
        <f>Findings!B34</f>
        <v>Participant Program Satisfaction</v>
      </c>
      <c r="L6" s="4"/>
      <c r="M6" s="4"/>
      <c r="N6" s="4"/>
      <c r="O6" s="4"/>
      <c r="P6" s="4"/>
      <c r="Q6" s="4"/>
      <c r="R6" s="4"/>
      <c r="S6" s="4"/>
      <c r="T6" s="4"/>
      <c r="U6" s="4"/>
      <c r="V6" s="4"/>
      <c r="W6" s="4"/>
    </row>
    <row r="7" spans="1:23" ht="225" x14ac:dyDescent="0.25">
      <c r="A7" s="593">
        <v>5</v>
      </c>
      <c r="B7" s="581" t="s">
        <v>12</v>
      </c>
      <c r="C7" s="548" t="s">
        <v>3355</v>
      </c>
      <c r="D7" s="603" t="s">
        <v>3356</v>
      </c>
      <c r="E7" s="296" t="s">
        <v>1185</v>
      </c>
      <c r="H7" s="4" t="s">
        <v>1201</v>
      </c>
      <c r="I7" s="4" t="s">
        <v>1201</v>
      </c>
      <c r="J7" s="540" t="str">
        <f>Findings!B7</f>
        <v>Program awareness building</v>
      </c>
      <c r="K7" s="535" t="str">
        <f>Findings!B8</f>
        <v>Complex program to convey in mass media channels</v>
      </c>
      <c r="L7" s="535" t="str">
        <f>Findings!B10</f>
        <v>Effective channels for gaining attendance at workshops</v>
      </c>
      <c r="M7" s="535" t="str">
        <f>Findings!B11</f>
        <v>Workshop effectiveness</v>
      </c>
      <c r="N7" s="535" t="str">
        <f>Findings!B12</f>
        <v>EUC website needs improvement</v>
      </c>
      <c r="O7" s="535" t="str">
        <f>Findings!B14</f>
        <v>Cost, time and finding a contractor prevent customer participation</v>
      </c>
      <c r="P7" s="535" t="str">
        <f>Findings!B17</f>
        <v>Multiple marketing messages are needed</v>
      </c>
      <c r="Q7" s="535" t="str">
        <f>Findings!B18</f>
        <v>PG&amp;E's Print Advertisement Testing</v>
      </c>
      <c r="R7" s="535" t="str">
        <f>Findings!B30</f>
        <v>Participant Characteristics</v>
      </c>
      <c r="S7" s="535" t="str">
        <f>Findings!B31</f>
        <v>Participant satisfaction with contractors</v>
      </c>
      <c r="T7" s="535" t="str">
        <f>Findings!B32</f>
        <v>Participant satisfaction with home assessment reports</v>
      </c>
      <c r="U7" s="535" t="str">
        <f>Findings!B36</f>
        <v>Participants' AKA-B Motivations</v>
      </c>
      <c r="V7" s="535" t="str">
        <f>Findings!B41</f>
        <v>Customers want to pick and choose their improvements</v>
      </c>
      <c r="W7" s="535" t="str">
        <f>Findings!B63</f>
        <v>Program Delivery Strategies Differ Between SCE and PG&amp;E</v>
      </c>
    </row>
    <row r="8" spans="1:23" ht="165" x14ac:dyDescent="0.25">
      <c r="A8" s="593">
        <v>6</v>
      </c>
      <c r="B8" s="581" t="s">
        <v>12</v>
      </c>
      <c r="C8" s="548" t="s">
        <v>3354</v>
      </c>
      <c r="D8" s="4" t="s">
        <v>3129</v>
      </c>
      <c r="E8" s="296" t="s">
        <v>1185</v>
      </c>
      <c r="H8" s="4"/>
      <c r="I8" s="4"/>
      <c r="J8" s="540" t="str">
        <f>Findings!B8</f>
        <v>Complex program to convey in mass media channels</v>
      </c>
      <c r="K8" s="535" t="str">
        <f>Findings!B9</f>
        <v>Contractor marketing assessment</v>
      </c>
      <c r="L8" s="535" t="str">
        <f>Findings!B12</f>
        <v>EUC website needs improvement</v>
      </c>
      <c r="M8" s="4"/>
      <c r="N8" s="4"/>
      <c r="O8" s="4"/>
      <c r="P8" s="4"/>
      <c r="Q8" s="4"/>
      <c r="R8" s="4"/>
      <c r="S8" s="4"/>
      <c r="T8" s="4"/>
      <c r="U8" s="4"/>
      <c r="V8" s="4"/>
      <c r="W8" s="4"/>
    </row>
    <row r="9" spans="1:23" ht="62.25" customHeight="1" x14ac:dyDescent="0.25">
      <c r="A9" s="593">
        <v>7</v>
      </c>
      <c r="B9" s="581" t="s">
        <v>12</v>
      </c>
      <c r="C9" s="548" t="s">
        <v>3353</v>
      </c>
      <c r="D9" s="4" t="s">
        <v>3167</v>
      </c>
      <c r="E9" s="296" t="s">
        <v>1185</v>
      </c>
      <c r="F9" s="4" t="s">
        <v>1168</v>
      </c>
      <c r="H9" s="4" t="s">
        <v>1201</v>
      </c>
      <c r="I9" s="4" t="s">
        <v>1201</v>
      </c>
      <c r="J9" s="540" t="str">
        <f>Findings!B9</f>
        <v>Contractor marketing assessment</v>
      </c>
      <c r="K9" s="4"/>
      <c r="L9" s="4"/>
      <c r="M9" s="4"/>
      <c r="N9" s="4"/>
      <c r="O9" s="4"/>
      <c r="P9" s="4"/>
      <c r="Q9" s="4"/>
      <c r="R9" s="4"/>
      <c r="S9" s="4"/>
      <c r="T9" s="4"/>
      <c r="U9" s="4"/>
      <c r="V9" s="4"/>
      <c r="W9" s="4"/>
    </row>
    <row r="10" spans="1:23" ht="45" x14ac:dyDescent="0.25">
      <c r="A10" s="593">
        <v>8</v>
      </c>
      <c r="B10" s="581" t="s">
        <v>12</v>
      </c>
      <c r="C10" s="548" t="s">
        <v>2537</v>
      </c>
      <c r="D10" s="4" t="s">
        <v>2538</v>
      </c>
      <c r="E10" s="296" t="s">
        <v>1166</v>
      </c>
      <c r="H10" s="4" t="s">
        <v>1201</v>
      </c>
      <c r="I10" s="4" t="s">
        <v>1201</v>
      </c>
      <c r="J10" s="540" t="str">
        <f>Findings!B13</f>
        <v>EUC website ownership</v>
      </c>
      <c r="K10" s="4"/>
      <c r="L10" s="4"/>
      <c r="M10" s="4"/>
      <c r="N10" s="4"/>
      <c r="O10" s="4"/>
      <c r="P10" s="4"/>
      <c r="Q10" s="4"/>
      <c r="R10" s="4"/>
      <c r="S10" s="4"/>
      <c r="T10" s="4"/>
      <c r="U10" s="4"/>
      <c r="V10" s="4"/>
      <c r="W10" s="4"/>
    </row>
    <row r="11" spans="1:23" ht="150" x14ac:dyDescent="0.25">
      <c r="A11" s="593">
        <v>9</v>
      </c>
      <c r="B11" s="581" t="s">
        <v>14</v>
      </c>
      <c r="C11" s="548" t="s">
        <v>3367</v>
      </c>
      <c r="D11" s="4" t="s">
        <v>2539</v>
      </c>
      <c r="E11" s="296" t="s">
        <v>1167</v>
      </c>
      <c r="F11" s="4" t="s">
        <v>1168</v>
      </c>
      <c r="H11" s="4" t="s">
        <v>2529</v>
      </c>
      <c r="I11" s="4" t="s">
        <v>2529</v>
      </c>
      <c r="J11" s="540" t="str">
        <f>Findings!B19</f>
        <v>Contractor program satisfaction and barriers to participation</v>
      </c>
      <c r="K11" s="4"/>
      <c r="L11" s="4"/>
      <c r="M11" s="4"/>
      <c r="N11" s="4"/>
      <c r="O11" s="4"/>
      <c r="P11" s="4"/>
      <c r="Q11" s="4"/>
      <c r="R11" s="4"/>
      <c r="S11" s="4"/>
      <c r="T11" s="4"/>
      <c r="U11" s="4"/>
      <c r="V11" s="4"/>
      <c r="W11" s="4"/>
    </row>
    <row r="12" spans="1:23" ht="120" x14ac:dyDescent="0.25">
      <c r="A12" s="593">
        <v>10</v>
      </c>
      <c r="B12" s="581" t="s">
        <v>14</v>
      </c>
      <c r="C12" s="548" t="s">
        <v>3366</v>
      </c>
      <c r="D12" s="4" t="s">
        <v>2540</v>
      </c>
      <c r="H12" s="4" t="s">
        <v>2529</v>
      </c>
      <c r="I12" s="4" t="s">
        <v>2529</v>
      </c>
      <c r="J12" s="540" t="str">
        <f>Findings!B23</f>
        <v>The Basic Upgrade Package is not gaining traction</v>
      </c>
      <c r="K12" s="4"/>
      <c r="L12" s="4"/>
      <c r="M12" s="4"/>
      <c r="N12" s="4"/>
      <c r="O12" s="4"/>
      <c r="P12" s="4"/>
      <c r="Q12" s="4"/>
      <c r="R12" s="4"/>
      <c r="S12" s="4"/>
      <c r="T12" s="4"/>
      <c r="U12" s="4"/>
      <c r="V12" s="4"/>
      <c r="W12" s="4"/>
    </row>
    <row r="13" spans="1:23" ht="90" x14ac:dyDescent="0.25">
      <c r="A13" s="593">
        <v>11</v>
      </c>
      <c r="B13" s="581" t="s">
        <v>14</v>
      </c>
      <c r="C13" s="569" t="s">
        <v>3368</v>
      </c>
      <c r="D13" s="4" t="s">
        <v>3168</v>
      </c>
      <c r="E13" s="296" t="s">
        <v>1188</v>
      </c>
      <c r="H13" s="4" t="s">
        <v>2529</v>
      </c>
      <c r="I13" s="4" t="s">
        <v>2529</v>
      </c>
      <c r="J13" s="540" t="str">
        <f>Findings!B5</f>
        <v>Impact of ARRA funding</v>
      </c>
      <c r="K13" s="535" t="str">
        <f>Findings!B14</f>
        <v>Cost, time and finding a contractor prevent customer participation</v>
      </c>
      <c r="L13" s="535" t="str">
        <f>Findings!B16</f>
        <v>Customer barriers to program participation</v>
      </c>
      <c r="M13" s="535" t="str">
        <f>Findings!B27</f>
        <v xml:space="preserve">Premium incentives and subsidized assessments </v>
      </c>
      <c r="N13" s="4"/>
      <c r="O13" s="4"/>
      <c r="P13" s="4"/>
      <c r="Q13" s="4"/>
      <c r="R13" s="4"/>
      <c r="S13" s="4"/>
      <c r="T13" s="4"/>
      <c r="U13" s="4"/>
      <c r="V13" s="4"/>
      <c r="W13" s="4"/>
    </row>
    <row r="14" spans="1:23" ht="65.25" customHeight="1" x14ac:dyDescent="0.25">
      <c r="A14" s="593">
        <v>12</v>
      </c>
      <c r="B14" s="581" t="s">
        <v>14</v>
      </c>
      <c r="C14" s="569" t="s">
        <v>3369</v>
      </c>
      <c r="D14" s="4" t="s">
        <v>2541</v>
      </c>
      <c r="E14" s="296" t="s">
        <v>1185</v>
      </c>
      <c r="H14" s="4"/>
      <c r="I14" s="4"/>
      <c r="J14" s="540" t="str">
        <f>Findings!B27</f>
        <v xml:space="preserve">Premium incentives and subsidized assessments </v>
      </c>
      <c r="K14" s="4"/>
      <c r="L14" s="4"/>
      <c r="M14" s="4"/>
      <c r="N14" s="4"/>
      <c r="O14" s="4"/>
      <c r="P14" s="4"/>
      <c r="Q14" s="4"/>
      <c r="R14" s="4"/>
      <c r="S14" s="4"/>
      <c r="T14" s="4"/>
      <c r="U14" s="4"/>
      <c r="V14" s="4"/>
      <c r="W14" s="4"/>
    </row>
    <row r="15" spans="1:23" ht="225" x14ac:dyDescent="0.25">
      <c r="A15" s="593">
        <v>13</v>
      </c>
      <c r="B15" s="580" t="s">
        <v>13</v>
      </c>
      <c r="C15" s="547" t="s">
        <v>3352</v>
      </c>
      <c r="D15" s="4" t="s">
        <v>3130</v>
      </c>
      <c r="E15" s="296" t="s">
        <v>3052</v>
      </c>
      <c r="F15" s="304"/>
      <c r="H15" s="304"/>
      <c r="I15" s="304"/>
      <c r="J15" s="540" t="str">
        <f>Findings!B64</f>
        <v>Program Evaluability - File Review</v>
      </c>
      <c r="K15" s="535" t="str">
        <f>Findings!B55</f>
        <v>Mechanical ventilation frequency</v>
      </c>
      <c r="L15" s="4"/>
      <c r="M15" s="4"/>
      <c r="N15" s="4"/>
      <c r="O15" s="4"/>
      <c r="P15" s="4"/>
      <c r="Q15" s="4"/>
      <c r="R15" s="4"/>
      <c r="S15" s="4"/>
      <c r="T15" s="4"/>
      <c r="U15" s="4"/>
      <c r="V15" s="4"/>
      <c r="W15" s="4"/>
    </row>
    <row r="16" spans="1:23" ht="111.75" customHeight="1" x14ac:dyDescent="0.25">
      <c r="A16" s="593">
        <v>15</v>
      </c>
      <c r="B16" s="581" t="s">
        <v>14</v>
      </c>
      <c r="C16" s="548" t="s">
        <v>3365</v>
      </c>
      <c r="D16" s="2" t="s">
        <v>2336</v>
      </c>
      <c r="E16" s="296" t="s">
        <v>1188</v>
      </c>
      <c r="F16" s="4" t="s">
        <v>1185</v>
      </c>
      <c r="G16" s="36" t="s">
        <v>1187</v>
      </c>
      <c r="H16" s="4"/>
      <c r="I16" s="4"/>
      <c r="J16" s="540" t="str">
        <f>Findings!B44</f>
        <v>Most sites had the same three measures installed</v>
      </c>
      <c r="K16" s="535" t="str">
        <f>Findings!B45</f>
        <v>PG&amp;E contractors installed more HVAC systems and water heaters</v>
      </c>
      <c r="L16" s="535" t="str">
        <f>Findings!B50</f>
        <v>Time lags due to IOU processing</v>
      </c>
      <c r="M16" s="4"/>
      <c r="N16" s="4"/>
      <c r="O16" s="4"/>
      <c r="P16" s="4"/>
      <c r="Q16" s="4"/>
      <c r="R16" s="4"/>
      <c r="S16" s="4"/>
      <c r="T16" s="4"/>
      <c r="U16" s="4"/>
      <c r="V16" s="4"/>
      <c r="W16" s="4"/>
    </row>
    <row r="17" spans="1:23" ht="75" x14ac:dyDescent="0.25">
      <c r="A17" s="593">
        <v>16</v>
      </c>
      <c r="B17" s="581" t="s">
        <v>13</v>
      </c>
      <c r="C17" s="548" t="s">
        <v>3363</v>
      </c>
      <c r="D17" s="2" t="s">
        <v>3131</v>
      </c>
      <c r="E17" s="296" t="s">
        <v>3052</v>
      </c>
      <c r="H17" s="4"/>
      <c r="I17" s="4"/>
      <c r="J17" s="540" t="str">
        <f>Findings!B62</f>
        <v>Gaps in Program Tracking Data</v>
      </c>
      <c r="K17" s="4"/>
      <c r="L17" s="4"/>
      <c r="M17" s="4"/>
      <c r="N17" s="4"/>
      <c r="O17" s="4"/>
      <c r="P17" s="4"/>
      <c r="Q17" s="4"/>
      <c r="R17" s="4"/>
      <c r="S17" s="4"/>
      <c r="T17" s="4"/>
      <c r="U17" s="4"/>
      <c r="V17" s="4"/>
      <c r="W17" s="4"/>
    </row>
    <row r="18" spans="1:23" ht="57" customHeight="1" x14ac:dyDescent="0.25">
      <c r="A18" s="593">
        <v>17</v>
      </c>
      <c r="B18" s="581" t="s">
        <v>13</v>
      </c>
      <c r="C18" s="548" t="s">
        <v>2334</v>
      </c>
      <c r="D18" s="4" t="s">
        <v>2333</v>
      </c>
      <c r="E18" s="296" t="s">
        <v>1167</v>
      </c>
      <c r="H18" s="4"/>
      <c r="I18" s="4"/>
      <c r="J18" s="540" t="str">
        <f>Findings!B54</f>
        <v>Safety issues</v>
      </c>
      <c r="K18" s="535" t="str">
        <f>Findings!B60</f>
        <v>Site inspections findings</v>
      </c>
      <c r="L18" s="4"/>
      <c r="M18" s="4"/>
      <c r="N18" s="4"/>
      <c r="O18" s="4"/>
      <c r="P18" s="4"/>
      <c r="Q18" s="4"/>
      <c r="R18" s="4"/>
      <c r="S18" s="4"/>
      <c r="T18" s="4"/>
      <c r="U18" s="4"/>
      <c r="V18" s="4"/>
      <c r="W18" s="4"/>
    </row>
    <row r="19" spans="1:23" ht="90" x14ac:dyDescent="0.25">
      <c r="A19" s="593">
        <v>19</v>
      </c>
      <c r="B19" s="581" t="s">
        <v>13</v>
      </c>
      <c r="C19" s="548" t="s">
        <v>3364</v>
      </c>
      <c r="D19" s="2" t="s">
        <v>3101</v>
      </c>
      <c r="E19" s="533" t="s">
        <v>1185</v>
      </c>
      <c r="F19" s="317" t="s">
        <v>1167</v>
      </c>
      <c r="G19" s="534" t="s">
        <v>1168</v>
      </c>
      <c r="H19" s="4"/>
      <c r="I19" s="4"/>
      <c r="J19" s="540" t="str">
        <f>Findings!B28</f>
        <v xml:space="preserve">Reaction to EnergyPro </v>
      </c>
      <c r="K19" s="535" t="str">
        <f>Findings!B46</f>
        <v>EnergyPro compared with billing records</v>
      </c>
      <c r="L19" s="535" t="str">
        <f>Findings!B66</f>
        <v>Modeling Software - Input Sensitivity</v>
      </c>
      <c r="M19" s="535" t="str">
        <f>Findings!B68</f>
        <v xml:space="preserve">Modeling Software - Site 1 Baseline -EnergyPro, eQUEST, and Utility Bill </v>
      </c>
      <c r="N19" s="535" t="str">
        <f>Findings!B69</f>
        <v xml:space="preserve">Modeling Software - Site 2  Baseline - EnergyPro, eQUEST, and Utility Bill </v>
      </c>
      <c r="O19" s="535" t="str">
        <f>Findings!B70</f>
        <v>Modeling Software - Site 1  Measures - EnergyPro &amp; eQUEST</v>
      </c>
      <c r="P19" s="535" t="str">
        <f>Findings!B71</f>
        <v>Modeling Software - Site 2 Measures -  EnergyPro &amp; eQUEST</v>
      </c>
      <c r="Q19" s="4"/>
      <c r="R19" s="4"/>
      <c r="S19" s="4"/>
      <c r="T19" s="4"/>
      <c r="U19" s="4"/>
      <c r="V19" s="4"/>
      <c r="W19" s="4"/>
    </row>
    <row r="20" spans="1:23" ht="160.5" customHeight="1" x14ac:dyDescent="0.25">
      <c r="A20" s="593">
        <v>20</v>
      </c>
      <c r="B20" s="581" t="s">
        <v>14</v>
      </c>
      <c r="C20" s="548" t="s">
        <v>3370</v>
      </c>
      <c r="D20" s="2" t="s">
        <v>3235</v>
      </c>
      <c r="E20" s="317" t="s">
        <v>1167</v>
      </c>
      <c r="H20" s="4"/>
      <c r="I20" s="4"/>
      <c r="J20" s="540" t="str">
        <f>Findings!B67</f>
        <v>Modeling Software - Use of Defaults Affecting Accuracy</v>
      </c>
      <c r="K20" s="541" t="str">
        <f>Findings!B65</f>
        <v>Modeling Software Advantages &amp; Disadvantages</v>
      </c>
      <c r="L20" s="541" t="str">
        <f>Findings!B72</f>
        <v>Modeling Software - Detail of Outputs</v>
      </c>
      <c r="M20" s="304"/>
      <c r="N20" s="4"/>
      <c r="O20" s="4"/>
      <c r="P20" s="4"/>
      <c r="Q20" s="4"/>
      <c r="R20" s="4"/>
      <c r="S20" s="4"/>
      <c r="T20" s="4"/>
      <c r="U20" s="4"/>
      <c r="V20" s="4"/>
      <c r="W20" s="4"/>
    </row>
    <row r="21" spans="1:23" ht="45" x14ac:dyDescent="0.25">
      <c r="A21" s="593">
        <v>22</v>
      </c>
      <c r="B21" s="581" t="s">
        <v>13</v>
      </c>
      <c r="C21" s="548" t="s">
        <v>3357</v>
      </c>
      <c r="D21" s="4" t="s">
        <v>3071</v>
      </c>
      <c r="E21" s="4"/>
      <c r="H21" s="4"/>
      <c r="I21" s="36" t="s">
        <v>2534</v>
      </c>
      <c r="J21" s="540" t="str">
        <f>Findings!B73</f>
        <v>Participation Workshop</v>
      </c>
      <c r="K21" s="535" t="str">
        <f>Findings!B78</f>
        <v>Top 10 Performance Gaps</v>
      </c>
      <c r="L21" s="4"/>
      <c r="M21" s="4"/>
      <c r="N21" s="4"/>
      <c r="O21" s="4"/>
      <c r="P21" s="4"/>
      <c r="Q21" s="4"/>
      <c r="R21" s="4"/>
      <c r="S21" s="4"/>
      <c r="T21" s="4"/>
      <c r="U21" s="4"/>
      <c r="V21" s="4"/>
      <c r="W21" s="4"/>
    </row>
    <row r="22" spans="1:23" ht="60" x14ac:dyDescent="0.25">
      <c r="A22" s="593">
        <v>23</v>
      </c>
      <c r="B22" s="581" t="s">
        <v>13</v>
      </c>
      <c r="C22" s="548" t="s">
        <v>3358</v>
      </c>
      <c r="D22" s="4" t="s">
        <v>3072</v>
      </c>
      <c r="E22" s="4"/>
      <c r="H22" s="4"/>
      <c r="I22" s="36" t="s">
        <v>2534</v>
      </c>
      <c r="J22" s="540" t="str">
        <f>Findings!B74</f>
        <v>Basic Path Training</v>
      </c>
      <c r="K22" s="535" t="str">
        <f>Findings!B78</f>
        <v>Top 10 Performance Gaps</v>
      </c>
      <c r="L22" s="4"/>
      <c r="M22" s="4"/>
      <c r="N22" s="4"/>
      <c r="O22" s="4"/>
      <c r="P22" s="4"/>
      <c r="Q22" s="4"/>
      <c r="R22" s="4"/>
      <c r="S22" s="4"/>
      <c r="T22" s="4"/>
      <c r="U22" s="4"/>
      <c r="V22" s="4"/>
      <c r="W22" s="4"/>
    </row>
    <row r="23" spans="1:23" ht="120" x14ac:dyDescent="0.25">
      <c r="A23" s="593">
        <v>24</v>
      </c>
      <c r="B23" s="581" t="s">
        <v>13</v>
      </c>
      <c r="C23" s="548" t="s">
        <v>3359</v>
      </c>
      <c r="D23" s="4" t="s">
        <v>3073</v>
      </c>
      <c r="E23" s="4"/>
      <c r="H23" s="4"/>
      <c r="I23" s="36" t="s">
        <v>3074</v>
      </c>
      <c r="J23" s="540" t="str">
        <f>Findings!B75</f>
        <v>Advanced Path Training</v>
      </c>
      <c r="K23" s="535" t="str">
        <f>Findings!B78</f>
        <v>Top 10 Performance Gaps</v>
      </c>
      <c r="L23" s="4"/>
      <c r="M23" s="4"/>
      <c r="N23" s="4"/>
      <c r="O23" s="4"/>
      <c r="P23" s="4"/>
      <c r="Q23" s="4"/>
      <c r="R23" s="4"/>
      <c r="S23" s="4"/>
      <c r="T23" s="4"/>
      <c r="U23" s="4"/>
      <c r="V23" s="4"/>
      <c r="W23" s="4"/>
    </row>
    <row r="24" spans="1:23" ht="75" x14ac:dyDescent="0.25">
      <c r="A24" s="593">
        <v>25</v>
      </c>
      <c r="B24" s="581" t="s">
        <v>13</v>
      </c>
      <c r="C24" s="548" t="s">
        <v>3360</v>
      </c>
      <c r="D24" s="4" t="s">
        <v>3075</v>
      </c>
      <c r="E24" s="4"/>
      <c r="H24" s="4"/>
      <c r="I24" s="36" t="s">
        <v>2534</v>
      </c>
      <c r="J24" s="540" t="str">
        <f>Findings!B76</f>
        <v>Online Learning Center</v>
      </c>
      <c r="K24" s="541" t="str">
        <f>Findings!B78</f>
        <v>Top 10 Performance Gaps</v>
      </c>
      <c r="L24" s="4"/>
      <c r="M24" s="4"/>
      <c r="N24" s="4"/>
      <c r="O24" s="4"/>
      <c r="P24" s="4"/>
      <c r="Q24" s="4"/>
      <c r="R24" s="4"/>
      <c r="S24" s="4"/>
      <c r="T24" s="4"/>
      <c r="U24" s="4"/>
      <c r="V24" s="4"/>
      <c r="W24" s="4"/>
    </row>
    <row r="25" spans="1:23" ht="105" x14ac:dyDescent="0.25">
      <c r="A25" s="593">
        <v>26</v>
      </c>
      <c r="B25" s="581" t="s">
        <v>13</v>
      </c>
      <c r="C25" s="548" t="s">
        <v>3361</v>
      </c>
      <c r="D25" s="4" t="s">
        <v>3076</v>
      </c>
      <c r="E25" s="4"/>
      <c r="H25" s="4"/>
      <c r="I25" s="36" t="s">
        <v>2534</v>
      </c>
      <c r="J25" s="540" t="str">
        <f>Findings!B77</f>
        <v>Mandatory Mentoring</v>
      </c>
      <c r="K25" s="541" t="str">
        <f>Findings!B78</f>
        <v>Top 10 Performance Gaps</v>
      </c>
      <c r="L25" s="4"/>
      <c r="M25" s="4"/>
      <c r="N25" s="4"/>
      <c r="O25" s="4"/>
      <c r="P25" s="4"/>
      <c r="Q25" s="4"/>
      <c r="R25" s="4"/>
      <c r="S25" s="4"/>
      <c r="T25" s="4"/>
      <c r="U25" s="4"/>
      <c r="V25" s="4"/>
      <c r="W25" s="4"/>
    </row>
    <row r="26" spans="1:23" ht="75" x14ac:dyDescent="0.25">
      <c r="A26" s="593">
        <v>27</v>
      </c>
      <c r="B26" s="581" t="s">
        <v>13</v>
      </c>
      <c r="C26" s="548" t="s">
        <v>3362</v>
      </c>
      <c r="D26" s="4" t="s">
        <v>3077</v>
      </c>
      <c r="E26" s="4"/>
      <c r="H26" s="4"/>
      <c r="I26" s="36" t="s">
        <v>3078</v>
      </c>
      <c r="J26" s="540" t="str">
        <f>Findings!B78</f>
        <v>Top 10 Performance Gaps</v>
      </c>
      <c r="K26" s="535"/>
      <c r="L26" s="4"/>
      <c r="M26" s="4"/>
      <c r="N26" s="4"/>
      <c r="O26" s="4"/>
      <c r="P26" s="4"/>
      <c r="Q26" s="4"/>
      <c r="R26" s="4"/>
      <c r="S26" s="4"/>
      <c r="T26" s="4"/>
      <c r="U26" s="4"/>
      <c r="V26" s="4"/>
      <c r="W26" s="4"/>
    </row>
    <row r="27" spans="1:23" x14ac:dyDescent="0.25">
      <c r="B27" s="581"/>
      <c r="H27" s="4"/>
      <c r="I27" s="4"/>
      <c r="J27" s="296"/>
      <c r="K27" s="4"/>
      <c r="L27" s="4"/>
      <c r="M27" s="4"/>
      <c r="N27" s="4"/>
      <c r="O27" s="4"/>
      <c r="P27" s="4"/>
      <c r="Q27" s="4"/>
      <c r="R27" s="4"/>
      <c r="S27" s="4"/>
      <c r="T27" s="4"/>
      <c r="U27" s="4"/>
      <c r="V27" s="4"/>
      <c r="W27" s="4"/>
    </row>
    <row r="28" spans="1:23" x14ac:dyDescent="0.25">
      <c r="B28" s="581"/>
      <c r="H28" s="4"/>
      <c r="I28" s="4"/>
      <c r="J28" s="296"/>
      <c r="K28" s="4"/>
      <c r="L28" s="4"/>
      <c r="M28" s="4"/>
      <c r="N28" s="4"/>
      <c r="O28" s="4"/>
      <c r="P28" s="4"/>
      <c r="Q28" s="4"/>
      <c r="R28" s="4"/>
      <c r="S28" s="4"/>
      <c r="T28" s="4"/>
      <c r="U28" s="4"/>
      <c r="V28" s="4"/>
      <c r="W28" s="4"/>
    </row>
    <row r="29" spans="1:23" x14ac:dyDescent="0.25">
      <c r="B29" s="581"/>
      <c r="H29" s="4"/>
      <c r="I29" s="4"/>
      <c r="J29" s="296"/>
      <c r="K29" s="4"/>
      <c r="L29" s="4"/>
      <c r="M29" s="4"/>
      <c r="N29" s="4"/>
      <c r="O29" s="4"/>
      <c r="P29" s="4"/>
      <c r="Q29" s="4"/>
      <c r="R29" s="4"/>
      <c r="S29" s="4"/>
      <c r="T29" s="4"/>
      <c r="U29" s="4"/>
      <c r="V29" s="4"/>
      <c r="W29" s="4"/>
    </row>
    <row r="30" spans="1:23" x14ac:dyDescent="0.25">
      <c r="B30" s="581"/>
      <c r="H30" s="4"/>
      <c r="I30" s="4"/>
      <c r="J30" s="296"/>
      <c r="K30" s="4"/>
      <c r="L30" s="4"/>
      <c r="M30" s="4"/>
      <c r="N30" s="4"/>
      <c r="O30" s="4"/>
      <c r="P30" s="4"/>
      <c r="Q30" s="4"/>
      <c r="R30" s="4"/>
      <c r="S30" s="4"/>
      <c r="T30" s="4"/>
      <c r="U30" s="4"/>
      <c r="V30" s="4"/>
      <c r="W30" s="4"/>
    </row>
    <row r="31" spans="1:23" x14ac:dyDescent="0.25">
      <c r="B31" s="581"/>
      <c r="H31" s="4"/>
      <c r="I31" s="4"/>
      <c r="J31" s="296"/>
      <c r="K31" s="4"/>
      <c r="L31" s="4"/>
      <c r="M31" s="4"/>
      <c r="N31" s="4"/>
      <c r="O31" s="4"/>
      <c r="P31" s="4"/>
      <c r="Q31" s="4"/>
      <c r="R31" s="4"/>
      <c r="S31" s="4"/>
      <c r="T31" s="4"/>
      <c r="U31" s="4"/>
      <c r="V31" s="4"/>
      <c r="W31" s="4"/>
    </row>
    <row r="32" spans="1:23" x14ac:dyDescent="0.25">
      <c r="B32" s="581"/>
      <c r="H32" s="4"/>
      <c r="I32" s="4"/>
      <c r="J32" s="296"/>
      <c r="K32" s="4"/>
      <c r="L32" s="4"/>
      <c r="M32" s="4"/>
      <c r="N32" s="4"/>
      <c r="O32" s="4"/>
      <c r="P32" s="4"/>
      <c r="Q32" s="4"/>
      <c r="R32" s="4"/>
      <c r="S32" s="4"/>
      <c r="T32" s="4"/>
      <c r="U32" s="4"/>
      <c r="V32" s="4"/>
      <c r="W32" s="4"/>
    </row>
    <row r="33" spans="2:23" x14ac:dyDescent="0.25">
      <c r="B33" s="581"/>
      <c r="H33" s="4"/>
      <c r="I33" s="4"/>
      <c r="J33" s="296"/>
      <c r="K33" s="4"/>
      <c r="L33" s="4"/>
      <c r="M33" s="4"/>
      <c r="N33" s="4"/>
      <c r="O33" s="4"/>
      <c r="P33" s="4"/>
      <c r="Q33" s="4"/>
      <c r="R33" s="4"/>
      <c r="S33" s="4"/>
      <c r="T33" s="4"/>
      <c r="U33" s="4"/>
      <c r="V33" s="4"/>
      <c r="W33" s="4"/>
    </row>
    <row r="34" spans="2:23" x14ac:dyDescent="0.25">
      <c r="B34" s="581"/>
      <c r="H34" s="4"/>
      <c r="I34" s="4"/>
      <c r="J34" s="296"/>
      <c r="K34" s="4"/>
      <c r="L34" s="4"/>
      <c r="M34" s="4"/>
      <c r="N34" s="4"/>
      <c r="O34" s="4"/>
      <c r="P34" s="4"/>
      <c r="Q34" s="4"/>
      <c r="R34" s="4"/>
      <c r="S34" s="4"/>
      <c r="T34" s="4"/>
      <c r="U34" s="4"/>
      <c r="V34" s="4"/>
      <c r="W34" s="4"/>
    </row>
    <row r="35" spans="2:23" x14ac:dyDescent="0.25">
      <c r="H35" s="4"/>
      <c r="I35" s="4"/>
      <c r="J35" s="296"/>
      <c r="K35" s="4"/>
      <c r="L35" s="4"/>
      <c r="M35" s="4"/>
      <c r="N35" s="4"/>
      <c r="O35" s="4"/>
      <c r="P35" s="4"/>
      <c r="Q35" s="4"/>
      <c r="R35" s="4"/>
      <c r="S35" s="4"/>
      <c r="T35" s="4"/>
      <c r="U35" s="4"/>
      <c r="V35" s="4"/>
      <c r="W35" s="4"/>
    </row>
    <row r="36" spans="2:23" x14ac:dyDescent="0.25">
      <c r="H36" s="4"/>
      <c r="I36" s="4"/>
      <c r="J36" s="296"/>
      <c r="K36" s="4"/>
      <c r="L36" s="4"/>
      <c r="M36" s="4"/>
      <c r="N36" s="4"/>
      <c r="O36" s="4"/>
      <c r="P36" s="4"/>
      <c r="Q36" s="4"/>
      <c r="R36" s="4"/>
      <c r="S36" s="4"/>
      <c r="T36" s="4"/>
      <c r="U36" s="4"/>
      <c r="V36" s="4"/>
      <c r="W36" s="4"/>
    </row>
    <row r="37" spans="2:23" x14ac:dyDescent="0.25">
      <c r="H37" s="4"/>
      <c r="I37" s="4"/>
      <c r="J37" s="296"/>
      <c r="K37" s="4"/>
      <c r="L37" s="4"/>
      <c r="M37" s="4"/>
      <c r="N37" s="4"/>
      <c r="O37" s="4"/>
      <c r="P37" s="4"/>
      <c r="Q37" s="4"/>
      <c r="R37" s="4"/>
      <c r="S37" s="4"/>
      <c r="T37" s="4"/>
      <c r="U37" s="4"/>
      <c r="V37" s="4"/>
      <c r="W37" s="4"/>
    </row>
    <row r="38" spans="2:23" x14ac:dyDescent="0.25">
      <c r="H38" s="4"/>
      <c r="I38" s="4"/>
      <c r="J38" s="296"/>
      <c r="K38" s="4"/>
      <c r="L38" s="4"/>
      <c r="M38" s="4"/>
      <c r="N38" s="4"/>
      <c r="O38" s="4"/>
      <c r="P38" s="4"/>
      <c r="Q38" s="4"/>
      <c r="R38" s="4"/>
      <c r="S38" s="4"/>
      <c r="T38" s="4"/>
      <c r="U38" s="4"/>
      <c r="V38" s="4"/>
      <c r="W38" s="4"/>
    </row>
    <row r="39" spans="2:23" x14ac:dyDescent="0.25">
      <c r="H39" s="4"/>
      <c r="I39" s="4"/>
      <c r="J39" s="296"/>
      <c r="K39" s="4"/>
      <c r="L39" s="4"/>
      <c r="M39" s="4"/>
      <c r="N39" s="4"/>
      <c r="O39" s="4"/>
      <c r="P39" s="4"/>
      <c r="Q39" s="4"/>
      <c r="R39" s="4"/>
      <c r="S39" s="4"/>
      <c r="T39" s="4"/>
      <c r="U39" s="4"/>
      <c r="V39" s="4"/>
      <c r="W39" s="4"/>
    </row>
    <row r="40" spans="2:23" x14ac:dyDescent="0.25">
      <c r="H40" s="4"/>
      <c r="I40" s="4"/>
      <c r="J40" s="296"/>
      <c r="K40" s="4"/>
      <c r="L40" s="4"/>
      <c r="M40" s="4"/>
      <c r="N40" s="4"/>
      <c r="O40" s="4"/>
      <c r="P40" s="4"/>
      <c r="Q40" s="4"/>
      <c r="R40" s="4"/>
      <c r="S40" s="4"/>
      <c r="T40" s="4"/>
      <c r="U40" s="4"/>
      <c r="V40" s="4"/>
      <c r="W40" s="4"/>
    </row>
    <row r="41" spans="2:23" x14ac:dyDescent="0.25">
      <c r="H41" s="4"/>
      <c r="I41" s="4"/>
      <c r="J41" s="296"/>
      <c r="K41" s="4"/>
      <c r="L41" s="4"/>
      <c r="M41" s="4"/>
      <c r="N41" s="4"/>
      <c r="O41" s="4"/>
      <c r="P41" s="4"/>
      <c r="Q41" s="4"/>
      <c r="R41" s="4"/>
      <c r="S41" s="4"/>
      <c r="T41" s="4"/>
      <c r="U41" s="4"/>
      <c r="V41" s="4"/>
      <c r="W41" s="4"/>
    </row>
    <row r="42" spans="2:23" x14ac:dyDescent="0.25">
      <c r="H42" s="4"/>
      <c r="I42" s="4"/>
      <c r="J42" s="296"/>
      <c r="K42" s="4"/>
      <c r="L42" s="4"/>
      <c r="M42" s="4"/>
      <c r="N42" s="4"/>
      <c r="O42" s="4"/>
      <c r="P42" s="4"/>
      <c r="Q42" s="4"/>
      <c r="R42" s="4"/>
      <c r="S42" s="4"/>
      <c r="T42" s="4"/>
      <c r="U42" s="4"/>
      <c r="V42" s="4"/>
      <c r="W42" s="4"/>
    </row>
    <row r="43" spans="2:23" x14ac:dyDescent="0.25">
      <c r="H43" s="4"/>
      <c r="I43" s="4"/>
      <c r="J43" s="296"/>
      <c r="K43" s="4"/>
      <c r="L43" s="4"/>
      <c r="M43" s="4"/>
      <c r="N43" s="4"/>
      <c r="O43" s="4"/>
      <c r="P43" s="4"/>
      <c r="Q43" s="4"/>
      <c r="R43" s="4"/>
      <c r="S43" s="4"/>
      <c r="T43" s="4"/>
      <c r="U43" s="4"/>
      <c r="V43" s="4"/>
      <c r="W43" s="4"/>
    </row>
    <row r="44" spans="2:23" x14ac:dyDescent="0.25">
      <c r="H44" s="4"/>
      <c r="I44" s="4"/>
      <c r="J44" s="296"/>
      <c r="K44" s="4"/>
      <c r="L44" s="4"/>
      <c r="M44" s="4"/>
      <c r="N44" s="4"/>
      <c r="O44" s="4"/>
      <c r="P44" s="4"/>
      <c r="Q44" s="4"/>
      <c r="R44" s="4"/>
      <c r="S44" s="4"/>
      <c r="T44" s="4"/>
      <c r="U44" s="4"/>
      <c r="V44" s="4"/>
      <c r="W44" s="4"/>
    </row>
    <row r="45" spans="2:23" x14ac:dyDescent="0.25">
      <c r="H45" s="4"/>
      <c r="I45" s="4"/>
      <c r="J45" s="296"/>
      <c r="K45" s="4"/>
      <c r="L45" s="4"/>
      <c r="M45" s="4"/>
      <c r="N45" s="4"/>
      <c r="O45" s="4"/>
      <c r="P45" s="4"/>
      <c r="Q45" s="4"/>
      <c r="R45" s="4"/>
      <c r="S45" s="4"/>
      <c r="T45" s="4"/>
      <c r="U45" s="4"/>
      <c r="V45" s="4"/>
      <c r="W45" s="4"/>
    </row>
    <row r="46" spans="2:23" x14ac:dyDescent="0.25">
      <c r="H46" s="4"/>
      <c r="I46" s="4"/>
      <c r="J46" s="296"/>
      <c r="K46" s="4"/>
      <c r="L46" s="4"/>
      <c r="M46" s="4"/>
      <c r="N46" s="4"/>
      <c r="O46" s="4"/>
      <c r="P46" s="4"/>
      <c r="Q46" s="4"/>
      <c r="R46" s="4"/>
      <c r="S46" s="4"/>
      <c r="T46" s="4"/>
      <c r="U46" s="4"/>
      <c r="V46" s="4"/>
      <c r="W46" s="4"/>
    </row>
    <row r="47" spans="2:23" x14ac:dyDescent="0.25">
      <c r="H47" s="4"/>
      <c r="I47" s="4"/>
      <c r="J47" s="296"/>
      <c r="K47" s="4"/>
      <c r="L47" s="4"/>
      <c r="M47" s="4"/>
      <c r="N47" s="4"/>
      <c r="O47" s="4"/>
      <c r="P47" s="4"/>
      <c r="Q47" s="4"/>
      <c r="R47" s="4"/>
      <c r="S47" s="4"/>
      <c r="T47" s="4"/>
      <c r="U47" s="4"/>
      <c r="V47" s="4"/>
      <c r="W47" s="4"/>
    </row>
    <row r="48" spans="2:23" x14ac:dyDescent="0.25">
      <c r="H48" s="4"/>
      <c r="I48" s="4"/>
      <c r="J48" s="296"/>
      <c r="K48" s="4"/>
      <c r="L48" s="4"/>
      <c r="M48" s="4"/>
      <c r="N48" s="4"/>
      <c r="O48" s="4"/>
      <c r="P48" s="4"/>
      <c r="Q48" s="4"/>
      <c r="R48" s="4"/>
      <c r="S48" s="4"/>
      <c r="T48" s="4"/>
      <c r="U48" s="4"/>
      <c r="V48" s="4"/>
      <c r="W48" s="4"/>
    </row>
    <row r="49" spans="8:23" x14ac:dyDescent="0.25">
      <c r="H49" s="4"/>
      <c r="I49" s="4"/>
      <c r="J49" s="296"/>
      <c r="K49" s="4"/>
      <c r="L49" s="4"/>
      <c r="M49" s="4"/>
      <c r="N49" s="4"/>
      <c r="O49" s="4"/>
      <c r="P49" s="4"/>
      <c r="Q49" s="4"/>
      <c r="R49" s="4"/>
      <c r="S49" s="4"/>
      <c r="T49" s="4"/>
      <c r="U49" s="4"/>
      <c r="V49" s="4"/>
      <c r="W49" s="4"/>
    </row>
    <row r="50" spans="8:23" x14ac:dyDescent="0.25">
      <c r="H50" s="4"/>
      <c r="I50" s="4"/>
      <c r="J50" s="296"/>
      <c r="K50" s="4"/>
      <c r="L50" s="4"/>
      <c r="M50" s="4"/>
      <c r="N50" s="4"/>
      <c r="O50" s="4"/>
      <c r="P50" s="4"/>
      <c r="Q50" s="4"/>
      <c r="R50" s="4"/>
      <c r="S50" s="4"/>
      <c r="T50" s="4"/>
      <c r="U50" s="4"/>
      <c r="V50" s="4"/>
      <c r="W50" s="4"/>
    </row>
    <row r="51" spans="8:23" x14ac:dyDescent="0.25">
      <c r="H51" s="4"/>
      <c r="I51" s="4"/>
      <c r="J51" s="296"/>
      <c r="K51" s="4"/>
      <c r="L51" s="4"/>
      <c r="M51" s="4"/>
      <c r="N51" s="4"/>
      <c r="O51" s="4"/>
      <c r="P51" s="4"/>
      <c r="Q51" s="4"/>
      <c r="R51" s="4"/>
      <c r="S51" s="4"/>
      <c r="T51" s="4"/>
      <c r="U51" s="4"/>
      <c r="V51" s="4"/>
      <c r="W51" s="4"/>
    </row>
    <row r="52" spans="8:23" x14ac:dyDescent="0.25">
      <c r="H52" s="4"/>
      <c r="I52" s="4"/>
      <c r="J52" s="296"/>
      <c r="K52" s="4"/>
      <c r="L52" s="4"/>
      <c r="M52" s="4"/>
      <c r="N52" s="4"/>
      <c r="O52" s="4"/>
      <c r="P52" s="4"/>
      <c r="Q52" s="4"/>
      <c r="R52" s="4"/>
      <c r="S52" s="4"/>
      <c r="T52" s="4"/>
      <c r="U52" s="4"/>
      <c r="V52" s="4"/>
      <c r="W52" s="4"/>
    </row>
    <row r="53" spans="8:23" x14ac:dyDescent="0.25">
      <c r="H53" s="4"/>
      <c r="I53" s="4"/>
      <c r="J53" s="296"/>
      <c r="K53" s="4"/>
      <c r="L53" s="4"/>
      <c r="M53" s="4"/>
      <c r="N53" s="4"/>
      <c r="O53" s="4"/>
      <c r="P53" s="4"/>
      <c r="Q53" s="4"/>
      <c r="R53" s="4"/>
      <c r="S53" s="4"/>
      <c r="T53" s="4"/>
      <c r="U53" s="4"/>
      <c r="V53" s="4"/>
      <c r="W53" s="4"/>
    </row>
    <row r="54" spans="8:23" x14ac:dyDescent="0.25">
      <c r="H54" s="4"/>
      <c r="I54" s="4"/>
      <c r="J54" s="296"/>
      <c r="K54" s="4"/>
      <c r="L54" s="4"/>
      <c r="M54" s="4"/>
      <c r="N54" s="4"/>
      <c r="O54" s="4"/>
      <c r="P54" s="4"/>
      <c r="Q54" s="4"/>
      <c r="R54" s="4"/>
      <c r="S54" s="4"/>
      <c r="T54" s="4"/>
      <c r="U54" s="4"/>
      <c r="V54" s="4"/>
      <c r="W54" s="4"/>
    </row>
    <row r="55" spans="8:23" x14ac:dyDescent="0.25">
      <c r="H55" s="4"/>
      <c r="I55" s="4"/>
      <c r="J55" s="296"/>
      <c r="K55" s="4"/>
      <c r="L55" s="4"/>
      <c r="M55" s="4"/>
      <c r="N55" s="4"/>
      <c r="O55" s="4"/>
      <c r="P55" s="4"/>
      <c r="Q55" s="4"/>
      <c r="R55" s="4"/>
      <c r="S55" s="4"/>
      <c r="T55" s="4"/>
      <c r="U55" s="4"/>
      <c r="V55" s="4"/>
      <c r="W55" s="4"/>
    </row>
    <row r="56" spans="8:23" x14ac:dyDescent="0.25">
      <c r="H56" s="4"/>
      <c r="I56" s="4"/>
      <c r="J56" s="296"/>
      <c r="K56" s="4"/>
      <c r="L56" s="4"/>
      <c r="M56" s="4"/>
      <c r="N56" s="4"/>
      <c r="O56" s="4"/>
      <c r="P56" s="4"/>
      <c r="Q56" s="4"/>
      <c r="R56" s="4"/>
      <c r="S56" s="4"/>
      <c r="T56" s="4"/>
      <c r="U56" s="4"/>
      <c r="V56" s="4"/>
      <c r="W56" s="4"/>
    </row>
    <row r="57" spans="8:23" x14ac:dyDescent="0.25">
      <c r="H57" s="4"/>
      <c r="I57" s="4"/>
      <c r="J57" s="296"/>
      <c r="K57" s="4"/>
      <c r="L57" s="4"/>
      <c r="M57" s="4"/>
      <c r="N57" s="4"/>
      <c r="O57" s="4"/>
      <c r="P57" s="4"/>
      <c r="Q57" s="4"/>
      <c r="R57" s="4"/>
      <c r="S57" s="4"/>
      <c r="T57" s="4"/>
      <c r="U57" s="4"/>
      <c r="V57" s="4"/>
      <c r="W57" s="4"/>
    </row>
    <row r="58" spans="8:23" x14ac:dyDescent="0.25">
      <c r="H58" s="4"/>
      <c r="I58" s="4"/>
      <c r="J58" s="296"/>
      <c r="K58" s="4"/>
      <c r="L58" s="4"/>
      <c r="M58" s="4"/>
      <c r="N58" s="4"/>
      <c r="O58" s="4"/>
      <c r="P58" s="4"/>
      <c r="Q58" s="4"/>
      <c r="R58" s="4"/>
      <c r="S58" s="4"/>
      <c r="T58" s="4"/>
      <c r="U58" s="4"/>
      <c r="V58" s="4"/>
      <c r="W58" s="4"/>
    </row>
    <row r="59" spans="8:23" x14ac:dyDescent="0.25">
      <c r="H59" s="4"/>
      <c r="I59" s="4"/>
      <c r="J59" s="296"/>
      <c r="K59" s="4"/>
      <c r="L59" s="4"/>
      <c r="M59" s="4"/>
      <c r="N59" s="4"/>
      <c r="O59" s="4"/>
      <c r="P59" s="4"/>
      <c r="Q59" s="4"/>
      <c r="R59" s="4"/>
      <c r="S59" s="4"/>
      <c r="T59" s="4"/>
      <c r="U59" s="4"/>
      <c r="V59" s="4"/>
      <c r="W59" s="4"/>
    </row>
    <row r="60" spans="8:23" x14ac:dyDescent="0.25">
      <c r="H60" s="4"/>
      <c r="I60" s="4"/>
      <c r="J60" s="296"/>
      <c r="K60" s="4"/>
      <c r="L60" s="4"/>
      <c r="M60" s="4"/>
      <c r="N60" s="4"/>
      <c r="O60" s="4"/>
      <c r="P60" s="4"/>
      <c r="Q60" s="4"/>
      <c r="R60" s="4"/>
      <c r="S60" s="4"/>
      <c r="T60" s="4"/>
      <c r="U60" s="4"/>
      <c r="V60" s="4"/>
      <c r="W60" s="4"/>
    </row>
    <row r="61" spans="8:23" x14ac:dyDescent="0.25">
      <c r="H61" s="4"/>
      <c r="I61" s="4"/>
      <c r="J61" s="296"/>
      <c r="K61" s="4"/>
      <c r="L61" s="4"/>
      <c r="M61" s="4"/>
      <c r="N61" s="4"/>
      <c r="O61" s="4"/>
      <c r="P61" s="4"/>
      <c r="Q61" s="4"/>
      <c r="R61" s="4"/>
      <c r="S61" s="4"/>
      <c r="T61" s="4"/>
      <c r="U61" s="4"/>
      <c r="V61" s="4"/>
      <c r="W61" s="4"/>
    </row>
    <row r="62" spans="8:23" x14ac:dyDescent="0.25">
      <c r="H62" s="4"/>
      <c r="I62" s="4"/>
      <c r="J62" s="296"/>
      <c r="K62" s="4"/>
      <c r="L62" s="4"/>
      <c r="M62" s="4"/>
      <c r="N62" s="4"/>
      <c r="O62" s="4"/>
      <c r="P62" s="4"/>
      <c r="Q62" s="4"/>
      <c r="R62" s="4"/>
      <c r="S62" s="4"/>
      <c r="T62" s="4"/>
      <c r="U62" s="4"/>
      <c r="V62" s="4"/>
      <c r="W62" s="4"/>
    </row>
    <row r="63" spans="8:23" x14ac:dyDescent="0.25">
      <c r="H63" s="4"/>
      <c r="I63" s="4"/>
      <c r="J63" s="296"/>
      <c r="K63" s="4"/>
      <c r="L63" s="4"/>
      <c r="M63" s="4"/>
      <c r="N63" s="4"/>
      <c r="O63" s="4"/>
      <c r="P63" s="4"/>
      <c r="Q63" s="4"/>
      <c r="R63" s="4"/>
      <c r="S63" s="4"/>
      <c r="T63" s="4"/>
      <c r="U63" s="4"/>
      <c r="V63" s="4"/>
      <c r="W63" s="4"/>
    </row>
    <row r="64" spans="8:23" x14ac:dyDescent="0.25">
      <c r="H64" s="4"/>
      <c r="I64" s="4"/>
      <c r="J64" s="296"/>
      <c r="K64" s="4"/>
      <c r="L64" s="4"/>
      <c r="M64" s="4"/>
      <c r="N64" s="4"/>
      <c r="O64" s="4"/>
      <c r="P64" s="4"/>
      <c r="Q64" s="4"/>
      <c r="R64" s="4"/>
      <c r="S64" s="4"/>
      <c r="T64" s="4"/>
      <c r="U64" s="4"/>
      <c r="V64" s="4"/>
      <c r="W64" s="4"/>
    </row>
    <row r="65" spans="8:23" x14ac:dyDescent="0.25">
      <c r="H65" s="4"/>
      <c r="I65" s="4"/>
      <c r="J65" s="296"/>
      <c r="K65" s="4"/>
      <c r="L65" s="4"/>
      <c r="M65" s="4"/>
      <c r="N65" s="4"/>
      <c r="O65" s="4"/>
      <c r="P65" s="4"/>
      <c r="Q65" s="4"/>
      <c r="R65" s="4"/>
      <c r="S65" s="4"/>
      <c r="T65" s="4"/>
      <c r="U65" s="4"/>
      <c r="V65" s="4"/>
      <c r="W65" s="4"/>
    </row>
    <row r="66" spans="8:23" x14ac:dyDescent="0.25">
      <c r="H66" s="4"/>
      <c r="I66" s="4"/>
      <c r="J66" s="296"/>
      <c r="K66" s="4"/>
      <c r="L66" s="4"/>
      <c r="M66" s="4"/>
      <c r="N66" s="4"/>
      <c r="O66" s="4"/>
      <c r="P66" s="4"/>
      <c r="Q66" s="4"/>
      <c r="R66" s="4"/>
      <c r="S66" s="4"/>
      <c r="T66" s="4"/>
      <c r="U66" s="4"/>
      <c r="V66" s="4"/>
      <c r="W66" s="4"/>
    </row>
    <row r="67" spans="8:23" x14ac:dyDescent="0.25">
      <c r="H67" s="4"/>
      <c r="I67" s="4"/>
      <c r="J67" s="296"/>
      <c r="K67" s="4"/>
      <c r="L67" s="4"/>
      <c r="M67" s="4"/>
      <c r="N67" s="4"/>
      <c r="O67" s="4"/>
      <c r="P67" s="4"/>
      <c r="Q67" s="4"/>
      <c r="R67" s="4"/>
      <c r="S67" s="4"/>
      <c r="T67" s="4"/>
      <c r="U67" s="4"/>
      <c r="V67" s="4"/>
      <c r="W67" s="4"/>
    </row>
    <row r="68" spans="8:23" x14ac:dyDescent="0.25">
      <c r="H68" s="4"/>
      <c r="I68" s="4"/>
      <c r="J68" s="296"/>
      <c r="K68" s="4"/>
      <c r="L68" s="4"/>
      <c r="M68" s="4"/>
      <c r="N68" s="4"/>
      <c r="O68" s="4"/>
      <c r="P68" s="4"/>
      <c r="Q68" s="4"/>
      <c r="R68" s="4"/>
      <c r="S68" s="4"/>
      <c r="T68" s="4"/>
      <c r="U68" s="4"/>
      <c r="V68" s="4"/>
      <c r="W68" s="4"/>
    </row>
    <row r="69" spans="8:23" x14ac:dyDescent="0.25">
      <c r="H69" s="4"/>
      <c r="I69" s="4"/>
      <c r="J69" s="296"/>
      <c r="K69" s="4"/>
      <c r="L69" s="4"/>
      <c r="M69" s="4"/>
      <c r="N69" s="4"/>
      <c r="O69" s="4"/>
      <c r="P69" s="4"/>
      <c r="Q69" s="4"/>
      <c r="R69" s="4"/>
      <c r="S69" s="4"/>
      <c r="T69" s="4"/>
      <c r="U69" s="4"/>
      <c r="V69" s="4"/>
      <c r="W69" s="4"/>
    </row>
    <row r="70" spans="8:23" x14ac:dyDescent="0.25">
      <c r="H70" s="4"/>
      <c r="I70" s="4"/>
      <c r="J70" s="296"/>
      <c r="K70" s="4"/>
      <c r="L70" s="4"/>
      <c r="M70" s="4"/>
      <c r="N70" s="4"/>
      <c r="O70" s="4"/>
      <c r="P70" s="4"/>
      <c r="Q70" s="4"/>
      <c r="R70" s="4"/>
      <c r="S70" s="4"/>
      <c r="T70" s="4"/>
      <c r="U70" s="4"/>
      <c r="V70" s="4"/>
      <c r="W70" s="4"/>
    </row>
    <row r="71" spans="8:23" x14ac:dyDescent="0.25">
      <c r="H71" s="4"/>
      <c r="I71" s="4"/>
      <c r="J71" s="296"/>
      <c r="K71" s="4"/>
      <c r="L71" s="4"/>
      <c r="M71" s="4"/>
      <c r="N71" s="4"/>
      <c r="O71" s="4"/>
      <c r="P71" s="4"/>
      <c r="Q71" s="4"/>
      <c r="R71" s="4"/>
      <c r="S71" s="4"/>
      <c r="T71" s="4"/>
      <c r="U71" s="4"/>
      <c r="V71" s="4"/>
      <c r="W71" s="4"/>
    </row>
    <row r="72" spans="8:23" x14ac:dyDescent="0.25">
      <c r="N72" s="4"/>
      <c r="O72" s="4"/>
      <c r="P72" s="4"/>
      <c r="Q72" s="4"/>
      <c r="R72" s="4"/>
      <c r="S72" s="4"/>
      <c r="T72" s="4"/>
      <c r="U72" s="4"/>
      <c r="V72" s="4"/>
      <c r="W72" s="4"/>
    </row>
    <row r="73" spans="8:23" x14ac:dyDescent="0.25">
      <c r="N73" s="4"/>
      <c r="O73" s="4"/>
      <c r="P73" s="4"/>
      <c r="Q73" s="4"/>
      <c r="R73" s="4"/>
      <c r="S73" s="4"/>
      <c r="T73" s="4"/>
      <c r="U73" s="4"/>
      <c r="V73" s="4"/>
      <c r="W73" s="4"/>
    </row>
    <row r="74" spans="8:23" x14ac:dyDescent="0.25">
      <c r="N74" s="4"/>
      <c r="O74" s="4"/>
      <c r="P74" s="4"/>
      <c r="Q74" s="4"/>
      <c r="R74" s="4"/>
      <c r="S74" s="4"/>
      <c r="T74" s="4"/>
      <c r="U74" s="4"/>
      <c r="V74" s="4"/>
      <c r="W74" s="4"/>
    </row>
    <row r="75" spans="8:23" x14ac:dyDescent="0.25">
      <c r="N75" s="4"/>
      <c r="O75" s="4"/>
      <c r="P75" s="4"/>
      <c r="Q75" s="4"/>
      <c r="R75" s="4"/>
      <c r="S75" s="4"/>
      <c r="T75" s="4"/>
      <c r="U75" s="4"/>
      <c r="V75" s="4"/>
      <c r="W75" s="4"/>
    </row>
    <row r="76" spans="8:23" x14ac:dyDescent="0.25">
      <c r="N76" s="4"/>
      <c r="O76" s="4"/>
      <c r="P76" s="4"/>
      <c r="Q76" s="4"/>
      <c r="R76" s="4"/>
      <c r="S76" s="4"/>
      <c r="T76" s="4"/>
      <c r="U76" s="4"/>
      <c r="V76" s="4"/>
      <c r="W76" s="4"/>
    </row>
    <row r="77" spans="8:23" x14ac:dyDescent="0.25">
      <c r="N77" s="4"/>
      <c r="O77" s="4"/>
      <c r="P77" s="4"/>
      <c r="Q77" s="4"/>
      <c r="R77" s="4"/>
      <c r="S77" s="4"/>
      <c r="T77" s="4"/>
      <c r="U77" s="4"/>
      <c r="V77" s="4"/>
      <c r="W77" s="4"/>
    </row>
    <row r="78" spans="8:23" x14ac:dyDescent="0.25">
      <c r="N78" s="4"/>
      <c r="O78" s="4"/>
      <c r="P78" s="4"/>
      <c r="Q78" s="4"/>
      <c r="R78" s="4"/>
      <c r="S78" s="4"/>
      <c r="T78" s="4"/>
      <c r="U78" s="4"/>
      <c r="V78" s="4"/>
      <c r="W78" s="4"/>
    </row>
    <row r="79" spans="8:23" x14ac:dyDescent="0.25">
      <c r="N79" s="4"/>
      <c r="O79" s="4"/>
      <c r="P79" s="4"/>
      <c r="Q79" s="4"/>
      <c r="R79" s="4"/>
      <c r="S79" s="4"/>
      <c r="T79" s="4"/>
      <c r="U79" s="4"/>
      <c r="V79" s="4"/>
      <c r="W79" s="4"/>
    </row>
    <row r="80" spans="8:23" x14ac:dyDescent="0.25">
      <c r="N80" s="4"/>
      <c r="O80" s="4"/>
      <c r="P80" s="4"/>
      <c r="Q80" s="4"/>
      <c r="R80" s="4"/>
      <c r="S80" s="4"/>
      <c r="T80" s="4"/>
      <c r="U80" s="4"/>
      <c r="V80" s="4"/>
      <c r="W80" s="4"/>
    </row>
    <row r="81" spans="14:23" x14ac:dyDescent="0.25">
      <c r="N81" s="4"/>
      <c r="O81" s="4"/>
      <c r="P81" s="4"/>
      <c r="Q81" s="4"/>
      <c r="R81" s="4"/>
      <c r="S81" s="4"/>
      <c r="T81" s="4"/>
      <c r="U81" s="4"/>
      <c r="V81" s="4"/>
      <c r="W81" s="4"/>
    </row>
    <row r="82" spans="14:23" x14ac:dyDescent="0.25">
      <c r="N82" s="4"/>
      <c r="O82" s="4"/>
      <c r="P82" s="4"/>
      <c r="Q82" s="4"/>
      <c r="R82" s="4"/>
      <c r="S82" s="4"/>
      <c r="T82" s="4"/>
      <c r="U82" s="4"/>
      <c r="V82" s="4"/>
      <c r="W82" s="4"/>
    </row>
    <row r="83" spans="14:23" x14ac:dyDescent="0.25">
      <c r="N83" s="4"/>
      <c r="O83" s="4"/>
      <c r="P83" s="4"/>
      <c r="Q83" s="4"/>
      <c r="R83" s="4"/>
      <c r="S83" s="4"/>
      <c r="T83" s="4"/>
      <c r="U83" s="4"/>
      <c r="V83" s="4"/>
      <c r="W83" s="4"/>
    </row>
    <row r="84" spans="14:23" x14ac:dyDescent="0.25">
      <c r="N84" s="4"/>
      <c r="O84" s="4"/>
      <c r="P84" s="4"/>
      <c r="Q84" s="4"/>
      <c r="R84" s="4"/>
      <c r="S84" s="4"/>
      <c r="T84" s="4"/>
      <c r="U84" s="4"/>
      <c r="V84" s="4"/>
      <c r="W84" s="4"/>
    </row>
    <row r="85" spans="14:23" x14ac:dyDescent="0.25">
      <c r="N85" s="4"/>
      <c r="O85" s="4"/>
      <c r="P85" s="4"/>
      <c r="Q85" s="4"/>
      <c r="R85" s="4"/>
      <c r="S85" s="4"/>
      <c r="T85" s="4"/>
      <c r="U85" s="4"/>
      <c r="V85" s="4"/>
      <c r="W85" s="4"/>
    </row>
    <row r="86" spans="14:23" x14ac:dyDescent="0.25">
      <c r="N86" s="4"/>
      <c r="O86" s="4"/>
      <c r="P86" s="4"/>
      <c r="Q86" s="4"/>
      <c r="R86" s="4"/>
      <c r="S86" s="4"/>
      <c r="T86" s="4"/>
      <c r="U86" s="4"/>
      <c r="V86" s="4"/>
      <c r="W86" s="4"/>
    </row>
    <row r="87" spans="14:23" x14ac:dyDescent="0.25">
      <c r="N87" s="4"/>
      <c r="O87" s="4"/>
      <c r="P87" s="4"/>
      <c r="Q87" s="4"/>
      <c r="R87" s="4"/>
      <c r="S87" s="4"/>
      <c r="T87" s="4"/>
      <c r="U87" s="4"/>
      <c r="V87" s="4"/>
      <c r="W87" s="4"/>
    </row>
    <row r="88" spans="14:23" x14ac:dyDescent="0.25">
      <c r="N88" s="4"/>
      <c r="O88" s="4"/>
      <c r="P88" s="4"/>
      <c r="Q88" s="4"/>
      <c r="R88" s="4"/>
      <c r="S88" s="4"/>
      <c r="T88" s="4"/>
      <c r="U88" s="4"/>
      <c r="V88" s="4"/>
      <c r="W88" s="4"/>
    </row>
    <row r="89" spans="14:23" x14ac:dyDescent="0.25">
      <c r="N89" s="4"/>
      <c r="O89" s="4"/>
      <c r="P89" s="4"/>
      <c r="Q89" s="4"/>
      <c r="R89" s="4"/>
      <c r="S89" s="4"/>
      <c r="T89" s="4"/>
      <c r="U89" s="4"/>
      <c r="V89" s="4"/>
      <c r="W89" s="4"/>
    </row>
    <row r="90" spans="14:23" x14ac:dyDescent="0.25">
      <c r="N90" s="4"/>
      <c r="O90" s="4"/>
      <c r="P90" s="4"/>
      <c r="Q90" s="4"/>
      <c r="R90" s="4"/>
      <c r="S90" s="4"/>
      <c r="T90" s="4"/>
      <c r="U90" s="4"/>
      <c r="V90" s="4"/>
      <c r="W90" s="4"/>
    </row>
    <row r="91" spans="14:23" x14ac:dyDescent="0.25">
      <c r="N91" s="4"/>
      <c r="O91" s="4"/>
      <c r="P91" s="4"/>
      <c r="Q91" s="4"/>
      <c r="R91" s="4"/>
      <c r="S91" s="4"/>
      <c r="T91" s="4"/>
      <c r="U91" s="4"/>
      <c r="V91" s="4"/>
      <c r="W91" s="4"/>
    </row>
    <row r="92" spans="14:23" x14ac:dyDescent="0.25">
      <c r="N92" s="4"/>
      <c r="O92" s="4"/>
      <c r="P92" s="4"/>
      <c r="Q92" s="4"/>
      <c r="R92" s="4"/>
      <c r="S92" s="4"/>
      <c r="T92" s="4"/>
      <c r="U92" s="4"/>
      <c r="V92" s="4"/>
      <c r="W92" s="4"/>
    </row>
    <row r="93" spans="14:23" x14ac:dyDescent="0.25">
      <c r="N93" s="4"/>
      <c r="O93" s="4"/>
      <c r="P93" s="4"/>
      <c r="Q93" s="4"/>
      <c r="R93" s="4"/>
      <c r="S93" s="4"/>
      <c r="T93" s="4"/>
      <c r="U93" s="4"/>
      <c r="V93" s="4"/>
      <c r="W93" s="4"/>
    </row>
    <row r="94" spans="14:23" x14ac:dyDescent="0.25">
      <c r="N94" s="4"/>
      <c r="O94" s="4"/>
      <c r="P94" s="4"/>
      <c r="Q94" s="4"/>
      <c r="R94" s="4"/>
      <c r="S94" s="4"/>
      <c r="T94" s="4"/>
      <c r="U94" s="4"/>
      <c r="V94" s="4"/>
      <c r="W94" s="4"/>
    </row>
    <row r="95" spans="14:23" x14ac:dyDescent="0.25">
      <c r="N95" s="4"/>
      <c r="O95" s="4"/>
      <c r="P95" s="4"/>
      <c r="Q95" s="4"/>
      <c r="R95" s="4"/>
      <c r="S95" s="4"/>
      <c r="T95" s="4"/>
      <c r="U95" s="4"/>
      <c r="V95" s="4"/>
      <c r="W95" s="4"/>
    </row>
    <row r="96" spans="14:23" x14ac:dyDescent="0.25">
      <c r="N96" s="4"/>
      <c r="O96" s="4"/>
      <c r="P96" s="4"/>
      <c r="Q96" s="4"/>
      <c r="R96" s="4"/>
      <c r="S96" s="4"/>
      <c r="T96" s="4"/>
      <c r="U96" s="4"/>
      <c r="V96" s="4"/>
      <c r="W96" s="4"/>
    </row>
    <row r="97" spans="14:23" x14ac:dyDescent="0.25">
      <c r="N97" s="4"/>
      <c r="O97" s="4"/>
      <c r="P97" s="4"/>
      <c r="Q97" s="4"/>
      <c r="R97" s="4"/>
      <c r="S97" s="4"/>
      <c r="T97" s="4"/>
      <c r="U97" s="4"/>
      <c r="V97" s="4"/>
      <c r="W97" s="4"/>
    </row>
    <row r="98" spans="14:23" x14ac:dyDescent="0.25">
      <c r="N98" s="4"/>
      <c r="O98" s="4"/>
      <c r="P98" s="4"/>
      <c r="Q98" s="4"/>
      <c r="R98" s="4"/>
      <c r="S98" s="4"/>
      <c r="T98" s="4"/>
      <c r="U98" s="4"/>
      <c r="V98" s="4"/>
      <c r="W98" s="4"/>
    </row>
    <row r="99" spans="14:23" x14ac:dyDescent="0.25">
      <c r="N99" s="4"/>
      <c r="O99" s="4"/>
      <c r="P99" s="4"/>
      <c r="Q99" s="4"/>
      <c r="R99" s="4"/>
      <c r="S99" s="4"/>
      <c r="T99" s="4"/>
      <c r="U99" s="4"/>
      <c r="V99" s="4"/>
      <c r="W99" s="4"/>
    </row>
    <row r="100" spans="14:23" x14ac:dyDescent="0.25">
      <c r="N100" s="4"/>
      <c r="O100" s="4"/>
      <c r="P100" s="4"/>
      <c r="Q100" s="4"/>
      <c r="R100" s="4"/>
      <c r="S100" s="4"/>
      <c r="T100" s="4"/>
      <c r="U100" s="4"/>
      <c r="V100" s="4"/>
      <c r="W100" s="4"/>
    </row>
    <row r="101" spans="14:23" x14ac:dyDescent="0.25">
      <c r="N101" s="4"/>
      <c r="O101" s="4"/>
      <c r="P101" s="4"/>
      <c r="Q101" s="4"/>
      <c r="R101" s="4"/>
      <c r="S101" s="4"/>
      <c r="T101" s="4"/>
      <c r="U101" s="4"/>
      <c r="V101" s="4"/>
      <c r="W101" s="4"/>
    </row>
    <row r="102" spans="14:23" x14ac:dyDescent="0.25">
      <c r="N102" s="4"/>
      <c r="O102" s="4"/>
      <c r="P102" s="4"/>
      <c r="Q102" s="4"/>
      <c r="R102" s="4"/>
      <c r="S102" s="4"/>
      <c r="T102" s="4"/>
      <c r="U102" s="4"/>
      <c r="V102" s="4"/>
      <c r="W102" s="4"/>
    </row>
    <row r="103" spans="14:23" x14ac:dyDescent="0.25">
      <c r="N103" s="4"/>
      <c r="O103" s="4"/>
      <c r="P103" s="4"/>
      <c r="Q103" s="4"/>
      <c r="R103" s="4"/>
      <c r="S103" s="4"/>
      <c r="T103" s="4"/>
      <c r="U103" s="4"/>
      <c r="V103" s="4"/>
      <c r="W103" s="4"/>
    </row>
    <row r="104" spans="14:23" x14ac:dyDescent="0.25">
      <c r="N104" s="4"/>
      <c r="O104" s="4"/>
      <c r="P104" s="4"/>
      <c r="Q104" s="4"/>
      <c r="R104" s="4"/>
      <c r="S104" s="4"/>
      <c r="T104" s="4"/>
      <c r="U104" s="4"/>
      <c r="V104" s="4"/>
      <c r="W104" s="4"/>
    </row>
    <row r="105" spans="14:23" x14ac:dyDescent="0.25">
      <c r="N105" s="4"/>
      <c r="O105" s="4"/>
      <c r="P105" s="4"/>
      <c r="Q105" s="4"/>
      <c r="R105" s="4"/>
      <c r="S105" s="4"/>
      <c r="T105" s="4"/>
      <c r="U105" s="4"/>
      <c r="V105" s="4"/>
      <c r="W105" s="4"/>
    </row>
    <row r="106" spans="14:23" x14ac:dyDescent="0.25">
      <c r="N106" s="4"/>
      <c r="O106" s="4"/>
      <c r="P106" s="4"/>
      <c r="Q106" s="4"/>
      <c r="R106" s="4"/>
      <c r="S106" s="4"/>
      <c r="T106" s="4"/>
      <c r="U106" s="4"/>
      <c r="V106" s="4"/>
      <c r="W106" s="4"/>
    </row>
    <row r="107" spans="14:23" x14ac:dyDescent="0.25">
      <c r="N107" s="4"/>
      <c r="O107" s="4"/>
      <c r="P107" s="4"/>
      <c r="Q107" s="4"/>
      <c r="R107" s="4"/>
      <c r="S107" s="4"/>
      <c r="T107" s="4"/>
      <c r="U107" s="4"/>
      <c r="V107" s="4"/>
      <c r="W107" s="4"/>
    </row>
    <row r="108" spans="14:23" x14ac:dyDescent="0.25">
      <c r="N108" s="4"/>
      <c r="O108" s="4"/>
      <c r="P108" s="4"/>
      <c r="Q108" s="4"/>
      <c r="R108" s="4"/>
      <c r="S108" s="4"/>
      <c r="T108" s="4"/>
      <c r="U108" s="4"/>
      <c r="V108" s="4"/>
      <c r="W108" s="4"/>
    </row>
    <row r="109" spans="14:23" x14ac:dyDescent="0.25">
      <c r="N109" s="4"/>
      <c r="O109" s="4"/>
      <c r="P109" s="4"/>
      <c r="Q109" s="4"/>
      <c r="R109" s="4"/>
      <c r="S109" s="4"/>
      <c r="T109" s="4"/>
      <c r="U109" s="4"/>
      <c r="V109" s="4"/>
      <c r="W109" s="4"/>
    </row>
    <row r="110" spans="14:23" x14ac:dyDescent="0.25">
      <c r="N110" s="4"/>
      <c r="O110" s="4"/>
      <c r="P110" s="4"/>
      <c r="Q110" s="4"/>
      <c r="R110" s="4"/>
      <c r="S110" s="4"/>
      <c r="T110" s="4"/>
      <c r="U110" s="4"/>
      <c r="V110" s="4"/>
      <c r="W110" s="4"/>
    </row>
    <row r="111" spans="14:23" x14ac:dyDescent="0.25">
      <c r="N111" s="4"/>
      <c r="O111" s="4"/>
      <c r="P111" s="4"/>
      <c r="Q111" s="4"/>
      <c r="R111" s="4"/>
      <c r="S111" s="4"/>
      <c r="T111" s="4"/>
      <c r="U111" s="4"/>
      <c r="V111" s="4"/>
      <c r="W111" s="4"/>
    </row>
    <row r="112" spans="14:23" x14ac:dyDescent="0.25">
      <c r="N112" s="4"/>
      <c r="O112" s="4"/>
      <c r="P112" s="4"/>
      <c r="Q112" s="4"/>
      <c r="R112" s="4"/>
      <c r="S112" s="4"/>
      <c r="T112" s="4"/>
      <c r="U112" s="4"/>
      <c r="V112" s="4"/>
      <c r="W112" s="4"/>
    </row>
    <row r="113" spans="14:23" x14ac:dyDescent="0.25">
      <c r="N113" s="4"/>
      <c r="O113" s="4"/>
      <c r="P113" s="4"/>
      <c r="Q113" s="4"/>
      <c r="R113" s="4"/>
      <c r="S113" s="4"/>
      <c r="T113" s="4"/>
      <c r="U113" s="4"/>
      <c r="V113" s="4"/>
      <c r="W113" s="4"/>
    </row>
    <row r="114" spans="14:23" x14ac:dyDescent="0.25">
      <c r="N114" s="4"/>
      <c r="O114" s="4"/>
      <c r="P114" s="4"/>
      <c r="Q114" s="4"/>
      <c r="R114" s="4"/>
      <c r="S114" s="4"/>
      <c r="T114" s="4"/>
      <c r="U114" s="4"/>
      <c r="V114" s="4"/>
      <c r="W114" s="4"/>
    </row>
    <row r="115" spans="14:23" x14ac:dyDescent="0.25">
      <c r="N115" s="4"/>
      <c r="O115" s="4"/>
      <c r="P115" s="4"/>
      <c r="Q115" s="4"/>
      <c r="R115" s="4"/>
      <c r="S115" s="4"/>
      <c r="T115" s="4"/>
      <c r="U115" s="4"/>
      <c r="V115" s="4"/>
      <c r="W115" s="4"/>
    </row>
    <row r="116" spans="14:23" x14ac:dyDescent="0.25">
      <c r="N116" s="4"/>
      <c r="O116" s="4"/>
      <c r="P116" s="4"/>
      <c r="Q116" s="4"/>
      <c r="R116" s="4"/>
      <c r="S116" s="4"/>
      <c r="T116" s="4"/>
      <c r="U116" s="4"/>
      <c r="V116" s="4"/>
      <c r="W116" s="4"/>
    </row>
    <row r="117" spans="14:23" x14ac:dyDescent="0.25">
      <c r="N117" s="4"/>
      <c r="O117" s="4"/>
      <c r="P117" s="4"/>
      <c r="Q117" s="4"/>
      <c r="R117" s="4"/>
      <c r="S117" s="4"/>
      <c r="T117" s="4"/>
      <c r="U117" s="4"/>
      <c r="V117" s="4"/>
      <c r="W117" s="4"/>
    </row>
    <row r="118" spans="14:23" x14ac:dyDescent="0.25">
      <c r="N118" s="4"/>
      <c r="O118" s="4"/>
      <c r="P118" s="4"/>
      <c r="Q118" s="4"/>
      <c r="R118" s="4"/>
      <c r="S118" s="4"/>
      <c r="T118" s="4"/>
      <c r="U118" s="4"/>
      <c r="V118" s="4"/>
      <c r="W118" s="4"/>
    </row>
    <row r="119" spans="14:23" x14ac:dyDescent="0.25">
      <c r="N119" s="4"/>
      <c r="O119" s="4"/>
      <c r="P119" s="4"/>
      <c r="Q119" s="4"/>
      <c r="R119" s="4"/>
      <c r="S119" s="4"/>
      <c r="T119" s="4"/>
      <c r="U119" s="4"/>
      <c r="V119" s="4"/>
      <c r="W119" s="4"/>
    </row>
    <row r="120" spans="14:23" x14ac:dyDescent="0.25">
      <c r="N120" s="4"/>
      <c r="O120" s="4"/>
      <c r="P120" s="4"/>
      <c r="Q120" s="4"/>
      <c r="R120" s="4"/>
      <c r="S120" s="4"/>
      <c r="T120" s="4"/>
      <c r="U120" s="4"/>
      <c r="V120" s="4"/>
      <c r="W120" s="4"/>
    </row>
    <row r="121" spans="14:23" x14ac:dyDescent="0.25">
      <c r="N121" s="4"/>
      <c r="O121" s="4"/>
      <c r="P121" s="4"/>
      <c r="Q121" s="4"/>
      <c r="R121" s="4"/>
      <c r="S121" s="4"/>
      <c r="T121" s="4"/>
      <c r="U121" s="4"/>
      <c r="V121" s="4"/>
      <c r="W121" s="4"/>
    </row>
    <row r="122" spans="14:23" x14ac:dyDescent="0.25">
      <c r="N122" s="4"/>
      <c r="O122" s="4"/>
      <c r="P122" s="4"/>
      <c r="Q122" s="4"/>
      <c r="R122" s="4"/>
      <c r="S122" s="4"/>
      <c r="T122" s="4"/>
      <c r="U122" s="4"/>
      <c r="V122" s="4"/>
      <c r="W122" s="4"/>
    </row>
    <row r="123" spans="14:23" x14ac:dyDescent="0.25">
      <c r="N123" s="4"/>
      <c r="O123" s="4"/>
      <c r="P123" s="4"/>
      <c r="Q123" s="4"/>
      <c r="R123" s="4"/>
      <c r="S123" s="4"/>
      <c r="T123" s="4"/>
      <c r="U123" s="4"/>
      <c r="V123" s="4"/>
      <c r="W123" s="4"/>
    </row>
    <row r="124" spans="14:23" x14ac:dyDescent="0.25">
      <c r="N124" s="4"/>
      <c r="O124" s="4"/>
      <c r="P124" s="4"/>
      <c r="Q124" s="4"/>
      <c r="R124" s="4"/>
      <c r="S124" s="4"/>
      <c r="T124" s="4"/>
      <c r="U124" s="4"/>
      <c r="V124" s="4"/>
      <c r="W124" s="4"/>
    </row>
    <row r="125" spans="14:23" x14ac:dyDescent="0.25">
      <c r="N125" s="4"/>
      <c r="O125" s="4"/>
      <c r="P125" s="4"/>
      <c r="Q125" s="4"/>
      <c r="R125" s="4"/>
      <c r="S125" s="4"/>
      <c r="T125" s="4"/>
      <c r="U125" s="4"/>
      <c r="V125" s="4"/>
      <c r="W125" s="4"/>
    </row>
    <row r="126" spans="14:23" x14ac:dyDescent="0.25">
      <c r="N126" s="4"/>
      <c r="O126" s="4"/>
      <c r="P126" s="4"/>
      <c r="Q126" s="4"/>
      <c r="R126" s="4"/>
      <c r="S126" s="4"/>
      <c r="T126" s="4"/>
      <c r="U126" s="4"/>
      <c r="V126" s="4"/>
      <c r="W126" s="4"/>
    </row>
    <row r="127" spans="14:23" x14ac:dyDescent="0.25">
      <c r="N127" s="4"/>
      <c r="O127" s="4"/>
      <c r="P127" s="4"/>
      <c r="Q127" s="4"/>
      <c r="R127" s="4"/>
      <c r="S127" s="4"/>
      <c r="T127" s="4"/>
      <c r="U127" s="4"/>
      <c r="V127" s="4"/>
      <c r="W127" s="4"/>
    </row>
    <row r="128" spans="14:23" x14ac:dyDescent="0.25">
      <c r="N128" s="4"/>
      <c r="O128" s="4"/>
      <c r="P128" s="4"/>
      <c r="Q128" s="4"/>
      <c r="R128" s="4"/>
      <c r="S128" s="4"/>
      <c r="T128" s="4"/>
      <c r="U128" s="4"/>
      <c r="V128" s="4"/>
      <c r="W128" s="4"/>
    </row>
    <row r="129" spans="14:23" x14ac:dyDescent="0.25">
      <c r="N129" s="4"/>
      <c r="O129" s="4"/>
      <c r="P129" s="4"/>
      <c r="Q129" s="4"/>
      <c r="R129" s="4"/>
      <c r="S129" s="4"/>
      <c r="T129" s="4"/>
      <c r="U129" s="4"/>
      <c r="V129" s="4"/>
      <c r="W129" s="4"/>
    </row>
    <row r="130" spans="14:23" x14ac:dyDescent="0.25">
      <c r="N130" s="4"/>
      <c r="O130" s="4"/>
      <c r="P130" s="4"/>
      <c r="Q130" s="4"/>
      <c r="R130" s="4"/>
      <c r="S130" s="4"/>
      <c r="T130" s="4"/>
      <c r="U130" s="4"/>
      <c r="V130" s="4"/>
      <c r="W130" s="4"/>
    </row>
    <row r="131" spans="14:23" x14ac:dyDescent="0.25">
      <c r="N131" s="4"/>
      <c r="O131" s="4"/>
      <c r="P131" s="4"/>
      <c r="Q131" s="4"/>
      <c r="R131" s="4"/>
      <c r="S131" s="4"/>
      <c r="T131" s="4"/>
      <c r="U131" s="4"/>
      <c r="V131" s="4"/>
      <c r="W131" s="4"/>
    </row>
    <row r="132" spans="14:23" x14ac:dyDescent="0.25">
      <c r="N132" s="4"/>
      <c r="O132" s="4"/>
      <c r="P132" s="4"/>
      <c r="Q132" s="4"/>
      <c r="R132" s="4"/>
      <c r="S132" s="4"/>
      <c r="T132" s="4"/>
      <c r="U132" s="4"/>
      <c r="V132" s="4"/>
      <c r="W132" s="4"/>
    </row>
    <row r="133" spans="14:23" x14ac:dyDescent="0.25">
      <c r="N133" s="4"/>
      <c r="O133" s="4"/>
      <c r="P133" s="4"/>
      <c r="Q133" s="4"/>
      <c r="R133" s="4"/>
      <c r="S133" s="4"/>
      <c r="T133" s="4"/>
      <c r="U133" s="4"/>
      <c r="V133" s="4"/>
      <c r="W133" s="4"/>
    </row>
    <row r="134" spans="14:23" x14ac:dyDescent="0.25">
      <c r="N134" s="4"/>
      <c r="O134" s="4"/>
      <c r="P134" s="4"/>
      <c r="Q134" s="4"/>
      <c r="R134" s="4"/>
      <c r="S134" s="4"/>
      <c r="T134" s="4"/>
      <c r="U134" s="4"/>
      <c r="V134" s="4"/>
      <c r="W134" s="4"/>
    </row>
    <row r="135" spans="14:23" x14ac:dyDescent="0.25">
      <c r="N135" s="4"/>
      <c r="O135" s="4"/>
      <c r="P135" s="4"/>
      <c r="Q135" s="4"/>
      <c r="R135" s="4"/>
      <c r="S135" s="4"/>
      <c r="T135" s="4"/>
      <c r="U135" s="4"/>
      <c r="V135" s="4"/>
      <c r="W135" s="4"/>
    </row>
    <row r="136" spans="14:23" x14ac:dyDescent="0.25">
      <c r="N136" s="4"/>
      <c r="O136" s="4"/>
      <c r="P136" s="4"/>
      <c r="Q136" s="4"/>
      <c r="R136" s="4"/>
      <c r="S136" s="4"/>
      <c r="T136" s="4"/>
      <c r="U136" s="4"/>
      <c r="V136" s="4"/>
      <c r="W136" s="4"/>
    </row>
    <row r="137" spans="14:23" x14ac:dyDescent="0.25">
      <c r="N137" s="4"/>
      <c r="O137" s="4"/>
      <c r="P137" s="4"/>
      <c r="Q137" s="4"/>
      <c r="R137" s="4"/>
      <c r="S137" s="4"/>
      <c r="T137" s="4"/>
      <c r="U137" s="4"/>
      <c r="V137" s="4"/>
      <c r="W137" s="4"/>
    </row>
    <row r="138" spans="14:23" x14ac:dyDescent="0.25">
      <c r="N138" s="4"/>
      <c r="O138" s="4"/>
      <c r="P138" s="4"/>
      <c r="Q138" s="4"/>
      <c r="R138" s="4"/>
      <c r="S138" s="4"/>
      <c r="T138" s="4"/>
      <c r="U138" s="4"/>
      <c r="V138" s="4"/>
      <c r="W138" s="4"/>
    </row>
    <row r="139" spans="14:23" x14ac:dyDescent="0.25">
      <c r="N139" s="4"/>
      <c r="O139" s="4"/>
      <c r="P139" s="4"/>
      <c r="Q139" s="4"/>
      <c r="R139" s="4"/>
      <c r="S139" s="4"/>
      <c r="T139" s="4"/>
      <c r="U139" s="4"/>
      <c r="V139" s="4"/>
      <c r="W139" s="4"/>
    </row>
    <row r="140" spans="14:23" x14ac:dyDescent="0.25">
      <c r="N140" s="4"/>
      <c r="O140" s="4"/>
      <c r="P140" s="4"/>
      <c r="Q140" s="4"/>
      <c r="R140" s="4"/>
      <c r="S140" s="4"/>
      <c r="T140" s="4"/>
      <c r="U140" s="4"/>
      <c r="V140" s="4"/>
      <c r="W140" s="4"/>
    </row>
    <row r="141" spans="14:23" x14ac:dyDescent="0.25">
      <c r="N141" s="4"/>
      <c r="O141" s="4"/>
      <c r="P141" s="4"/>
      <c r="Q141" s="4"/>
      <c r="R141" s="4"/>
      <c r="S141" s="4"/>
      <c r="T141" s="4"/>
      <c r="U141" s="4"/>
      <c r="V141" s="4"/>
      <c r="W141" s="4"/>
    </row>
    <row r="142" spans="14:23" x14ac:dyDescent="0.25">
      <c r="N142" s="4"/>
      <c r="O142" s="4"/>
      <c r="P142" s="4"/>
      <c r="Q142" s="4"/>
      <c r="R142" s="4"/>
      <c r="S142" s="4"/>
      <c r="T142" s="4"/>
      <c r="U142" s="4"/>
      <c r="V142" s="4"/>
      <c r="W142" s="4"/>
    </row>
    <row r="143" spans="14:23" x14ac:dyDescent="0.25">
      <c r="N143" s="4"/>
      <c r="O143" s="4"/>
      <c r="P143" s="4"/>
      <c r="Q143" s="4"/>
      <c r="R143" s="4"/>
      <c r="S143" s="4"/>
      <c r="T143" s="4"/>
      <c r="U143" s="4"/>
      <c r="V143" s="4"/>
      <c r="W143" s="4"/>
    </row>
    <row r="144" spans="14:23" x14ac:dyDescent="0.25">
      <c r="N144" s="4"/>
      <c r="O144" s="4"/>
      <c r="P144" s="4"/>
      <c r="Q144" s="4"/>
      <c r="R144" s="4"/>
      <c r="S144" s="4"/>
      <c r="T144" s="4"/>
      <c r="U144" s="4"/>
      <c r="V144" s="4"/>
      <c r="W144" s="4"/>
    </row>
    <row r="145" spans="14:23" x14ac:dyDescent="0.25">
      <c r="N145" s="4"/>
      <c r="O145" s="4"/>
      <c r="P145" s="4"/>
      <c r="Q145" s="4"/>
      <c r="R145" s="4"/>
      <c r="S145" s="4"/>
      <c r="T145" s="4"/>
      <c r="U145" s="4"/>
      <c r="V145" s="4"/>
      <c r="W145" s="4"/>
    </row>
    <row r="146" spans="14:23" x14ac:dyDescent="0.25">
      <c r="N146" s="4"/>
      <c r="O146" s="4"/>
      <c r="P146" s="4"/>
      <c r="Q146" s="4"/>
      <c r="R146" s="4"/>
      <c r="S146" s="4"/>
      <c r="T146" s="4"/>
      <c r="U146" s="4"/>
      <c r="V146" s="4"/>
      <c r="W146" s="4"/>
    </row>
    <row r="147" spans="14:23" x14ac:dyDescent="0.25">
      <c r="N147" s="4"/>
      <c r="O147" s="4"/>
      <c r="P147" s="4"/>
      <c r="Q147" s="4"/>
      <c r="R147" s="4"/>
      <c r="S147" s="4"/>
      <c r="T147" s="4"/>
      <c r="U147" s="4"/>
      <c r="V147" s="4"/>
      <c r="W147" s="4"/>
    </row>
    <row r="148" spans="14:23" x14ac:dyDescent="0.25">
      <c r="N148" s="4"/>
      <c r="O148" s="4"/>
      <c r="P148" s="4"/>
      <c r="Q148" s="4"/>
      <c r="R148" s="4"/>
      <c r="S148" s="4"/>
      <c r="T148" s="4"/>
      <c r="U148" s="4"/>
      <c r="V148" s="4"/>
      <c r="W148" s="4"/>
    </row>
    <row r="149" spans="14:23" x14ac:dyDescent="0.25">
      <c r="N149" s="4"/>
      <c r="O149" s="4"/>
      <c r="P149" s="4"/>
      <c r="Q149" s="4"/>
      <c r="R149" s="4"/>
      <c r="S149" s="4"/>
      <c r="T149" s="4"/>
      <c r="U149" s="4"/>
      <c r="V149" s="4"/>
      <c r="W149" s="4"/>
    </row>
    <row r="150" spans="14:23" x14ac:dyDescent="0.25">
      <c r="N150" s="4"/>
      <c r="O150" s="4"/>
      <c r="P150" s="4"/>
      <c r="Q150" s="4"/>
      <c r="R150" s="4"/>
      <c r="S150" s="4"/>
      <c r="T150" s="4"/>
      <c r="U150" s="4"/>
      <c r="V150" s="4"/>
      <c r="W150" s="4"/>
    </row>
    <row r="151" spans="14:23" x14ac:dyDescent="0.25">
      <c r="N151" s="4"/>
      <c r="O151" s="4"/>
      <c r="P151" s="4"/>
      <c r="Q151" s="4"/>
      <c r="R151" s="4"/>
      <c r="S151" s="4"/>
      <c r="T151" s="4"/>
      <c r="U151" s="4"/>
      <c r="V151" s="4"/>
      <c r="W151" s="4"/>
    </row>
    <row r="152" spans="14:23" x14ac:dyDescent="0.25">
      <c r="N152" s="4"/>
      <c r="O152" s="4"/>
      <c r="P152" s="4"/>
      <c r="Q152" s="4"/>
      <c r="R152" s="4"/>
      <c r="S152" s="4"/>
      <c r="T152" s="4"/>
      <c r="U152" s="4"/>
      <c r="V152" s="4"/>
      <c r="W152" s="4"/>
    </row>
    <row r="153" spans="14:23" x14ac:dyDescent="0.25">
      <c r="N153" s="4"/>
      <c r="O153" s="4"/>
      <c r="P153" s="4"/>
      <c r="Q153" s="4"/>
      <c r="R153" s="4"/>
      <c r="S153" s="4"/>
      <c r="T153" s="4"/>
      <c r="U153" s="4"/>
      <c r="V153" s="4"/>
      <c r="W153" s="4"/>
    </row>
    <row r="154" spans="14:23" x14ac:dyDescent="0.25">
      <c r="N154" s="4"/>
      <c r="O154" s="4"/>
      <c r="P154" s="4"/>
      <c r="Q154" s="4"/>
      <c r="R154" s="4"/>
      <c r="S154" s="4"/>
      <c r="T154" s="4"/>
      <c r="U154" s="4"/>
      <c r="V154" s="4"/>
      <c r="W154" s="4"/>
    </row>
    <row r="155" spans="14:23" x14ac:dyDescent="0.25">
      <c r="N155" s="4"/>
      <c r="O155" s="4"/>
      <c r="P155" s="4"/>
      <c r="Q155" s="4"/>
      <c r="R155" s="4"/>
      <c r="S155" s="4"/>
      <c r="T155" s="4"/>
      <c r="U155" s="4"/>
      <c r="V155" s="4"/>
      <c r="W155" s="4"/>
    </row>
    <row r="156" spans="14:23" x14ac:dyDescent="0.25">
      <c r="N156" s="4"/>
      <c r="O156" s="4"/>
      <c r="P156" s="4"/>
      <c r="Q156" s="4"/>
      <c r="R156" s="4"/>
      <c r="S156" s="4"/>
      <c r="T156" s="4"/>
      <c r="U156" s="4"/>
      <c r="V156" s="4"/>
      <c r="W156" s="4"/>
    </row>
    <row r="157" spans="14:23" x14ac:dyDescent="0.25">
      <c r="N157" s="4"/>
      <c r="O157" s="4"/>
      <c r="P157" s="4"/>
      <c r="Q157" s="4"/>
      <c r="R157" s="4"/>
      <c r="S157" s="4"/>
      <c r="T157" s="4"/>
      <c r="U157" s="4"/>
      <c r="V157" s="4"/>
      <c r="W157" s="4"/>
    </row>
    <row r="158" spans="14:23" x14ac:dyDescent="0.25">
      <c r="N158" s="4"/>
      <c r="O158" s="4"/>
      <c r="P158" s="4"/>
      <c r="Q158" s="4"/>
      <c r="R158" s="4"/>
      <c r="S158" s="4"/>
      <c r="T158" s="4"/>
      <c r="U158" s="4"/>
      <c r="V158" s="4"/>
      <c r="W158" s="4"/>
    </row>
    <row r="159" spans="14:23" x14ac:dyDescent="0.25">
      <c r="N159" s="4"/>
      <c r="O159" s="4"/>
      <c r="P159" s="4"/>
      <c r="Q159" s="4"/>
      <c r="R159" s="4"/>
      <c r="S159" s="4"/>
      <c r="T159" s="4"/>
      <c r="U159" s="4"/>
      <c r="V159" s="4"/>
      <c r="W159" s="4"/>
    </row>
    <row r="160" spans="14:23" x14ac:dyDescent="0.25">
      <c r="N160" s="4"/>
      <c r="O160" s="4"/>
      <c r="P160" s="4"/>
      <c r="Q160" s="4"/>
      <c r="R160" s="4"/>
      <c r="S160" s="4"/>
      <c r="T160" s="4"/>
      <c r="U160" s="4"/>
      <c r="V160" s="4"/>
      <c r="W160" s="4"/>
    </row>
    <row r="161" spans="14:23" x14ac:dyDescent="0.25">
      <c r="N161" s="4"/>
      <c r="O161" s="4"/>
      <c r="P161" s="4"/>
      <c r="Q161" s="4"/>
      <c r="R161" s="4"/>
      <c r="S161" s="4"/>
      <c r="T161" s="4"/>
      <c r="U161" s="4"/>
      <c r="V161" s="4"/>
      <c r="W161" s="4"/>
    </row>
    <row r="162" spans="14:23" x14ac:dyDescent="0.25">
      <c r="N162" s="4"/>
      <c r="O162" s="4"/>
      <c r="P162" s="4"/>
      <c r="Q162" s="4"/>
      <c r="R162" s="4"/>
      <c r="S162" s="4"/>
      <c r="T162" s="4"/>
      <c r="U162" s="4"/>
      <c r="V162" s="4"/>
      <c r="W162" s="4"/>
    </row>
    <row r="163" spans="14:23" x14ac:dyDescent="0.25">
      <c r="N163" s="4"/>
      <c r="O163" s="4"/>
      <c r="P163" s="4"/>
      <c r="Q163" s="4"/>
      <c r="R163" s="4"/>
      <c r="S163" s="4"/>
      <c r="T163" s="4"/>
      <c r="U163" s="4"/>
      <c r="V163" s="4"/>
      <c r="W163" s="4"/>
    </row>
    <row r="164" spans="14:23" x14ac:dyDescent="0.25">
      <c r="N164" s="4"/>
      <c r="O164" s="4"/>
      <c r="P164" s="4"/>
      <c r="Q164" s="4"/>
      <c r="R164" s="4"/>
      <c r="S164" s="4"/>
      <c r="T164" s="4"/>
      <c r="U164" s="4"/>
      <c r="V164" s="4"/>
      <c r="W164" s="4"/>
    </row>
    <row r="165" spans="14:23" x14ac:dyDescent="0.25">
      <c r="N165" s="4"/>
      <c r="O165" s="4"/>
      <c r="P165" s="4"/>
      <c r="Q165" s="4"/>
      <c r="R165" s="4"/>
      <c r="S165" s="4"/>
      <c r="T165" s="4"/>
      <c r="U165" s="4"/>
      <c r="V165" s="4"/>
      <c r="W165" s="4"/>
    </row>
    <row r="166" spans="14:23" x14ac:dyDescent="0.25">
      <c r="N166" s="4"/>
      <c r="O166" s="4"/>
      <c r="P166" s="4"/>
      <c r="Q166" s="4"/>
      <c r="R166" s="4"/>
      <c r="S166" s="4"/>
      <c r="T166" s="4"/>
      <c r="U166" s="4"/>
      <c r="V166" s="4"/>
      <c r="W166" s="4"/>
    </row>
    <row r="167" spans="14:23" x14ac:dyDescent="0.25">
      <c r="N167" s="4"/>
      <c r="O167" s="4"/>
      <c r="P167" s="4"/>
      <c r="Q167" s="4"/>
      <c r="R167" s="4"/>
      <c r="S167" s="4"/>
      <c r="T167" s="4"/>
      <c r="U167" s="4"/>
      <c r="V167" s="4"/>
      <c r="W167" s="4"/>
    </row>
    <row r="168" spans="14:23" x14ac:dyDescent="0.25">
      <c r="N168" s="4"/>
      <c r="O168" s="4"/>
      <c r="P168" s="4"/>
      <c r="Q168" s="4"/>
      <c r="R168" s="4"/>
      <c r="S168" s="4"/>
      <c r="T168" s="4"/>
      <c r="U168" s="4"/>
      <c r="V168" s="4"/>
      <c r="W168" s="4"/>
    </row>
    <row r="169" spans="14:23" x14ac:dyDescent="0.25">
      <c r="N169" s="4"/>
      <c r="O169" s="4"/>
      <c r="P169" s="4"/>
      <c r="Q169" s="4"/>
      <c r="R169" s="4"/>
      <c r="S169" s="4"/>
      <c r="T169" s="4"/>
      <c r="U169" s="4"/>
      <c r="V169" s="4"/>
      <c r="W169" s="4"/>
    </row>
    <row r="170" spans="14:23" x14ac:dyDescent="0.25">
      <c r="N170" s="4"/>
      <c r="O170" s="4"/>
      <c r="P170" s="4"/>
      <c r="Q170" s="4"/>
      <c r="R170" s="4"/>
      <c r="S170" s="4"/>
      <c r="T170" s="4"/>
      <c r="U170" s="4"/>
      <c r="V170" s="4"/>
      <c r="W170" s="4"/>
    </row>
    <row r="171" spans="14:23" x14ac:dyDescent="0.25">
      <c r="N171" s="4"/>
      <c r="O171" s="4"/>
      <c r="P171" s="4"/>
      <c r="Q171" s="4"/>
      <c r="R171" s="4"/>
      <c r="S171" s="4"/>
      <c r="T171" s="4"/>
      <c r="U171" s="4"/>
      <c r="V171" s="4"/>
      <c r="W171" s="4"/>
    </row>
    <row r="172" spans="14:23" x14ac:dyDescent="0.25">
      <c r="N172" s="4"/>
      <c r="O172" s="4"/>
      <c r="P172" s="4"/>
      <c r="Q172" s="4"/>
      <c r="R172" s="4"/>
      <c r="S172" s="4"/>
      <c r="T172" s="4"/>
      <c r="U172" s="4"/>
      <c r="V172" s="4"/>
      <c r="W172" s="4"/>
    </row>
    <row r="173" spans="14:23" x14ac:dyDescent="0.25">
      <c r="N173" s="4"/>
      <c r="O173" s="4"/>
      <c r="P173" s="4"/>
      <c r="Q173" s="4"/>
      <c r="R173" s="4"/>
      <c r="S173" s="4"/>
      <c r="T173" s="4"/>
      <c r="U173" s="4"/>
      <c r="V173" s="4"/>
      <c r="W173" s="4"/>
    </row>
    <row r="174" spans="14:23" x14ac:dyDescent="0.25">
      <c r="N174" s="4"/>
      <c r="O174" s="4"/>
      <c r="P174" s="4"/>
      <c r="Q174" s="4"/>
      <c r="R174" s="4"/>
      <c r="S174" s="4"/>
      <c r="T174" s="4"/>
      <c r="U174" s="4"/>
      <c r="V174" s="4"/>
      <c r="W174" s="4"/>
    </row>
    <row r="175" spans="14:23" x14ac:dyDescent="0.25">
      <c r="N175" s="4"/>
      <c r="O175" s="4"/>
      <c r="P175" s="4"/>
      <c r="Q175" s="4"/>
      <c r="R175" s="4"/>
      <c r="S175" s="4"/>
      <c r="T175" s="4"/>
      <c r="U175" s="4"/>
      <c r="V175" s="4"/>
      <c r="W175" s="4"/>
    </row>
    <row r="176" spans="14:23" x14ac:dyDescent="0.25">
      <c r="N176" s="4"/>
      <c r="O176" s="4"/>
      <c r="P176" s="4"/>
      <c r="Q176" s="4"/>
      <c r="R176" s="4"/>
      <c r="S176" s="4"/>
      <c r="T176" s="4"/>
      <c r="U176" s="4"/>
      <c r="V176" s="4"/>
      <c r="W176" s="4"/>
    </row>
    <row r="177" spans="14:23" x14ac:dyDescent="0.25">
      <c r="N177" s="4"/>
      <c r="O177" s="4"/>
      <c r="P177" s="4"/>
      <c r="Q177" s="4"/>
      <c r="R177" s="4"/>
      <c r="S177" s="4"/>
      <c r="T177" s="4"/>
      <c r="U177" s="4"/>
      <c r="V177" s="4"/>
      <c r="W177" s="4"/>
    </row>
    <row r="178" spans="14:23" x14ac:dyDescent="0.25">
      <c r="N178" s="4"/>
      <c r="O178" s="4"/>
      <c r="P178" s="4"/>
      <c r="Q178" s="4"/>
      <c r="R178" s="4"/>
      <c r="S178" s="4"/>
      <c r="T178" s="4"/>
      <c r="U178" s="4"/>
      <c r="V178" s="4"/>
      <c r="W178" s="4"/>
    </row>
    <row r="179" spans="14:23" x14ac:dyDescent="0.25">
      <c r="N179" s="4"/>
      <c r="O179" s="4"/>
      <c r="P179" s="4"/>
      <c r="Q179" s="4"/>
      <c r="R179" s="4"/>
      <c r="S179" s="4"/>
      <c r="T179" s="4"/>
      <c r="U179" s="4"/>
      <c r="V179" s="4"/>
      <c r="W179" s="4"/>
    </row>
    <row r="180" spans="14:23" x14ac:dyDescent="0.25">
      <c r="N180" s="4"/>
      <c r="O180" s="4"/>
      <c r="P180" s="4"/>
      <c r="Q180" s="4"/>
      <c r="R180" s="4"/>
      <c r="S180" s="4"/>
      <c r="T180" s="4"/>
      <c r="U180" s="4"/>
      <c r="V180" s="4"/>
      <c r="W180" s="4"/>
    </row>
    <row r="181" spans="14:23" x14ac:dyDescent="0.25">
      <c r="N181" s="4"/>
      <c r="O181" s="4"/>
      <c r="P181" s="4"/>
      <c r="Q181" s="4"/>
      <c r="R181" s="4"/>
      <c r="S181" s="4"/>
      <c r="T181" s="4"/>
      <c r="U181" s="4"/>
      <c r="V181" s="4"/>
      <c r="W181" s="4"/>
    </row>
    <row r="182" spans="14:23" x14ac:dyDescent="0.25">
      <c r="N182" s="4"/>
      <c r="O182" s="4"/>
      <c r="P182" s="4"/>
      <c r="Q182" s="4"/>
      <c r="R182" s="4"/>
      <c r="S182" s="4"/>
      <c r="T182" s="4"/>
      <c r="U182" s="4"/>
      <c r="V182" s="4"/>
      <c r="W182" s="4"/>
    </row>
    <row r="183" spans="14:23" x14ac:dyDescent="0.25">
      <c r="N183" s="4"/>
      <c r="O183" s="4"/>
      <c r="P183" s="4"/>
      <c r="Q183" s="4"/>
      <c r="R183" s="4"/>
      <c r="S183" s="4"/>
      <c r="T183" s="4"/>
      <c r="U183" s="4"/>
      <c r="V183" s="4"/>
      <c r="W183" s="4"/>
    </row>
    <row r="184" spans="14:23" x14ac:dyDescent="0.25">
      <c r="N184" s="4"/>
      <c r="O184" s="4"/>
      <c r="P184" s="4"/>
      <c r="Q184" s="4"/>
      <c r="R184" s="4"/>
      <c r="S184" s="4"/>
      <c r="T184" s="4"/>
      <c r="U184" s="4"/>
      <c r="V184" s="4"/>
      <c r="W184" s="4"/>
    </row>
    <row r="185" spans="14:23" x14ac:dyDescent="0.25">
      <c r="N185" s="4"/>
      <c r="O185" s="4"/>
      <c r="P185" s="4"/>
      <c r="Q185" s="4"/>
      <c r="R185" s="4"/>
      <c r="S185" s="4"/>
      <c r="T185" s="4"/>
      <c r="U185" s="4"/>
      <c r="V185" s="4"/>
      <c r="W185" s="4"/>
    </row>
    <row r="186" spans="14:23" x14ac:dyDescent="0.25">
      <c r="N186" s="4"/>
      <c r="O186" s="4"/>
      <c r="P186" s="4"/>
      <c r="Q186" s="4"/>
      <c r="R186" s="4"/>
      <c r="S186" s="4"/>
      <c r="T186" s="4"/>
      <c r="U186" s="4"/>
      <c r="V186" s="4"/>
      <c r="W186" s="4"/>
    </row>
    <row r="187" spans="14:23" x14ac:dyDescent="0.25">
      <c r="N187" s="4"/>
      <c r="O187" s="4"/>
      <c r="P187" s="4"/>
      <c r="Q187" s="4"/>
      <c r="R187" s="4"/>
      <c r="S187" s="4"/>
      <c r="T187" s="4"/>
      <c r="U187" s="4"/>
      <c r="V187" s="4"/>
      <c r="W187" s="4"/>
    </row>
    <row r="188" spans="14:23" x14ac:dyDescent="0.25">
      <c r="N188" s="4"/>
      <c r="O188" s="4"/>
      <c r="P188" s="4"/>
      <c r="Q188" s="4"/>
      <c r="R188" s="4"/>
      <c r="S188" s="4"/>
      <c r="T188" s="4"/>
      <c r="U188" s="4"/>
      <c r="V188" s="4"/>
      <c r="W188" s="4"/>
    </row>
    <row r="189" spans="14:23" x14ac:dyDescent="0.25">
      <c r="N189" s="4"/>
      <c r="O189" s="4"/>
      <c r="P189" s="4"/>
      <c r="Q189" s="4"/>
      <c r="R189" s="4"/>
      <c r="S189" s="4"/>
      <c r="T189" s="4"/>
      <c r="U189" s="4"/>
      <c r="V189" s="4"/>
      <c r="W189" s="4"/>
    </row>
    <row r="190" spans="14:23" x14ac:dyDescent="0.25">
      <c r="N190" s="4"/>
      <c r="O190" s="4"/>
      <c r="P190" s="4"/>
      <c r="Q190" s="4"/>
      <c r="R190" s="4"/>
      <c r="S190" s="4"/>
      <c r="T190" s="4"/>
      <c r="U190" s="4"/>
      <c r="V190" s="4"/>
      <c r="W190" s="4"/>
    </row>
    <row r="191" spans="14:23" x14ac:dyDescent="0.25">
      <c r="N191" s="4"/>
      <c r="O191" s="4"/>
      <c r="P191" s="4"/>
      <c r="Q191" s="4"/>
      <c r="R191" s="4"/>
      <c r="S191" s="4"/>
      <c r="T191" s="4"/>
      <c r="U191" s="4"/>
      <c r="V191" s="4"/>
      <c r="W191" s="4"/>
    </row>
    <row r="192" spans="14:23" x14ac:dyDescent="0.25">
      <c r="N192" s="4"/>
      <c r="O192" s="4"/>
      <c r="P192" s="4"/>
      <c r="Q192" s="4"/>
      <c r="R192" s="4"/>
      <c r="S192" s="4"/>
      <c r="T192" s="4"/>
      <c r="U192" s="4"/>
      <c r="V192" s="4"/>
      <c r="W192" s="4"/>
    </row>
    <row r="193" spans="14:23" x14ac:dyDescent="0.25">
      <c r="N193" s="4"/>
      <c r="O193" s="4"/>
      <c r="P193" s="4"/>
      <c r="Q193" s="4"/>
      <c r="R193" s="4"/>
      <c r="S193" s="4"/>
      <c r="T193" s="4"/>
      <c r="U193" s="4"/>
      <c r="V193" s="4"/>
      <c r="W193" s="4"/>
    </row>
    <row r="194" spans="14:23" x14ac:dyDescent="0.25">
      <c r="N194" s="4"/>
      <c r="O194" s="4"/>
      <c r="P194" s="4"/>
      <c r="Q194" s="4"/>
      <c r="R194" s="4"/>
      <c r="S194" s="4"/>
      <c r="T194" s="4"/>
      <c r="U194" s="4"/>
      <c r="V194" s="4"/>
      <c r="W194" s="4"/>
    </row>
    <row r="195" spans="14:23" x14ac:dyDescent="0.25">
      <c r="N195" s="4"/>
      <c r="O195" s="4"/>
      <c r="P195" s="4"/>
      <c r="Q195" s="4"/>
      <c r="R195" s="4"/>
      <c r="S195" s="4"/>
      <c r="T195" s="4"/>
      <c r="U195" s="4"/>
      <c r="V195" s="4"/>
      <c r="W195" s="4"/>
    </row>
    <row r="196" spans="14:23" x14ac:dyDescent="0.25">
      <c r="N196" s="4"/>
      <c r="O196" s="4"/>
      <c r="P196" s="4"/>
      <c r="Q196" s="4"/>
      <c r="R196" s="4"/>
      <c r="S196" s="4"/>
      <c r="T196" s="4"/>
      <c r="U196" s="4"/>
      <c r="V196" s="4"/>
      <c r="W196" s="4"/>
    </row>
    <row r="197" spans="14:23" x14ac:dyDescent="0.25">
      <c r="N197" s="4"/>
      <c r="O197" s="4"/>
      <c r="P197" s="4"/>
      <c r="Q197" s="4"/>
      <c r="R197" s="4"/>
      <c r="S197" s="4"/>
      <c r="T197" s="4"/>
      <c r="U197" s="4"/>
      <c r="V197" s="4"/>
      <c r="W197" s="4"/>
    </row>
    <row r="198" spans="14:23" x14ac:dyDescent="0.25">
      <c r="N198" s="4"/>
      <c r="O198" s="4"/>
      <c r="P198" s="4"/>
      <c r="Q198" s="4"/>
      <c r="R198" s="4"/>
      <c r="S198" s="4"/>
      <c r="T198" s="4"/>
      <c r="U198" s="4"/>
      <c r="V198" s="4"/>
      <c r="W198" s="4"/>
    </row>
    <row r="199" spans="14:23" x14ac:dyDescent="0.25">
      <c r="N199" s="4"/>
      <c r="O199" s="4"/>
      <c r="P199" s="4"/>
      <c r="Q199" s="4"/>
      <c r="R199" s="4"/>
      <c r="S199" s="4"/>
      <c r="T199" s="4"/>
      <c r="U199" s="4"/>
      <c r="V199" s="4"/>
      <c r="W199" s="4"/>
    </row>
    <row r="200" spans="14:23" x14ac:dyDescent="0.25">
      <c r="N200" s="4"/>
      <c r="O200" s="4"/>
      <c r="P200" s="4"/>
      <c r="Q200" s="4"/>
      <c r="R200" s="4"/>
      <c r="S200" s="4"/>
      <c r="T200" s="4"/>
      <c r="U200" s="4"/>
      <c r="V200" s="4"/>
      <c r="W200" s="4"/>
    </row>
    <row r="201" spans="14:23" x14ac:dyDescent="0.25">
      <c r="N201" s="4"/>
      <c r="O201" s="4"/>
      <c r="P201" s="4"/>
      <c r="Q201" s="4"/>
      <c r="R201" s="4"/>
      <c r="S201" s="4"/>
      <c r="T201" s="4"/>
      <c r="U201" s="4"/>
      <c r="V201" s="4"/>
      <c r="W201" s="4"/>
    </row>
    <row r="202" spans="14:23" x14ac:dyDescent="0.25">
      <c r="N202" s="4"/>
      <c r="O202" s="4"/>
      <c r="P202" s="4"/>
      <c r="Q202" s="4"/>
      <c r="R202" s="4"/>
      <c r="S202" s="4"/>
      <c r="T202" s="4"/>
      <c r="U202" s="4"/>
      <c r="V202" s="4"/>
      <c r="W202" s="4"/>
    </row>
    <row r="203" spans="14:23" x14ac:dyDescent="0.25">
      <c r="N203" s="4"/>
      <c r="O203" s="4"/>
      <c r="P203" s="4"/>
      <c r="Q203" s="4"/>
      <c r="R203" s="4"/>
      <c r="S203" s="4"/>
      <c r="T203" s="4"/>
      <c r="U203" s="4"/>
      <c r="V203" s="4"/>
      <c r="W203" s="4"/>
    </row>
    <row r="204" spans="14:23" x14ac:dyDescent="0.25">
      <c r="N204" s="4"/>
      <c r="O204" s="4"/>
      <c r="P204" s="4"/>
      <c r="Q204" s="4"/>
      <c r="R204" s="4"/>
      <c r="S204" s="4"/>
      <c r="T204" s="4"/>
      <c r="U204" s="4"/>
      <c r="V204" s="4"/>
      <c r="W204" s="4"/>
    </row>
    <row r="205" spans="14:23" x14ac:dyDescent="0.25">
      <c r="N205" s="4"/>
      <c r="O205" s="4"/>
      <c r="P205" s="4"/>
      <c r="Q205" s="4"/>
      <c r="R205" s="4"/>
      <c r="S205" s="4"/>
      <c r="T205" s="4"/>
      <c r="U205" s="4"/>
      <c r="V205" s="4"/>
      <c r="W205" s="4"/>
    </row>
    <row r="206" spans="14:23" x14ac:dyDescent="0.25">
      <c r="N206" s="4"/>
      <c r="O206" s="4"/>
      <c r="P206" s="4"/>
      <c r="Q206" s="4"/>
      <c r="R206" s="4"/>
      <c r="S206" s="4"/>
      <c r="T206" s="4"/>
      <c r="U206" s="4"/>
      <c r="V206" s="4"/>
      <c r="W206" s="4"/>
    </row>
    <row r="207" spans="14:23" x14ac:dyDescent="0.25">
      <c r="N207" s="4"/>
      <c r="O207" s="4"/>
      <c r="P207" s="4"/>
      <c r="Q207" s="4"/>
      <c r="R207" s="4"/>
      <c r="S207" s="4"/>
      <c r="T207" s="4"/>
      <c r="U207" s="4"/>
      <c r="V207" s="4"/>
      <c r="W207" s="4"/>
    </row>
    <row r="208" spans="14:23" x14ac:dyDescent="0.25">
      <c r="N208" s="4"/>
      <c r="O208" s="4"/>
      <c r="P208" s="4"/>
      <c r="Q208" s="4"/>
      <c r="R208" s="4"/>
      <c r="S208" s="4"/>
      <c r="T208" s="4"/>
      <c r="U208" s="4"/>
      <c r="V208" s="4"/>
      <c r="W208" s="4"/>
    </row>
    <row r="209" spans="14:23" x14ac:dyDescent="0.25">
      <c r="N209" s="4"/>
      <c r="O209" s="4"/>
      <c r="P209" s="4"/>
      <c r="Q209" s="4"/>
      <c r="R209" s="4"/>
      <c r="S209" s="4"/>
      <c r="T209" s="4"/>
      <c r="U209" s="4"/>
      <c r="V209" s="4"/>
      <c r="W209" s="4"/>
    </row>
    <row r="210" spans="14:23" x14ac:dyDescent="0.25">
      <c r="N210" s="4"/>
      <c r="O210" s="4"/>
      <c r="P210" s="4"/>
      <c r="Q210" s="4"/>
      <c r="R210" s="4"/>
      <c r="S210" s="4"/>
      <c r="T210" s="4"/>
      <c r="U210" s="4"/>
      <c r="V210" s="4"/>
      <c r="W210" s="4"/>
    </row>
    <row r="211" spans="14:23" x14ac:dyDescent="0.25">
      <c r="N211" s="4"/>
      <c r="O211" s="4"/>
      <c r="P211" s="4"/>
      <c r="Q211" s="4"/>
      <c r="R211" s="4"/>
      <c r="S211" s="4"/>
      <c r="T211" s="4"/>
      <c r="U211" s="4"/>
      <c r="V211" s="4"/>
      <c r="W211" s="4"/>
    </row>
    <row r="212" spans="14:23" x14ac:dyDescent="0.25">
      <c r="N212" s="4"/>
      <c r="O212" s="4"/>
      <c r="P212" s="4"/>
      <c r="Q212" s="4"/>
      <c r="R212" s="4"/>
      <c r="S212" s="4"/>
      <c r="T212" s="4"/>
      <c r="U212" s="4"/>
      <c r="V212" s="4"/>
      <c r="W212" s="4"/>
    </row>
    <row r="213" spans="14:23" x14ac:dyDescent="0.25">
      <c r="N213" s="4"/>
      <c r="O213" s="4"/>
      <c r="P213" s="4"/>
      <c r="Q213" s="4"/>
      <c r="R213" s="4"/>
      <c r="S213" s="4"/>
      <c r="T213" s="4"/>
      <c r="U213" s="4"/>
      <c r="V213" s="4"/>
      <c r="W213" s="4"/>
    </row>
    <row r="214" spans="14:23" x14ac:dyDescent="0.25">
      <c r="N214" s="4"/>
      <c r="O214" s="4"/>
      <c r="P214" s="4"/>
      <c r="Q214" s="4"/>
      <c r="R214" s="4"/>
      <c r="S214" s="4"/>
      <c r="T214" s="4"/>
      <c r="U214" s="4"/>
      <c r="V214" s="4"/>
      <c r="W214" s="4"/>
    </row>
    <row r="215" spans="14:23" x14ac:dyDescent="0.25">
      <c r="N215" s="4"/>
      <c r="O215" s="4"/>
      <c r="P215" s="4"/>
      <c r="Q215" s="4"/>
      <c r="R215" s="4"/>
      <c r="S215" s="4"/>
      <c r="T215" s="4"/>
      <c r="U215" s="4"/>
      <c r="V215" s="4"/>
      <c r="W215" s="4"/>
    </row>
    <row r="216" spans="14:23" x14ac:dyDescent="0.25">
      <c r="N216" s="4"/>
      <c r="O216" s="4"/>
      <c r="P216" s="4"/>
      <c r="Q216" s="4"/>
      <c r="R216" s="4"/>
      <c r="S216" s="4"/>
      <c r="T216" s="4"/>
      <c r="U216" s="4"/>
      <c r="V216" s="4"/>
      <c r="W216" s="4"/>
    </row>
    <row r="217" spans="14:23" x14ac:dyDescent="0.25">
      <c r="N217" s="4"/>
      <c r="O217" s="4"/>
      <c r="P217" s="4"/>
      <c r="Q217" s="4"/>
      <c r="R217" s="4"/>
      <c r="S217" s="4"/>
      <c r="T217" s="4"/>
      <c r="U217" s="4"/>
      <c r="V217" s="4"/>
      <c r="W217" s="4"/>
    </row>
    <row r="218" spans="14:23" x14ac:dyDescent="0.25">
      <c r="N218" s="4"/>
      <c r="O218" s="4"/>
      <c r="P218" s="4"/>
      <c r="Q218" s="4"/>
      <c r="R218" s="4"/>
      <c r="S218" s="4"/>
      <c r="T218" s="4"/>
      <c r="U218" s="4"/>
      <c r="V218" s="4"/>
      <c r="W218" s="4"/>
    </row>
    <row r="219" spans="14:23" x14ac:dyDescent="0.25">
      <c r="N219" s="4"/>
      <c r="O219" s="4"/>
      <c r="P219" s="4"/>
      <c r="Q219" s="4"/>
      <c r="R219" s="4"/>
      <c r="S219" s="4"/>
      <c r="T219" s="4"/>
      <c r="U219" s="4"/>
      <c r="V219" s="4"/>
      <c r="W219" s="4"/>
    </row>
    <row r="220" spans="14:23" x14ac:dyDescent="0.25">
      <c r="N220" s="4"/>
      <c r="O220" s="4"/>
      <c r="P220" s="4"/>
      <c r="Q220" s="4"/>
      <c r="R220" s="4"/>
      <c r="S220" s="4"/>
      <c r="T220" s="4"/>
      <c r="U220" s="4"/>
      <c r="V220" s="4"/>
      <c r="W220" s="4"/>
    </row>
    <row r="221" spans="14:23" x14ac:dyDescent="0.25">
      <c r="N221" s="4"/>
      <c r="O221" s="4"/>
      <c r="P221" s="4"/>
      <c r="Q221" s="4"/>
      <c r="R221" s="4"/>
      <c r="S221" s="4"/>
      <c r="T221" s="4"/>
      <c r="U221" s="4"/>
      <c r="V221" s="4"/>
      <c r="W221" s="4"/>
    </row>
    <row r="222" spans="14:23" x14ac:dyDescent="0.25">
      <c r="N222" s="4"/>
      <c r="O222" s="4"/>
      <c r="P222" s="4"/>
      <c r="Q222" s="4"/>
      <c r="R222" s="4"/>
      <c r="S222" s="4"/>
      <c r="T222" s="4"/>
      <c r="U222" s="4"/>
      <c r="V222" s="4"/>
      <c r="W222" s="4"/>
    </row>
    <row r="223" spans="14:23" x14ac:dyDescent="0.25">
      <c r="N223" s="4"/>
      <c r="O223" s="4"/>
      <c r="P223" s="4"/>
      <c r="Q223" s="4"/>
      <c r="R223" s="4"/>
      <c r="S223" s="4"/>
      <c r="T223" s="4"/>
      <c r="U223" s="4"/>
      <c r="V223" s="4"/>
      <c r="W223" s="4"/>
    </row>
    <row r="224" spans="14:23" x14ac:dyDescent="0.25">
      <c r="N224" s="4"/>
      <c r="O224" s="4"/>
      <c r="P224" s="4"/>
      <c r="Q224" s="4"/>
      <c r="R224" s="4"/>
      <c r="S224" s="4"/>
      <c r="T224" s="4"/>
      <c r="U224" s="4"/>
      <c r="V224" s="4"/>
      <c r="W224" s="4"/>
    </row>
    <row r="225" spans="14:23" x14ac:dyDescent="0.25">
      <c r="N225" s="4"/>
      <c r="O225" s="4"/>
      <c r="P225" s="4"/>
      <c r="Q225" s="4"/>
      <c r="R225" s="4"/>
      <c r="S225" s="4"/>
      <c r="T225" s="4"/>
      <c r="U225" s="4"/>
      <c r="V225" s="4"/>
      <c r="W225" s="4"/>
    </row>
    <row r="226" spans="14:23" x14ac:dyDescent="0.25">
      <c r="N226" s="4"/>
      <c r="O226" s="4"/>
      <c r="P226" s="4"/>
      <c r="Q226" s="4"/>
      <c r="R226" s="4"/>
      <c r="S226" s="4"/>
      <c r="T226" s="4"/>
      <c r="U226" s="4"/>
      <c r="V226" s="4"/>
      <c r="W226" s="4"/>
    </row>
    <row r="227" spans="14:23" x14ac:dyDescent="0.25">
      <c r="N227" s="4"/>
      <c r="O227" s="4"/>
      <c r="P227" s="4"/>
      <c r="Q227" s="4"/>
      <c r="R227" s="4"/>
      <c r="S227" s="4"/>
      <c r="T227" s="4"/>
      <c r="U227" s="4"/>
      <c r="V227" s="4"/>
      <c r="W227" s="4"/>
    </row>
    <row r="228" spans="14:23" x14ac:dyDescent="0.25">
      <c r="N228" s="4"/>
      <c r="O228" s="4"/>
      <c r="P228" s="4"/>
      <c r="Q228" s="4"/>
      <c r="R228" s="4"/>
      <c r="S228" s="4"/>
      <c r="T228" s="4"/>
      <c r="U228" s="4"/>
      <c r="V228" s="4"/>
      <c r="W228" s="4"/>
    </row>
    <row r="229" spans="14:23" x14ac:dyDescent="0.25">
      <c r="N229" s="4"/>
      <c r="O229" s="4"/>
      <c r="P229" s="4"/>
      <c r="Q229" s="4"/>
      <c r="R229" s="4"/>
      <c r="S229" s="4"/>
      <c r="T229" s="4"/>
      <c r="U229" s="4"/>
      <c r="V229" s="4"/>
      <c r="W229" s="4"/>
    </row>
    <row r="230" spans="14:23" x14ac:dyDescent="0.25">
      <c r="N230" s="4"/>
      <c r="O230" s="4"/>
      <c r="P230" s="4"/>
      <c r="Q230" s="4"/>
      <c r="R230" s="4"/>
      <c r="S230" s="4"/>
      <c r="T230" s="4"/>
      <c r="U230" s="4"/>
      <c r="V230" s="4"/>
      <c r="W230" s="4"/>
    </row>
    <row r="231" spans="14:23" x14ac:dyDescent="0.25">
      <c r="N231" s="4"/>
      <c r="O231" s="4"/>
      <c r="P231" s="4"/>
      <c r="Q231" s="4"/>
      <c r="R231" s="4"/>
      <c r="S231" s="4"/>
      <c r="T231" s="4"/>
      <c r="U231" s="4"/>
      <c r="V231" s="4"/>
      <c r="W231" s="4"/>
    </row>
    <row r="232" spans="14:23" x14ac:dyDescent="0.25">
      <c r="N232" s="4"/>
      <c r="O232" s="4"/>
      <c r="P232" s="4"/>
      <c r="Q232" s="4"/>
      <c r="R232" s="4"/>
      <c r="S232" s="4"/>
      <c r="T232" s="4"/>
      <c r="U232" s="4"/>
      <c r="V232" s="4"/>
      <c r="W232" s="4"/>
    </row>
    <row r="233" spans="14:23" x14ac:dyDescent="0.25">
      <c r="N233" s="4"/>
      <c r="O233" s="4"/>
      <c r="P233" s="4"/>
      <c r="Q233" s="4"/>
      <c r="R233" s="4"/>
      <c r="S233" s="4"/>
      <c r="T233" s="4"/>
      <c r="U233" s="4"/>
      <c r="V233" s="4"/>
      <c r="W233" s="4"/>
    </row>
    <row r="234" spans="14:23" x14ac:dyDescent="0.25">
      <c r="N234" s="4"/>
      <c r="O234" s="4"/>
      <c r="P234" s="4"/>
      <c r="Q234" s="4"/>
      <c r="R234" s="4"/>
      <c r="S234" s="4"/>
      <c r="T234" s="4"/>
      <c r="U234" s="4"/>
      <c r="V234" s="4"/>
      <c r="W234" s="4"/>
    </row>
    <row r="235" spans="14:23" x14ac:dyDescent="0.25">
      <c r="N235" s="4"/>
      <c r="O235" s="4"/>
      <c r="P235" s="4"/>
      <c r="Q235" s="4"/>
      <c r="R235" s="4"/>
      <c r="S235" s="4"/>
      <c r="T235" s="4"/>
      <c r="U235" s="4"/>
      <c r="V235" s="4"/>
      <c r="W235" s="4"/>
    </row>
    <row r="236" spans="14:23" x14ac:dyDescent="0.25">
      <c r="N236" s="4"/>
      <c r="O236" s="4"/>
      <c r="P236" s="4"/>
      <c r="Q236" s="4"/>
      <c r="R236" s="4"/>
      <c r="S236" s="4"/>
      <c r="T236" s="4"/>
      <c r="U236" s="4"/>
      <c r="V236" s="4"/>
      <c r="W236" s="4"/>
    </row>
    <row r="237" spans="14:23" x14ac:dyDescent="0.25">
      <c r="N237" s="4"/>
      <c r="O237" s="4"/>
      <c r="P237" s="4"/>
      <c r="Q237" s="4"/>
      <c r="R237" s="4"/>
      <c r="S237" s="4"/>
      <c r="T237" s="4"/>
      <c r="U237" s="4"/>
      <c r="V237" s="4"/>
      <c r="W237" s="4"/>
    </row>
    <row r="238" spans="14:23" x14ac:dyDescent="0.25">
      <c r="N238" s="4"/>
      <c r="O238" s="4"/>
      <c r="P238" s="4"/>
      <c r="Q238" s="4"/>
      <c r="R238" s="4"/>
      <c r="S238" s="4"/>
      <c r="T238" s="4"/>
      <c r="U238" s="4"/>
      <c r="V238" s="4"/>
      <c r="W238" s="4"/>
    </row>
    <row r="239" spans="14:23" x14ac:dyDescent="0.25">
      <c r="N239" s="4"/>
      <c r="O239" s="4"/>
      <c r="P239" s="4"/>
      <c r="Q239" s="4"/>
      <c r="R239" s="4"/>
      <c r="S239" s="4"/>
      <c r="T239" s="4"/>
      <c r="U239" s="4"/>
      <c r="V239" s="4"/>
      <c r="W239" s="4"/>
    </row>
    <row r="240" spans="14:23" x14ac:dyDescent="0.25">
      <c r="N240" s="4"/>
      <c r="O240" s="4"/>
      <c r="P240" s="4"/>
      <c r="Q240" s="4"/>
      <c r="R240" s="4"/>
      <c r="S240" s="4"/>
      <c r="T240" s="4"/>
      <c r="U240" s="4"/>
      <c r="V240" s="4"/>
      <c r="W240" s="4"/>
    </row>
    <row r="241" spans="14:23" x14ac:dyDescent="0.25">
      <c r="N241" s="4"/>
      <c r="O241" s="4"/>
      <c r="P241" s="4"/>
      <c r="Q241" s="4"/>
      <c r="R241" s="4"/>
      <c r="S241" s="4"/>
      <c r="T241" s="4"/>
      <c r="U241" s="4"/>
      <c r="V241" s="4"/>
      <c r="W241" s="4"/>
    </row>
    <row r="242" spans="14:23" x14ac:dyDescent="0.25">
      <c r="N242" s="4"/>
      <c r="O242" s="4"/>
      <c r="P242" s="4"/>
      <c r="Q242" s="4"/>
      <c r="R242" s="4"/>
      <c r="S242" s="4"/>
      <c r="T242" s="4"/>
      <c r="U242" s="4"/>
      <c r="V242" s="4"/>
      <c r="W242" s="4"/>
    </row>
    <row r="243" spans="14:23" x14ac:dyDescent="0.25">
      <c r="N243" s="4"/>
      <c r="O243" s="4"/>
      <c r="P243" s="4"/>
      <c r="Q243" s="4"/>
      <c r="R243" s="4"/>
      <c r="S243" s="4"/>
      <c r="T243" s="4"/>
      <c r="U243" s="4"/>
      <c r="V243" s="4"/>
      <c r="W243" s="4"/>
    </row>
    <row r="244" spans="14:23" x14ac:dyDescent="0.25">
      <c r="N244" s="4"/>
      <c r="O244" s="4"/>
      <c r="P244" s="4"/>
      <c r="Q244" s="4"/>
      <c r="R244" s="4"/>
      <c r="S244" s="4"/>
      <c r="T244" s="4"/>
      <c r="U244" s="4"/>
      <c r="V244" s="4"/>
      <c r="W244" s="4"/>
    </row>
    <row r="245" spans="14:23" x14ac:dyDescent="0.25">
      <c r="N245" s="4"/>
      <c r="O245" s="4"/>
      <c r="P245" s="4"/>
      <c r="Q245" s="4"/>
      <c r="R245" s="4"/>
      <c r="S245" s="4"/>
      <c r="T245" s="4"/>
      <c r="U245" s="4"/>
      <c r="V245" s="4"/>
      <c r="W245" s="4"/>
    </row>
    <row r="246" spans="14:23" x14ac:dyDescent="0.25">
      <c r="N246" s="4"/>
      <c r="O246" s="4"/>
      <c r="P246" s="4"/>
      <c r="Q246" s="4"/>
      <c r="R246" s="4"/>
      <c r="S246" s="4"/>
      <c r="T246" s="4"/>
      <c r="U246" s="4"/>
      <c r="V246" s="4"/>
      <c r="W246" s="4"/>
    </row>
    <row r="247" spans="14:23" x14ac:dyDescent="0.25">
      <c r="N247" s="4"/>
      <c r="O247" s="4"/>
      <c r="P247" s="4"/>
      <c r="Q247" s="4"/>
      <c r="R247" s="4"/>
      <c r="S247" s="4"/>
      <c r="T247" s="4"/>
      <c r="U247" s="4"/>
      <c r="V247" s="4"/>
      <c r="W247" s="4"/>
    </row>
    <row r="248" spans="14:23" x14ac:dyDescent="0.25">
      <c r="N248" s="4"/>
      <c r="O248" s="4"/>
      <c r="P248" s="4"/>
      <c r="Q248" s="4"/>
      <c r="R248" s="4"/>
      <c r="S248" s="4"/>
      <c r="T248" s="4"/>
      <c r="U248" s="4"/>
      <c r="V248" s="4"/>
      <c r="W248" s="4"/>
    </row>
    <row r="249" spans="14:23" x14ac:dyDescent="0.25">
      <c r="N249" s="4"/>
      <c r="O249" s="4"/>
      <c r="P249" s="4"/>
      <c r="Q249" s="4"/>
      <c r="R249" s="4"/>
      <c r="S249" s="4"/>
      <c r="T249" s="4"/>
      <c r="U249" s="4"/>
      <c r="V249" s="4"/>
      <c r="W249" s="4"/>
    </row>
    <row r="250" spans="14:23" x14ac:dyDescent="0.25">
      <c r="N250" s="4"/>
      <c r="O250" s="4"/>
      <c r="P250" s="4"/>
      <c r="Q250" s="4"/>
      <c r="R250" s="4"/>
      <c r="S250" s="4"/>
      <c r="T250" s="4"/>
      <c r="U250" s="4"/>
      <c r="V250" s="4"/>
      <c r="W250" s="4"/>
    </row>
    <row r="251" spans="14:23" x14ac:dyDescent="0.25">
      <c r="N251" s="4"/>
      <c r="O251" s="4"/>
      <c r="P251" s="4"/>
      <c r="Q251" s="4"/>
      <c r="R251" s="4"/>
      <c r="S251" s="4"/>
      <c r="T251" s="4"/>
      <c r="U251" s="4"/>
      <c r="V251" s="4"/>
      <c r="W251" s="4"/>
    </row>
    <row r="252" spans="14:23" x14ac:dyDescent="0.25">
      <c r="N252" s="4"/>
      <c r="O252" s="4"/>
      <c r="P252" s="4"/>
      <c r="Q252" s="4"/>
      <c r="R252" s="4"/>
      <c r="S252" s="4"/>
      <c r="T252" s="4"/>
      <c r="U252" s="4"/>
      <c r="V252" s="4"/>
      <c r="W252" s="4"/>
    </row>
    <row r="253" spans="14:23" x14ac:dyDescent="0.25">
      <c r="N253" s="4"/>
      <c r="O253" s="4"/>
      <c r="P253" s="4"/>
      <c r="Q253" s="4"/>
      <c r="R253" s="4"/>
      <c r="S253" s="4"/>
      <c r="T253" s="4"/>
      <c r="U253" s="4"/>
      <c r="V253" s="4"/>
      <c r="W253" s="4"/>
    </row>
    <row r="254" spans="14:23" x14ac:dyDescent="0.25">
      <c r="N254" s="4"/>
      <c r="O254" s="4"/>
      <c r="P254" s="4"/>
      <c r="Q254" s="4"/>
      <c r="R254" s="4"/>
      <c r="S254" s="4"/>
      <c r="T254" s="4"/>
      <c r="U254" s="4"/>
      <c r="V254" s="4"/>
      <c r="W254" s="4"/>
    </row>
    <row r="255" spans="14:23" x14ac:dyDescent="0.25">
      <c r="N255" s="4"/>
      <c r="O255" s="4"/>
      <c r="P255" s="4"/>
      <c r="Q255" s="4"/>
      <c r="R255" s="4"/>
      <c r="S255" s="4"/>
      <c r="T255" s="4"/>
      <c r="U255" s="4"/>
      <c r="V255" s="4"/>
      <c r="W255" s="4"/>
    </row>
    <row r="256" spans="14:23" x14ac:dyDescent="0.25">
      <c r="N256" s="4"/>
      <c r="O256" s="4"/>
      <c r="P256" s="4"/>
      <c r="Q256" s="4"/>
      <c r="R256" s="4"/>
      <c r="S256" s="4"/>
      <c r="T256" s="4"/>
      <c r="U256" s="4"/>
      <c r="V256" s="4"/>
      <c r="W256" s="4"/>
    </row>
    <row r="257" spans="14:23" x14ac:dyDescent="0.25">
      <c r="N257" s="4"/>
      <c r="O257" s="4"/>
      <c r="P257" s="4"/>
      <c r="Q257" s="4"/>
      <c r="R257" s="4"/>
      <c r="S257" s="4"/>
      <c r="T257" s="4"/>
      <c r="U257" s="4"/>
      <c r="V257" s="4"/>
      <c r="W257" s="4"/>
    </row>
    <row r="258" spans="14:23" x14ac:dyDescent="0.25">
      <c r="N258" s="4"/>
      <c r="O258" s="4"/>
      <c r="P258" s="4"/>
      <c r="Q258" s="4"/>
      <c r="R258" s="4"/>
      <c r="S258" s="4"/>
      <c r="T258" s="4"/>
      <c r="U258" s="4"/>
      <c r="V258" s="4"/>
      <c r="W258" s="4"/>
    </row>
    <row r="259" spans="14:23" x14ac:dyDescent="0.25">
      <c r="N259" s="4"/>
      <c r="O259" s="4"/>
      <c r="P259" s="4"/>
      <c r="Q259" s="4"/>
      <c r="R259" s="4"/>
      <c r="S259" s="4"/>
      <c r="T259" s="4"/>
      <c r="U259" s="4"/>
      <c r="V259" s="4"/>
      <c r="W259" s="4"/>
    </row>
    <row r="260" spans="14:23" x14ac:dyDescent="0.25">
      <c r="N260" s="4"/>
      <c r="O260" s="4"/>
      <c r="P260" s="4"/>
      <c r="Q260" s="4"/>
      <c r="R260" s="4"/>
      <c r="S260" s="4"/>
      <c r="T260" s="4"/>
      <c r="U260" s="4"/>
      <c r="V260" s="4"/>
      <c r="W260" s="4"/>
    </row>
    <row r="261" spans="14:23" x14ac:dyDescent="0.25">
      <c r="N261" s="4"/>
      <c r="O261" s="4"/>
      <c r="P261" s="4"/>
      <c r="Q261" s="4"/>
      <c r="R261" s="4"/>
      <c r="S261" s="4"/>
      <c r="T261" s="4"/>
      <c r="U261" s="4"/>
      <c r="V261" s="4"/>
      <c r="W261" s="4"/>
    </row>
    <row r="262" spans="14:23" x14ac:dyDescent="0.25">
      <c r="N262" s="4"/>
      <c r="O262" s="4"/>
      <c r="P262" s="4"/>
      <c r="Q262" s="4"/>
      <c r="R262" s="4"/>
      <c r="S262" s="4"/>
      <c r="T262" s="4"/>
      <c r="U262" s="4"/>
      <c r="V262" s="4"/>
      <c r="W262" s="4"/>
    </row>
    <row r="263" spans="14:23" x14ac:dyDescent="0.25">
      <c r="N263" s="4"/>
      <c r="O263" s="4"/>
      <c r="P263" s="4"/>
      <c r="Q263" s="4"/>
      <c r="R263" s="4"/>
      <c r="S263" s="4"/>
      <c r="T263" s="4"/>
      <c r="U263" s="4"/>
      <c r="V263" s="4"/>
      <c r="W263" s="4"/>
    </row>
    <row r="264" spans="14:23" x14ac:dyDescent="0.25">
      <c r="N264" s="4"/>
      <c r="O264" s="4"/>
      <c r="P264" s="4"/>
      <c r="Q264" s="4"/>
      <c r="R264" s="4"/>
      <c r="S264" s="4"/>
      <c r="T264" s="4"/>
      <c r="U264" s="4"/>
      <c r="V264" s="4"/>
      <c r="W264" s="4"/>
    </row>
    <row r="265" spans="14:23" x14ac:dyDescent="0.25">
      <c r="N265" s="4"/>
      <c r="O265" s="4"/>
      <c r="P265" s="4"/>
      <c r="Q265" s="4"/>
      <c r="R265" s="4"/>
      <c r="S265" s="4"/>
      <c r="T265" s="4"/>
      <c r="U265" s="4"/>
      <c r="V265" s="4"/>
      <c r="W265" s="4"/>
    </row>
    <row r="266" spans="14:23" x14ac:dyDescent="0.25">
      <c r="N266" s="4"/>
      <c r="O266" s="4"/>
      <c r="P266" s="4"/>
      <c r="Q266" s="4"/>
      <c r="R266" s="4"/>
      <c r="S266" s="4"/>
      <c r="T266" s="4"/>
      <c r="U266" s="4"/>
      <c r="V266" s="4"/>
      <c r="W266" s="4"/>
    </row>
    <row r="267" spans="14:23" x14ac:dyDescent="0.25">
      <c r="N267" s="4"/>
      <c r="O267" s="4"/>
      <c r="P267" s="4"/>
      <c r="Q267" s="4"/>
      <c r="R267" s="4"/>
      <c r="S267" s="4"/>
      <c r="T267" s="4"/>
      <c r="U267" s="4"/>
      <c r="V267" s="4"/>
      <c r="W267" s="4"/>
    </row>
    <row r="268" spans="14:23" x14ac:dyDescent="0.25">
      <c r="N268" s="4"/>
      <c r="O268" s="4"/>
      <c r="P268" s="4"/>
      <c r="Q268" s="4"/>
      <c r="R268" s="4"/>
      <c r="S268" s="4"/>
      <c r="T268" s="4"/>
      <c r="U268" s="4"/>
      <c r="V268" s="4"/>
      <c r="W268" s="4"/>
    </row>
    <row r="269" spans="14:23" x14ac:dyDescent="0.25">
      <c r="N269" s="4"/>
      <c r="O269" s="4"/>
      <c r="P269" s="4"/>
      <c r="Q269" s="4"/>
      <c r="R269" s="4"/>
      <c r="S269" s="4"/>
      <c r="T269" s="4"/>
      <c r="U269" s="4"/>
      <c r="V269" s="4"/>
      <c r="W269" s="4"/>
    </row>
    <row r="270" spans="14:23" x14ac:dyDescent="0.25">
      <c r="N270" s="4"/>
      <c r="O270" s="4"/>
      <c r="P270" s="4"/>
      <c r="Q270" s="4"/>
      <c r="R270" s="4"/>
      <c r="S270" s="4"/>
      <c r="T270" s="4"/>
      <c r="U270" s="4"/>
      <c r="V270" s="4"/>
      <c r="W270" s="4"/>
    </row>
    <row r="271" spans="14:23" x14ac:dyDescent="0.25">
      <c r="N271" s="4"/>
      <c r="O271" s="4"/>
      <c r="P271" s="4"/>
      <c r="Q271" s="4"/>
      <c r="R271" s="4"/>
      <c r="S271" s="4"/>
      <c r="T271" s="4"/>
      <c r="U271" s="4"/>
      <c r="V271" s="4"/>
      <c r="W271" s="4"/>
    </row>
    <row r="272" spans="14:23" x14ac:dyDescent="0.25">
      <c r="N272" s="4"/>
      <c r="O272" s="4"/>
      <c r="P272" s="4"/>
      <c r="Q272" s="4"/>
      <c r="R272" s="4"/>
      <c r="S272" s="4"/>
      <c r="T272" s="4"/>
      <c r="U272" s="4"/>
      <c r="V272" s="4"/>
      <c r="W272" s="4"/>
    </row>
    <row r="273" spans="14:23" x14ac:dyDescent="0.25">
      <c r="N273" s="4"/>
      <c r="O273" s="4"/>
      <c r="P273" s="4"/>
      <c r="Q273" s="4"/>
      <c r="R273" s="4"/>
      <c r="S273" s="4"/>
      <c r="T273" s="4"/>
      <c r="U273" s="4"/>
      <c r="V273" s="4"/>
      <c r="W273" s="4"/>
    </row>
    <row r="274" spans="14:23" x14ac:dyDescent="0.25">
      <c r="N274" s="4"/>
      <c r="O274" s="4"/>
      <c r="P274" s="4"/>
      <c r="Q274" s="4"/>
      <c r="R274" s="4"/>
      <c r="S274" s="4"/>
      <c r="T274" s="4"/>
      <c r="U274" s="4"/>
      <c r="V274" s="4"/>
      <c r="W274" s="4"/>
    </row>
    <row r="275" spans="14:23" x14ac:dyDescent="0.25">
      <c r="O275" s="4"/>
      <c r="P275" s="4"/>
      <c r="Q275" s="4"/>
      <c r="R275" s="4"/>
      <c r="S275" s="4"/>
      <c r="T275" s="4"/>
      <c r="U275" s="4"/>
      <c r="V275" s="4"/>
      <c r="W275" s="4"/>
    </row>
    <row r="276" spans="14:23" x14ac:dyDescent="0.25">
      <c r="O276" s="4"/>
      <c r="P276" s="4"/>
      <c r="Q276" s="4"/>
      <c r="R276" s="4"/>
      <c r="S276" s="4"/>
      <c r="T276" s="4"/>
      <c r="U276" s="4"/>
      <c r="V276" s="4"/>
      <c r="W276" s="4"/>
    </row>
    <row r="277" spans="14:23" x14ac:dyDescent="0.25">
      <c r="O277" s="4"/>
      <c r="P277" s="4"/>
      <c r="Q277" s="4"/>
      <c r="R277" s="4"/>
      <c r="S277" s="4"/>
      <c r="T277" s="4"/>
      <c r="U277" s="4"/>
      <c r="V277" s="4"/>
      <c r="W277" s="4"/>
    </row>
    <row r="278" spans="14:23" x14ac:dyDescent="0.25">
      <c r="O278" s="4"/>
      <c r="P278" s="4"/>
      <c r="Q278" s="4"/>
      <c r="R278" s="4"/>
      <c r="S278" s="4"/>
      <c r="T278" s="4"/>
      <c r="U278" s="4"/>
      <c r="V278" s="4"/>
      <c r="W278" s="4"/>
    </row>
    <row r="279" spans="14:23" x14ac:dyDescent="0.25">
      <c r="O279" s="4"/>
      <c r="P279" s="4"/>
      <c r="Q279" s="4"/>
      <c r="R279" s="4"/>
      <c r="S279" s="4"/>
      <c r="T279" s="4"/>
      <c r="U279" s="4"/>
      <c r="V279" s="4"/>
      <c r="W279" s="4"/>
    </row>
    <row r="280" spans="14:23" x14ac:dyDescent="0.25">
      <c r="O280" s="4"/>
      <c r="P280" s="4"/>
      <c r="Q280" s="4"/>
      <c r="R280" s="4"/>
      <c r="S280" s="4"/>
      <c r="T280" s="4"/>
      <c r="U280" s="4"/>
      <c r="V280" s="4"/>
      <c r="W280" s="4"/>
    </row>
    <row r="281" spans="14:23" x14ac:dyDescent="0.25">
      <c r="O281" s="4"/>
      <c r="P281" s="4"/>
      <c r="Q281" s="4"/>
      <c r="R281" s="4"/>
      <c r="S281" s="4"/>
      <c r="T281" s="4"/>
      <c r="U281" s="4"/>
      <c r="V281" s="4"/>
      <c r="W281" s="4"/>
    </row>
    <row r="282" spans="14:23" x14ac:dyDescent="0.25">
      <c r="O282" s="4"/>
      <c r="P282" s="4"/>
      <c r="Q282" s="4"/>
      <c r="R282" s="4"/>
      <c r="S282" s="4"/>
      <c r="T282" s="4"/>
      <c r="U282" s="4"/>
      <c r="V282" s="4"/>
      <c r="W282" s="4"/>
    </row>
    <row r="283" spans="14:23" x14ac:dyDescent="0.25">
      <c r="O283" s="4"/>
      <c r="P283" s="4"/>
      <c r="Q283" s="4"/>
      <c r="R283" s="4"/>
      <c r="S283" s="4"/>
      <c r="T283" s="4"/>
      <c r="U283" s="4"/>
      <c r="V283" s="4"/>
      <c r="W283" s="4"/>
    </row>
    <row r="284" spans="14:23" x14ac:dyDescent="0.25">
      <c r="O284" s="4"/>
      <c r="P284" s="4"/>
      <c r="Q284" s="4"/>
      <c r="R284" s="4"/>
      <c r="S284" s="4"/>
      <c r="T284" s="4"/>
      <c r="U284" s="4"/>
      <c r="V284" s="4"/>
      <c r="W284" s="4"/>
    </row>
    <row r="285" spans="14:23" x14ac:dyDescent="0.25">
      <c r="O285" s="4"/>
      <c r="P285" s="4"/>
      <c r="Q285" s="4"/>
      <c r="R285" s="4"/>
      <c r="S285" s="4"/>
      <c r="T285" s="4"/>
      <c r="U285" s="4"/>
      <c r="V285" s="4"/>
      <c r="W285" s="4"/>
    </row>
    <row r="286" spans="14:23" x14ac:dyDescent="0.25">
      <c r="O286" s="4"/>
      <c r="P286" s="4"/>
      <c r="Q286" s="4"/>
      <c r="R286" s="4"/>
      <c r="S286" s="4"/>
      <c r="T286" s="4"/>
      <c r="U286" s="4"/>
      <c r="V286" s="4"/>
      <c r="W286" s="4"/>
    </row>
    <row r="287" spans="14:23" x14ac:dyDescent="0.25">
      <c r="O287" s="4"/>
      <c r="P287" s="4"/>
      <c r="Q287" s="4"/>
      <c r="R287" s="4"/>
      <c r="S287" s="4"/>
      <c r="T287" s="4"/>
      <c r="U287" s="4"/>
      <c r="V287" s="4"/>
      <c r="W287" s="4"/>
    </row>
    <row r="288" spans="14:23" x14ac:dyDescent="0.25">
      <c r="O288" s="4"/>
      <c r="P288" s="4"/>
      <c r="Q288" s="4"/>
      <c r="R288" s="4"/>
      <c r="S288" s="4"/>
      <c r="T288" s="4"/>
      <c r="U288" s="4"/>
      <c r="V288" s="4"/>
      <c r="W288" s="4"/>
    </row>
    <row r="289" spans="15:23" x14ac:dyDescent="0.25">
      <c r="O289" s="4"/>
      <c r="P289" s="4"/>
      <c r="Q289" s="4"/>
      <c r="R289" s="4"/>
      <c r="S289" s="4"/>
      <c r="T289" s="4"/>
      <c r="U289" s="4"/>
      <c r="V289" s="4"/>
      <c r="W289" s="4"/>
    </row>
    <row r="290" spans="15:23" x14ac:dyDescent="0.25">
      <c r="O290" s="4"/>
      <c r="P290" s="4"/>
      <c r="Q290" s="4"/>
      <c r="R290" s="4"/>
      <c r="S290" s="4"/>
      <c r="T290" s="4"/>
      <c r="U290" s="4"/>
      <c r="V290" s="4"/>
      <c r="W290" s="4"/>
    </row>
    <row r="291" spans="15:23" x14ac:dyDescent="0.25">
      <c r="O291" s="4"/>
      <c r="P291" s="4"/>
      <c r="Q291" s="4"/>
      <c r="R291" s="4"/>
      <c r="S291" s="4"/>
      <c r="T291" s="4"/>
      <c r="U291" s="4"/>
      <c r="V291" s="4"/>
      <c r="W291" s="4"/>
    </row>
    <row r="292" spans="15:23" x14ac:dyDescent="0.25">
      <c r="O292" s="4"/>
      <c r="P292" s="4"/>
      <c r="Q292" s="4"/>
      <c r="R292" s="4"/>
      <c r="S292" s="4"/>
      <c r="T292" s="4"/>
      <c r="U292" s="4"/>
      <c r="V292" s="4"/>
      <c r="W292" s="4"/>
    </row>
    <row r="293" spans="15:23" x14ac:dyDescent="0.25">
      <c r="O293" s="4"/>
      <c r="P293" s="4"/>
      <c r="Q293" s="4"/>
      <c r="R293" s="4"/>
      <c r="S293" s="4"/>
      <c r="T293" s="4"/>
      <c r="U293" s="4"/>
      <c r="V293" s="4"/>
      <c r="W293" s="4"/>
    </row>
    <row r="294" spans="15:23" x14ac:dyDescent="0.25">
      <c r="O294" s="4"/>
      <c r="P294" s="4"/>
      <c r="Q294" s="4"/>
      <c r="R294" s="4"/>
      <c r="S294" s="4"/>
      <c r="T294" s="4"/>
      <c r="U294" s="4"/>
      <c r="V294" s="4"/>
      <c r="W294" s="4"/>
    </row>
    <row r="295" spans="15:23" x14ac:dyDescent="0.25">
      <c r="O295" s="4"/>
      <c r="P295" s="4"/>
      <c r="Q295" s="4"/>
      <c r="R295" s="4"/>
      <c r="S295" s="4"/>
      <c r="T295" s="4"/>
      <c r="U295" s="4"/>
      <c r="V295" s="4"/>
      <c r="W295" s="4"/>
    </row>
    <row r="296" spans="15:23" x14ac:dyDescent="0.25">
      <c r="O296" s="4"/>
      <c r="P296" s="4"/>
      <c r="Q296" s="4"/>
      <c r="R296" s="4"/>
      <c r="S296" s="4"/>
      <c r="T296" s="4"/>
      <c r="U296" s="4"/>
      <c r="V296" s="4"/>
      <c r="W296" s="4"/>
    </row>
    <row r="297" spans="15:23" x14ac:dyDescent="0.25">
      <c r="O297" s="4"/>
      <c r="P297" s="4"/>
      <c r="Q297" s="4"/>
      <c r="R297" s="4"/>
      <c r="S297" s="4"/>
      <c r="T297" s="4"/>
      <c r="U297" s="4"/>
      <c r="V297" s="4"/>
      <c r="W297" s="4"/>
    </row>
    <row r="298" spans="15:23" x14ac:dyDescent="0.25">
      <c r="O298" s="4"/>
      <c r="P298" s="4"/>
      <c r="Q298" s="4"/>
      <c r="R298" s="4"/>
      <c r="S298" s="4"/>
      <c r="T298" s="4"/>
      <c r="U298" s="4"/>
      <c r="V298" s="4"/>
      <c r="W298" s="4"/>
    </row>
    <row r="299" spans="15:23" x14ac:dyDescent="0.25">
      <c r="O299" s="4"/>
      <c r="P299" s="4"/>
      <c r="Q299" s="4"/>
      <c r="R299" s="4"/>
      <c r="S299" s="4"/>
      <c r="T299" s="4"/>
      <c r="U299" s="4"/>
      <c r="V299" s="4"/>
      <c r="W299" s="4"/>
    </row>
    <row r="300" spans="15:23" x14ac:dyDescent="0.25">
      <c r="O300" s="4"/>
      <c r="P300" s="4"/>
      <c r="Q300" s="4"/>
      <c r="R300" s="4"/>
      <c r="S300" s="4"/>
      <c r="T300" s="4"/>
      <c r="U300" s="4"/>
      <c r="V300" s="4"/>
      <c r="W300" s="4"/>
    </row>
    <row r="301" spans="15:23" x14ac:dyDescent="0.25">
      <c r="O301" s="4"/>
      <c r="P301" s="4"/>
      <c r="Q301" s="4"/>
      <c r="R301" s="4"/>
      <c r="S301" s="4"/>
      <c r="T301" s="4"/>
      <c r="U301" s="4"/>
      <c r="V301" s="4"/>
      <c r="W301" s="4"/>
    </row>
    <row r="302" spans="15:23" x14ac:dyDescent="0.25">
      <c r="O302" s="4"/>
      <c r="P302" s="4"/>
      <c r="Q302" s="4"/>
      <c r="R302" s="4"/>
      <c r="S302" s="4"/>
      <c r="T302" s="4"/>
      <c r="U302" s="4"/>
      <c r="V302" s="4"/>
      <c r="W302" s="4"/>
    </row>
    <row r="303" spans="15:23" x14ac:dyDescent="0.25">
      <c r="O303" s="4"/>
      <c r="P303" s="4"/>
      <c r="Q303" s="4"/>
      <c r="R303" s="4"/>
      <c r="S303" s="4"/>
      <c r="T303" s="4"/>
      <c r="U303" s="4"/>
      <c r="V303" s="4"/>
      <c r="W303" s="4"/>
    </row>
    <row r="304" spans="15:23" x14ac:dyDescent="0.25">
      <c r="O304" s="4"/>
      <c r="P304" s="4"/>
      <c r="Q304" s="4"/>
      <c r="R304" s="4"/>
      <c r="S304" s="4"/>
      <c r="T304" s="4"/>
      <c r="U304" s="4"/>
      <c r="V304" s="4"/>
      <c r="W304" s="4"/>
    </row>
    <row r="305" spans="15:23" x14ac:dyDescent="0.25">
      <c r="O305" s="4"/>
      <c r="P305" s="4"/>
      <c r="Q305" s="4"/>
      <c r="R305" s="4"/>
      <c r="S305" s="4"/>
      <c r="T305" s="4"/>
      <c r="U305" s="4"/>
      <c r="V305" s="4"/>
      <c r="W305" s="4"/>
    </row>
    <row r="306" spans="15:23" x14ac:dyDescent="0.25">
      <c r="O306" s="4"/>
      <c r="P306" s="4"/>
      <c r="Q306" s="4"/>
      <c r="R306" s="4"/>
      <c r="S306" s="4"/>
      <c r="T306" s="4"/>
      <c r="U306" s="4"/>
      <c r="V306" s="4"/>
      <c r="W306" s="4"/>
    </row>
    <row r="307" spans="15:23" x14ac:dyDescent="0.25">
      <c r="O307" s="4"/>
      <c r="P307" s="4"/>
      <c r="Q307" s="4"/>
      <c r="R307" s="4"/>
      <c r="S307" s="4"/>
      <c r="T307" s="4"/>
      <c r="U307" s="4"/>
      <c r="V307" s="4"/>
      <c r="W307" s="4"/>
    </row>
    <row r="308" spans="15:23" x14ac:dyDescent="0.25">
      <c r="O308" s="4"/>
      <c r="P308" s="4"/>
      <c r="Q308" s="4"/>
      <c r="R308" s="4"/>
      <c r="S308" s="4"/>
      <c r="T308" s="4"/>
      <c r="U308" s="4"/>
      <c r="V308" s="4"/>
      <c r="W308" s="4"/>
    </row>
    <row r="309" spans="15:23" x14ac:dyDescent="0.25">
      <c r="O309" s="4"/>
      <c r="P309" s="4"/>
      <c r="Q309" s="4"/>
      <c r="R309" s="4"/>
      <c r="S309" s="4"/>
      <c r="T309" s="4"/>
      <c r="U309" s="4"/>
      <c r="V309" s="4"/>
      <c r="W309" s="4"/>
    </row>
    <row r="310" spans="15:23" x14ac:dyDescent="0.25">
      <c r="O310" s="4"/>
      <c r="P310" s="4"/>
      <c r="Q310" s="4"/>
      <c r="R310" s="4"/>
      <c r="S310" s="4"/>
      <c r="T310" s="4"/>
      <c r="U310" s="4"/>
      <c r="V310" s="4"/>
      <c r="W310" s="4"/>
    </row>
    <row r="311" spans="15:23" x14ac:dyDescent="0.25">
      <c r="O311" s="4"/>
      <c r="P311" s="4"/>
      <c r="Q311" s="4"/>
      <c r="R311" s="4"/>
      <c r="S311" s="4"/>
      <c r="T311" s="4"/>
      <c r="U311" s="4"/>
      <c r="V311" s="4"/>
      <c r="W311" s="4"/>
    </row>
    <row r="312" spans="15:23" x14ac:dyDescent="0.25">
      <c r="O312" s="4"/>
      <c r="P312" s="4"/>
      <c r="Q312" s="4"/>
      <c r="R312" s="4"/>
      <c r="S312" s="4"/>
      <c r="T312" s="4"/>
      <c r="U312" s="4"/>
      <c r="V312" s="4"/>
      <c r="W312" s="4"/>
    </row>
    <row r="313" spans="15:23" x14ac:dyDescent="0.25">
      <c r="O313" s="4"/>
      <c r="P313" s="4"/>
      <c r="Q313" s="4"/>
      <c r="R313" s="4"/>
      <c r="S313" s="4"/>
      <c r="T313" s="4"/>
      <c r="U313" s="4"/>
      <c r="V313" s="4"/>
      <c r="W313" s="4"/>
    </row>
    <row r="314" spans="15:23" x14ac:dyDescent="0.25">
      <c r="O314" s="4"/>
      <c r="P314" s="4"/>
      <c r="Q314" s="4"/>
      <c r="R314" s="4"/>
      <c r="S314" s="4"/>
      <c r="T314" s="4"/>
      <c r="U314" s="4"/>
      <c r="V314" s="4"/>
      <c r="W314" s="4"/>
    </row>
    <row r="315" spans="15:23" x14ac:dyDescent="0.25">
      <c r="O315" s="4"/>
      <c r="P315" s="4"/>
      <c r="Q315" s="4"/>
      <c r="R315" s="4"/>
      <c r="S315" s="4"/>
      <c r="T315" s="4"/>
      <c r="U315" s="4"/>
      <c r="V315" s="4"/>
      <c r="W315" s="4"/>
    </row>
    <row r="316" spans="15:23" x14ac:dyDescent="0.25">
      <c r="O316" s="4"/>
      <c r="P316" s="4"/>
      <c r="Q316" s="4"/>
      <c r="R316" s="4"/>
      <c r="S316" s="4"/>
      <c r="T316" s="4"/>
      <c r="U316" s="4"/>
      <c r="V316" s="4"/>
      <c r="W316" s="4"/>
    </row>
    <row r="317" spans="15:23" x14ac:dyDescent="0.25">
      <c r="O317" s="4"/>
      <c r="P317" s="4"/>
      <c r="Q317" s="4"/>
      <c r="R317" s="4"/>
      <c r="S317" s="4"/>
      <c r="T317" s="4"/>
      <c r="U317" s="4"/>
      <c r="V317" s="4"/>
      <c r="W317" s="4"/>
    </row>
    <row r="318" spans="15:23" x14ac:dyDescent="0.25">
      <c r="O318" s="4"/>
      <c r="P318" s="4"/>
      <c r="Q318" s="4"/>
      <c r="R318" s="4"/>
      <c r="S318" s="4"/>
      <c r="T318" s="4"/>
      <c r="U318" s="4"/>
      <c r="V318" s="4"/>
      <c r="W318" s="4"/>
    </row>
    <row r="319" spans="15:23" x14ac:dyDescent="0.25">
      <c r="O319" s="4"/>
      <c r="P319" s="4"/>
      <c r="Q319" s="4"/>
      <c r="R319" s="4"/>
      <c r="S319" s="4"/>
      <c r="T319" s="4"/>
      <c r="U319" s="4"/>
      <c r="V319" s="4"/>
      <c r="W319" s="4"/>
    </row>
    <row r="320" spans="15:23" x14ac:dyDescent="0.25">
      <c r="O320" s="4"/>
      <c r="P320" s="4"/>
      <c r="Q320" s="4"/>
      <c r="R320" s="4"/>
      <c r="S320" s="4"/>
      <c r="T320" s="4"/>
      <c r="U320" s="4"/>
      <c r="V320" s="4"/>
      <c r="W320" s="4"/>
    </row>
    <row r="321" spans="15:23" x14ac:dyDescent="0.25">
      <c r="O321" s="4"/>
      <c r="P321" s="4"/>
      <c r="Q321" s="4"/>
      <c r="R321" s="4"/>
      <c r="S321" s="4"/>
      <c r="T321" s="4"/>
      <c r="U321" s="4"/>
      <c r="V321" s="4"/>
      <c r="W321" s="4"/>
    </row>
    <row r="322" spans="15:23" x14ac:dyDescent="0.25">
      <c r="O322" s="4"/>
      <c r="P322" s="4"/>
      <c r="Q322" s="4"/>
      <c r="R322" s="4"/>
      <c r="S322" s="4"/>
      <c r="T322" s="4"/>
      <c r="U322" s="4"/>
      <c r="V322" s="4"/>
      <c r="W322" s="4"/>
    </row>
    <row r="323" spans="15:23" x14ac:dyDescent="0.25">
      <c r="O323" s="4"/>
      <c r="P323" s="4"/>
      <c r="Q323" s="4"/>
      <c r="R323" s="4"/>
      <c r="S323" s="4"/>
      <c r="T323" s="4"/>
      <c r="U323" s="4"/>
      <c r="V323" s="4"/>
      <c r="W323" s="4"/>
    </row>
    <row r="324" spans="15:23" x14ac:dyDescent="0.25">
      <c r="O324" s="4"/>
      <c r="P324" s="4"/>
      <c r="Q324" s="4"/>
      <c r="R324" s="4"/>
      <c r="S324" s="4"/>
      <c r="T324" s="4"/>
      <c r="U324" s="4"/>
      <c r="V324" s="4"/>
      <c r="W324" s="4"/>
    </row>
    <row r="325" spans="15:23" x14ac:dyDescent="0.25">
      <c r="O325" s="4"/>
      <c r="P325" s="4"/>
      <c r="Q325" s="4"/>
      <c r="R325" s="4"/>
      <c r="S325" s="4"/>
      <c r="T325" s="4"/>
      <c r="U325" s="4"/>
      <c r="V325" s="4"/>
      <c r="W325" s="4"/>
    </row>
    <row r="326" spans="15:23" x14ac:dyDescent="0.25">
      <c r="O326" s="4"/>
      <c r="P326" s="4"/>
      <c r="Q326" s="4"/>
      <c r="R326" s="4"/>
      <c r="S326" s="4"/>
      <c r="T326" s="4"/>
      <c r="U326" s="4"/>
      <c r="V326" s="4"/>
      <c r="W326" s="4"/>
    </row>
    <row r="327" spans="15:23" x14ac:dyDescent="0.25">
      <c r="O327" s="4"/>
      <c r="P327" s="4"/>
      <c r="Q327" s="4"/>
      <c r="R327" s="4"/>
      <c r="S327" s="4"/>
      <c r="T327" s="4"/>
      <c r="U327" s="4"/>
      <c r="V327" s="4"/>
      <c r="W327" s="4"/>
    </row>
    <row r="328" spans="15:23" x14ac:dyDescent="0.25">
      <c r="O328" s="4"/>
      <c r="P328" s="4"/>
      <c r="Q328" s="4"/>
      <c r="R328" s="4"/>
      <c r="S328" s="4"/>
      <c r="T328" s="4"/>
      <c r="U328" s="4"/>
      <c r="V328" s="4"/>
      <c r="W328" s="4"/>
    </row>
    <row r="329" spans="15:23" x14ac:dyDescent="0.25">
      <c r="O329" s="4"/>
      <c r="P329" s="4"/>
      <c r="Q329" s="4"/>
      <c r="R329" s="4"/>
      <c r="S329" s="4"/>
      <c r="T329" s="4"/>
      <c r="U329" s="4"/>
      <c r="V329" s="4"/>
      <c r="W329" s="4"/>
    </row>
    <row r="330" spans="15:23" x14ac:dyDescent="0.25">
      <c r="O330" s="4"/>
      <c r="P330" s="4"/>
      <c r="Q330" s="4"/>
      <c r="R330" s="4"/>
      <c r="S330" s="4"/>
      <c r="T330" s="4"/>
      <c r="U330" s="4"/>
      <c r="V330" s="4"/>
      <c r="W330" s="4"/>
    </row>
    <row r="331" spans="15:23" x14ac:dyDescent="0.25">
      <c r="O331" s="4"/>
      <c r="P331" s="4"/>
      <c r="Q331" s="4"/>
      <c r="R331" s="4"/>
      <c r="S331" s="4"/>
      <c r="T331" s="4"/>
      <c r="U331" s="4"/>
      <c r="V331" s="4"/>
      <c r="W331" s="4"/>
    </row>
    <row r="332" spans="15:23" x14ac:dyDescent="0.25">
      <c r="O332" s="4"/>
      <c r="P332" s="4"/>
      <c r="Q332" s="4"/>
      <c r="R332" s="4"/>
      <c r="S332" s="4"/>
      <c r="T332" s="4"/>
      <c r="U332" s="4"/>
      <c r="V332" s="4"/>
      <c r="W332" s="4"/>
    </row>
    <row r="333" spans="15:23" x14ac:dyDescent="0.25">
      <c r="O333" s="4"/>
      <c r="P333" s="4"/>
      <c r="Q333" s="4"/>
      <c r="R333" s="4"/>
      <c r="S333" s="4"/>
      <c r="T333" s="4"/>
      <c r="U333" s="4"/>
      <c r="V333" s="4"/>
      <c r="W333" s="4"/>
    </row>
    <row r="334" spans="15:23" x14ac:dyDescent="0.25">
      <c r="O334" s="4"/>
      <c r="P334" s="4"/>
      <c r="Q334" s="4"/>
      <c r="R334" s="4"/>
      <c r="S334" s="4"/>
      <c r="T334" s="4"/>
      <c r="U334" s="4"/>
      <c r="V334" s="4"/>
      <c r="W334" s="4"/>
    </row>
    <row r="335" spans="15:23" x14ac:dyDescent="0.25">
      <c r="O335" s="4"/>
      <c r="P335" s="4"/>
      <c r="Q335" s="4"/>
      <c r="R335" s="4"/>
      <c r="S335" s="4"/>
      <c r="T335" s="4"/>
      <c r="U335" s="4"/>
      <c r="V335" s="4"/>
      <c r="W335" s="4"/>
    </row>
    <row r="336" spans="15:23" x14ac:dyDescent="0.25">
      <c r="O336" s="4"/>
      <c r="P336" s="4"/>
      <c r="Q336" s="4"/>
      <c r="R336" s="4"/>
      <c r="S336" s="4"/>
      <c r="T336" s="4"/>
      <c r="U336" s="4"/>
      <c r="V336" s="4"/>
      <c r="W336" s="4"/>
    </row>
    <row r="337" spans="15:23" x14ac:dyDescent="0.25">
      <c r="O337" s="4"/>
      <c r="P337" s="4"/>
      <c r="Q337" s="4"/>
      <c r="R337" s="4"/>
      <c r="S337" s="4"/>
      <c r="T337" s="4"/>
      <c r="U337" s="4"/>
      <c r="V337" s="4"/>
      <c r="W337" s="4"/>
    </row>
    <row r="338" spans="15:23" x14ac:dyDescent="0.25">
      <c r="O338" s="4"/>
      <c r="P338" s="4"/>
      <c r="Q338" s="4"/>
      <c r="R338" s="4"/>
      <c r="S338" s="4"/>
      <c r="T338" s="4"/>
      <c r="U338" s="4"/>
      <c r="V338" s="4"/>
      <c r="W338" s="4"/>
    </row>
    <row r="339" spans="15:23" x14ac:dyDescent="0.25">
      <c r="O339" s="4"/>
      <c r="P339" s="4"/>
      <c r="Q339" s="4"/>
      <c r="R339" s="4"/>
      <c r="S339" s="4"/>
      <c r="T339" s="4"/>
      <c r="U339" s="4"/>
      <c r="V339" s="4"/>
      <c r="W339" s="4"/>
    </row>
    <row r="340" spans="15:23" x14ac:dyDescent="0.25">
      <c r="O340" s="4"/>
      <c r="P340" s="4"/>
      <c r="Q340" s="4"/>
      <c r="R340" s="4"/>
      <c r="S340" s="4"/>
      <c r="T340" s="4"/>
      <c r="U340" s="4"/>
      <c r="V340" s="4"/>
      <c r="W340" s="4"/>
    </row>
    <row r="341" spans="15:23" x14ac:dyDescent="0.25">
      <c r="O341" s="4"/>
      <c r="P341" s="4"/>
      <c r="Q341" s="4"/>
      <c r="R341" s="4"/>
      <c r="S341" s="4"/>
      <c r="T341" s="4"/>
      <c r="U341" s="4"/>
      <c r="V341" s="4"/>
      <c r="W341" s="4"/>
    </row>
    <row r="342" spans="15:23" x14ac:dyDescent="0.25">
      <c r="O342" s="4"/>
      <c r="P342" s="4"/>
      <c r="Q342" s="4"/>
      <c r="R342" s="4"/>
      <c r="S342" s="4"/>
      <c r="T342" s="4"/>
      <c r="U342" s="4"/>
      <c r="V342" s="4"/>
      <c r="W342" s="4"/>
    </row>
    <row r="343" spans="15:23" x14ac:dyDescent="0.25">
      <c r="O343" s="4"/>
      <c r="P343" s="4"/>
      <c r="Q343" s="4"/>
      <c r="R343" s="4"/>
      <c r="S343" s="4"/>
      <c r="T343" s="4"/>
      <c r="U343" s="4"/>
      <c r="V343" s="4"/>
      <c r="W343" s="4"/>
    </row>
    <row r="344" spans="15:23" x14ac:dyDescent="0.25">
      <c r="O344" s="4"/>
      <c r="P344" s="4"/>
      <c r="Q344" s="4"/>
      <c r="R344" s="4"/>
      <c r="S344" s="4"/>
      <c r="T344" s="4"/>
      <c r="U344" s="4"/>
      <c r="V344" s="4"/>
      <c r="W344" s="4"/>
    </row>
    <row r="345" spans="15:23" x14ac:dyDescent="0.25">
      <c r="O345" s="4"/>
      <c r="P345" s="4"/>
      <c r="Q345" s="4"/>
      <c r="R345" s="4"/>
      <c r="S345" s="4"/>
      <c r="T345" s="4"/>
      <c r="U345" s="4"/>
      <c r="V345" s="4"/>
      <c r="W345" s="4"/>
    </row>
    <row r="346" spans="15:23" x14ac:dyDescent="0.25">
      <c r="O346" s="4"/>
      <c r="P346" s="4"/>
      <c r="Q346" s="4"/>
      <c r="R346" s="4"/>
      <c r="S346" s="4"/>
      <c r="T346" s="4"/>
      <c r="U346" s="4"/>
      <c r="V346" s="4"/>
      <c r="W346" s="4"/>
    </row>
    <row r="347" spans="15:23" x14ac:dyDescent="0.25">
      <c r="O347" s="4"/>
      <c r="P347" s="4"/>
      <c r="Q347" s="4"/>
      <c r="R347" s="4"/>
      <c r="S347" s="4"/>
      <c r="T347" s="4"/>
      <c r="U347" s="4"/>
      <c r="V347" s="4"/>
      <c r="W347" s="4"/>
    </row>
    <row r="348" spans="15:23" x14ac:dyDescent="0.25">
      <c r="O348" s="4"/>
      <c r="P348" s="4"/>
      <c r="Q348" s="4"/>
      <c r="R348" s="4"/>
      <c r="S348" s="4"/>
      <c r="T348" s="4"/>
      <c r="U348" s="4"/>
      <c r="V348" s="4"/>
      <c r="W348" s="4"/>
    </row>
    <row r="349" spans="15:23" x14ac:dyDescent="0.25">
      <c r="O349" s="4"/>
      <c r="P349" s="4"/>
      <c r="Q349" s="4"/>
      <c r="R349" s="4"/>
      <c r="S349" s="4"/>
      <c r="T349" s="4"/>
      <c r="U349" s="4"/>
      <c r="V349" s="4"/>
      <c r="W349" s="4"/>
    </row>
    <row r="350" spans="15:23" x14ac:dyDescent="0.25">
      <c r="O350" s="4"/>
      <c r="P350" s="4"/>
      <c r="Q350" s="4"/>
      <c r="R350" s="4"/>
      <c r="S350" s="4"/>
      <c r="T350" s="4"/>
      <c r="U350" s="4"/>
      <c r="V350" s="4"/>
      <c r="W350" s="4"/>
    </row>
    <row r="351" spans="15:23" x14ac:dyDescent="0.25">
      <c r="O351" s="4"/>
      <c r="P351" s="4"/>
      <c r="Q351" s="4"/>
      <c r="R351" s="4"/>
      <c r="S351" s="4"/>
      <c r="T351" s="4"/>
      <c r="U351" s="4"/>
      <c r="V351" s="4"/>
      <c r="W351" s="4"/>
    </row>
    <row r="352" spans="15:23" x14ac:dyDescent="0.25">
      <c r="O352" s="4"/>
      <c r="P352" s="4"/>
      <c r="Q352" s="4"/>
      <c r="R352" s="4"/>
      <c r="S352" s="4"/>
      <c r="T352" s="4"/>
      <c r="U352" s="4"/>
      <c r="V352" s="4"/>
      <c r="W352" s="4"/>
    </row>
    <row r="353" spans="15:23" x14ac:dyDescent="0.25">
      <c r="O353" s="4"/>
      <c r="P353" s="4"/>
      <c r="Q353" s="4"/>
      <c r="R353" s="4"/>
      <c r="S353" s="4"/>
      <c r="T353" s="4"/>
      <c r="U353" s="4"/>
      <c r="V353" s="4"/>
      <c r="W353" s="4"/>
    </row>
    <row r="354" spans="15:23" x14ac:dyDescent="0.25">
      <c r="O354" s="4"/>
      <c r="P354" s="4"/>
      <c r="Q354" s="4"/>
      <c r="R354" s="4"/>
      <c r="S354" s="4"/>
      <c r="T354" s="4"/>
      <c r="U354" s="4"/>
      <c r="V354" s="4"/>
      <c r="W354" s="4"/>
    </row>
    <row r="355" spans="15:23" x14ac:dyDescent="0.25">
      <c r="O355" s="4"/>
      <c r="P355" s="4"/>
      <c r="Q355" s="4"/>
      <c r="R355" s="4"/>
      <c r="S355" s="4"/>
      <c r="T355" s="4"/>
      <c r="U355" s="4"/>
      <c r="V355" s="4"/>
      <c r="W355" s="4"/>
    </row>
    <row r="356" spans="15:23" x14ac:dyDescent="0.25">
      <c r="O356" s="4"/>
      <c r="P356" s="4"/>
      <c r="Q356" s="4"/>
      <c r="R356" s="4"/>
      <c r="S356" s="4"/>
      <c r="T356" s="4"/>
      <c r="U356" s="4"/>
      <c r="V356" s="4"/>
      <c r="W356" s="4"/>
    </row>
    <row r="357" spans="15:23" x14ac:dyDescent="0.25">
      <c r="O357" s="4"/>
      <c r="P357" s="4"/>
      <c r="Q357" s="4"/>
      <c r="R357" s="4"/>
      <c r="S357" s="4"/>
      <c r="T357" s="4"/>
      <c r="U357" s="4"/>
      <c r="V357" s="4"/>
      <c r="W357" s="4"/>
    </row>
    <row r="358" spans="15:23" x14ac:dyDescent="0.25">
      <c r="O358" s="4"/>
      <c r="P358" s="4"/>
      <c r="Q358" s="4"/>
      <c r="R358" s="4"/>
      <c r="S358" s="4"/>
      <c r="T358" s="4"/>
      <c r="U358" s="4"/>
      <c r="V358" s="4"/>
      <c r="W358" s="4"/>
    </row>
    <row r="359" spans="15:23" x14ac:dyDescent="0.25">
      <c r="O359" s="4"/>
      <c r="P359" s="4"/>
      <c r="Q359" s="4"/>
      <c r="R359" s="4"/>
      <c r="S359" s="4"/>
      <c r="T359" s="4"/>
      <c r="U359" s="4"/>
      <c r="V359" s="4"/>
      <c r="W359" s="4"/>
    </row>
    <row r="360" spans="15:23" x14ac:dyDescent="0.25">
      <c r="O360" s="4"/>
      <c r="P360" s="4"/>
      <c r="Q360" s="4"/>
      <c r="R360" s="4"/>
      <c r="S360" s="4"/>
      <c r="T360" s="4"/>
      <c r="U360" s="4"/>
      <c r="V360" s="4"/>
      <c r="W360" s="4"/>
    </row>
    <row r="361" spans="15:23" x14ac:dyDescent="0.25">
      <c r="O361" s="4"/>
      <c r="P361" s="4"/>
      <c r="Q361" s="4"/>
      <c r="R361" s="4"/>
      <c r="S361" s="4"/>
      <c r="T361" s="4"/>
      <c r="U361" s="4"/>
      <c r="V361" s="4"/>
      <c r="W361" s="4"/>
    </row>
    <row r="362" spans="15:23" x14ac:dyDescent="0.25">
      <c r="O362" s="4"/>
      <c r="P362" s="4"/>
      <c r="Q362" s="4"/>
      <c r="R362" s="4"/>
      <c r="S362" s="4"/>
      <c r="T362" s="4"/>
      <c r="U362" s="4"/>
      <c r="V362" s="4"/>
      <c r="W362" s="4"/>
    </row>
    <row r="363" spans="15:23" x14ac:dyDescent="0.25">
      <c r="O363" s="4"/>
      <c r="P363" s="4"/>
      <c r="Q363" s="4"/>
      <c r="R363" s="4"/>
      <c r="S363" s="4"/>
      <c r="T363" s="4"/>
      <c r="U363" s="4"/>
      <c r="V363" s="4"/>
      <c r="W363" s="4"/>
    </row>
    <row r="364" spans="15:23" x14ac:dyDescent="0.25">
      <c r="O364" s="4"/>
      <c r="P364" s="4"/>
      <c r="Q364" s="4"/>
      <c r="R364" s="4"/>
      <c r="S364" s="4"/>
      <c r="T364" s="4"/>
      <c r="U364" s="4"/>
      <c r="V364" s="4"/>
      <c r="W364" s="4"/>
    </row>
    <row r="365" spans="15:23" x14ac:dyDescent="0.25">
      <c r="O365" s="4"/>
      <c r="P365" s="4"/>
      <c r="Q365" s="4"/>
      <c r="R365" s="4"/>
      <c r="S365" s="4"/>
      <c r="T365" s="4"/>
      <c r="U365" s="4"/>
      <c r="V365" s="4"/>
      <c r="W365" s="4"/>
    </row>
    <row r="366" spans="15:23" x14ac:dyDescent="0.25">
      <c r="O366" s="4"/>
      <c r="P366" s="4"/>
      <c r="Q366" s="4"/>
      <c r="R366" s="4"/>
      <c r="S366" s="4"/>
      <c r="T366" s="4"/>
      <c r="U366" s="4"/>
      <c r="V366" s="4"/>
      <c r="W366" s="4"/>
    </row>
    <row r="367" spans="15:23" x14ac:dyDescent="0.25">
      <c r="O367" s="4"/>
      <c r="P367" s="4"/>
      <c r="Q367" s="4"/>
      <c r="R367" s="4"/>
      <c r="S367" s="4"/>
      <c r="T367" s="4"/>
      <c r="U367" s="4"/>
      <c r="V367" s="4"/>
      <c r="W367" s="4"/>
    </row>
    <row r="368" spans="15:23" x14ac:dyDescent="0.25">
      <c r="O368" s="4"/>
      <c r="P368" s="4"/>
      <c r="Q368" s="4"/>
      <c r="R368" s="4"/>
      <c r="S368" s="4"/>
      <c r="T368" s="4"/>
      <c r="U368" s="4"/>
      <c r="V368" s="4"/>
      <c r="W368" s="4"/>
    </row>
    <row r="369" spans="15:23" x14ac:dyDescent="0.25">
      <c r="O369" s="4"/>
      <c r="P369" s="4"/>
      <c r="Q369" s="4"/>
      <c r="R369" s="4"/>
      <c r="S369" s="4"/>
      <c r="T369" s="4"/>
      <c r="U369" s="4"/>
      <c r="V369" s="4"/>
      <c r="W369" s="4"/>
    </row>
    <row r="370" spans="15:23" x14ac:dyDescent="0.25">
      <c r="O370" s="4"/>
      <c r="P370" s="4"/>
      <c r="Q370" s="4"/>
      <c r="R370" s="4"/>
      <c r="S370" s="4"/>
      <c r="T370" s="4"/>
      <c r="U370" s="4"/>
      <c r="V370" s="4"/>
      <c r="W370" s="4"/>
    </row>
    <row r="371" spans="15:23" x14ac:dyDescent="0.25">
      <c r="O371" s="4"/>
      <c r="P371" s="4"/>
      <c r="Q371" s="4"/>
      <c r="R371" s="4"/>
      <c r="S371" s="4"/>
      <c r="T371" s="4"/>
      <c r="U371" s="4"/>
      <c r="V371" s="4"/>
      <c r="W371" s="4"/>
    </row>
    <row r="372" spans="15:23" x14ac:dyDescent="0.25">
      <c r="O372" s="4"/>
      <c r="P372" s="4"/>
      <c r="Q372" s="4"/>
      <c r="R372" s="4"/>
      <c r="S372" s="4"/>
      <c r="T372" s="4"/>
      <c r="U372" s="4"/>
      <c r="V372" s="4"/>
      <c r="W372" s="4"/>
    </row>
    <row r="373" spans="15:23" x14ac:dyDescent="0.25">
      <c r="O373" s="4"/>
      <c r="P373" s="4"/>
      <c r="Q373" s="4"/>
      <c r="R373" s="4"/>
      <c r="S373" s="4"/>
      <c r="T373" s="4"/>
      <c r="U373" s="4"/>
      <c r="V373" s="4"/>
      <c r="W373" s="4"/>
    </row>
    <row r="374" spans="15:23" x14ac:dyDescent="0.25">
      <c r="O374" s="4"/>
      <c r="P374" s="4"/>
      <c r="Q374" s="4"/>
      <c r="R374" s="4"/>
      <c r="S374" s="4"/>
      <c r="T374" s="4"/>
      <c r="U374" s="4"/>
      <c r="V374" s="4"/>
      <c r="W374" s="4"/>
    </row>
    <row r="375" spans="15:23" x14ac:dyDescent="0.25">
      <c r="O375" s="4"/>
      <c r="P375" s="4"/>
      <c r="Q375" s="4"/>
      <c r="R375" s="4"/>
      <c r="S375" s="4"/>
      <c r="T375" s="4"/>
      <c r="U375" s="4"/>
      <c r="V375" s="4"/>
      <c r="W375" s="4"/>
    </row>
    <row r="376" spans="15:23" x14ac:dyDescent="0.25">
      <c r="O376" s="4"/>
      <c r="P376" s="4"/>
      <c r="Q376" s="4"/>
      <c r="R376" s="4"/>
      <c r="S376" s="4"/>
      <c r="T376" s="4"/>
      <c r="U376" s="4"/>
      <c r="V376" s="4"/>
      <c r="W376" s="4"/>
    </row>
    <row r="377" spans="15:23" x14ac:dyDescent="0.25">
      <c r="O377" s="4"/>
      <c r="P377" s="4"/>
      <c r="Q377" s="4"/>
      <c r="R377" s="4"/>
      <c r="S377" s="4"/>
      <c r="T377" s="4"/>
      <c r="U377" s="4"/>
      <c r="V377" s="4"/>
      <c r="W377" s="4"/>
    </row>
    <row r="378" spans="15:23" x14ac:dyDescent="0.25">
      <c r="O378" s="4"/>
      <c r="P378" s="4"/>
      <c r="Q378" s="4"/>
      <c r="R378" s="4"/>
      <c r="S378" s="4"/>
      <c r="T378" s="4"/>
      <c r="U378" s="4"/>
      <c r="V378" s="4"/>
      <c r="W378" s="4"/>
    </row>
    <row r="379" spans="15:23" x14ac:dyDescent="0.25">
      <c r="O379" s="4"/>
      <c r="P379" s="4"/>
      <c r="Q379" s="4"/>
      <c r="R379" s="4"/>
      <c r="S379" s="4"/>
      <c r="T379" s="4"/>
      <c r="U379" s="4"/>
      <c r="V379" s="4"/>
      <c r="W379" s="4"/>
    </row>
    <row r="380" spans="15:23" x14ac:dyDescent="0.25">
      <c r="O380" s="4"/>
      <c r="P380" s="4"/>
      <c r="Q380" s="4"/>
      <c r="R380" s="4"/>
      <c r="S380" s="4"/>
      <c r="T380" s="4"/>
      <c r="U380" s="4"/>
      <c r="V380" s="4"/>
      <c r="W380" s="4"/>
    </row>
    <row r="381" spans="15:23" x14ac:dyDescent="0.25">
      <c r="O381" s="4"/>
      <c r="P381" s="4"/>
      <c r="Q381" s="4"/>
      <c r="R381" s="4"/>
      <c r="S381" s="4"/>
      <c r="T381" s="4"/>
      <c r="U381" s="4"/>
      <c r="V381" s="4"/>
      <c r="W381" s="4"/>
    </row>
    <row r="382" spans="15:23" x14ac:dyDescent="0.25">
      <c r="O382" s="4"/>
      <c r="P382" s="4"/>
      <c r="Q382" s="4"/>
      <c r="R382" s="4"/>
      <c r="S382" s="4"/>
      <c r="T382" s="4"/>
      <c r="U382" s="4"/>
      <c r="V382" s="4"/>
      <c r="W382" s="4"/>
    </row>
    <row r="383" spans="15:23" x14ac:dyDescent="0.25">
      <c r="O383" s="4"/>
      <c r="P383" s="4"/>
      <c r="Q383" s="4"/>
      <c r="R383" s="4"/>
      <c r="S383" s="4"/>
      <c r="T383" s="4"/>
      <c r="U383" s="4"/>
      <c r="V383" s="4"/>
      <c r="W383" s="4"/>
    </row>
    <row r="384" spans="15:23" x14ac:dyDescent="0.25">
      <c r="O384" s="4"/>
      <c r="P384" s="4"/>
      <c r="Q384" s="4"/>
      <c r="R384" s="4"/>
      <c r="S384" s="4"/>
      <c r="T384" s="4"/>
      <c r="U384" s="4"/>
      <c r="V384" s="4"/>
      <c r="W384" s="4"/>
    </row>
    <row r="385" spans="15:23" x14ac:dyDescent="0.25">
      <c r="O385" s="4"/>
      <c r="P385" s="4"/>
      <c r="Q385" s="4"/>
      <c r="R385" s="4"/>
      <c r="S385" s="4"/>
      <c r="T385" s="4"/>
      <c r="U385" s="4"/>
      <c r="V385" s="4"/>
      <c r="W385" s="4"/>
    </row>
    <row r="386" spans="15:23" x14ac:dyDescent="0.25">
      <c r="O386" s="4"/>
      <c r="P386" s="4"/>
      <c r="Q386" s="4"/>
      <c r="R386" s="4"/>
      <c r="S386" s="4"/>
      <c r="T386" s="4"/>
      <c r="U386" s="4"/>
      <c r="V386" s="4"/>
      <c r="W386" s="4"/>
    </row>
    <row r="387" spans="15:23" x14ac:dyDescent="0.25">
      <c r="O387" s="4"/>
      <c r="P387" s="4"/>
      <c r="Q387" s="4"/>
      <c r="R387" s="4"/>
      <c r="S387" s="4"/>
      <c r="T387" s="4"/>
      <c r="U387" s="4"/>
      <c r="V387" s="4"/>
      <c r="W387" s="4"/>
    </row>
    <row r="388" spans="15:23" x14ac:dyDescent="0.25">
      <c r="O388" s="4"/>
      <c r="P388" s="4"/>
      <c r="Q388" s="4"/>
      <c r="R388" s="4"/>
      <c r="S388" s="4"/>
      <c r="T388" s="4"/>
      <c r="U388" s="4"/>
      <c r="V388" s="4"/>
      <c r="W388" s="4"/>
    </row>
    <row r="389" spans="15:23" x14ac:dyDescent="0.25">
      <c r="O389" s="4"/>
      <c r="P389" s="4"/>
      <c r="Q389" s="4"/>
      <c r="R389" s="4"/>
      <c r="S389" s="4"/>
      <c r="T389" s="4"/>
      <c r="U389" s="4"/>
      <c r="V389" s="4"/>
      <c r="W389" s="4"/>
    </row>
    <row r="390" spans="15:23" x14ac:dyDescent="0.25">
      <c r="O390" s="4"/>
      <c r="P390" s="4"/>
      <c r="Q390" s="4"/>
      <c r="R390" s="4"/>
      <c r="S390" s="4"/>
      <c r="T390" s="4"/>
      <c r="U390" s="4"/>
      <c r="V390" s="4"/>
      <c r="W390" s="4"/>
    </row>
    <row r="391" spans="15:23" x14ac:dyDescent="0.25">
      <c r="O391" s="4"/>
      <c r="P391" s="4"/>
      <c r="Q391" s="4"/>
      <c r="R391" s="4"/>
      <c r="S391" s="4"/>
      <c r="T391" s="4"/>
      <c r="U391" s="4"/>
      <c r="V391" s="4"/>
      <c r="W391" s="4"/>
    </row>
    <row r="392" spans="15:23" x14ac:dyDescent="0.25">
      <c r="O392" s="4"/>
      <c r="P392" s="4"/>
      <c r="Q392" s="4"/>
      <c r="R392" s="4"/>
      <c r="S392" s="4"/>
      <c r="T392" s="4"/>
      <c r="U392" s="4"/>
      <c r="V392" s="4"/>
      <c r="W392" s="4"/>
    </row>
    <row r="393" spans="15:23" x14ac:dyDescent="0.25">
      <c r="O393" s="4"/>
      <c r="P393" s="4"/>
      <c r="Q393" s="4"/>
      <c r="R393" s="4"/>
      <c r="S393" s="4"/>
      <c r="T393" s="4"/>
      <c r="U393" s="4"/>
      <c r="V393" s="4"/>
      <c r="W393" s="4"/>
    </row>
    <row r="394" spans="15:23" x14ac:dyDescent="0.25">
      <c r="O394" s="4"/>
      <c r="P394" s="4"/>
      <c r="Q394" s="4"/>
      <c r="R394" s="4"/>
      <c r="S394" s="4"/>
      <c r="T394" s="4"/>
      <c r="U394" s="4"/>
      <c r="V394" s="4"/>
      <c r="W394" s="4"/>
    </row>
    <row r="395" spans="15:23" x14ac:dyDescent="0.25">
      <c r="O395" s="4"/>
      <c r="P395" s="4"/>
      <c r="Q395" s="4"/>
      <c r="R395" s="4"/>
      <c r="S395" s="4"/>
      <c r="T395" s="4"/>
      <c r="U395" s="4"/>
      <c r="V395" s="4"/>
      <c r="W395" s="4"/>
    </row>
    <row r="396" spans="15:23" x14ac:dyDescent="0.25">
      <c r="O396" s="4"/>
      <c r="P396" s="4"/>
      <c r="Q396" s="4"/>
      <c r="R396" s="4"/>
      <c r="S396" s="4"/>
      <c r="T396" s="4"/>
      <c r="U396" s="4"/>
      <c r="V396" s="4"/>
      <c r="W396" s="4"/>
    </row>
    <row r="397" spans="15:23" x14ac:dyDescent="0.25">
      <c r="O397" s="4"/>
      <c r="P397" s="4"/>
      <c r="Q397" s="4"/>
      <c r="R397" s="4"/>
      <c r="S397" s="4"/>
      <c r="T397" s="4"/>
      <c r="U397" s="4"/>
      <c r="V397" s="4"/>
      <c r="W397" s="4"/>
    </row>
    <row r="398" spans="15:23" x14ac:dyDescent="0.25">
      <c r="O398" s="4"/>
      <c r="P398" s="4"/>
      <c r="Q398" s="4"/>
      <c r="R398" s="4"/>
      <c r="S398" s="4"/>
      <c r="T398" s="4"/>
      <c r="U398" s="4"/>
      <c r="V398" s="4"/>
      <c r="W398" s="4"/>
    </row>
    <row r="399" spans="15:23" x14ac:dyDescent="0.25">
      <c r="O399" s="4"/>
      <c r="P399" s="4"/>
      <c r="Q399" s="4"/>
      <c r="R399" s="4"/>
      <c r="S399" s="4"/>
      <c r="T399" s="4"/>
      <c r="U399" s="4"/>
      <c r="V399" s="4"/>
      <c r="W399" s="4"/>
    </row>
    <row r="400" spans="15:23" x14ac:dyDescent="0.25">
      <c r="O400" s="4"/>
      <c r="P400" s="4"/>
      <c r="Q400" s="4"/>
      <c r="R400" s="4"/>
      <c r="S400" s="4"/>
      <c r="T400" s="4"/>
      <c r="U400" s="4"/>
      <c r="V400" s="4"/>
      <c r="W400" s="4"/>
    </row>
    <row r="401" spans="15:23" x14ac:dyDescent="0.25">
      <c r="O401" s="4"/>
      <c r="P401" s="4"/>
      <c r="Q401" s="4"/>
      <c r="R401" s="4"/>
      <c r="S401" s="4"/>
      <c r="T401" s="4"/>
      <c r="U401" s="4"/>
      <c r="V401" s="4"/>
      <c r="W401" s="4"/>
    </row>
    <row r="402" spans="15:23" x14ac:dyDescent="0.25">
      <c r="O402" s="4"/>
      <c r="P402" s="4"/>
      <c r="Q402" s="4"/>
      <c r="R402" s="4"/>
      <c r="S402" s="4"/>
      <c r="T402" s="4"/>
      <c r="U402" s="4"/>
      <c r="V402" s="4"/>
      <c r="W402" s="4"/>
    </row>
    <row r="403" spans="15:23" x14ac:dyDescent="0.25">
      <c r="O403" s="4"/>
      <c r="P403" s="4"/>
      <c r="Q403" s="4"/>
      <c r="R403" s="4"/>
      <c r="S403" s="4"/>
      <c r="T403" s="4"/>
      <c r="U403" s="4"/>
      <c r="V403" s="4"/>
      <c r="W403" s="4"/>
    </row>
    <row r="404" spans="15:23" x14ac:dyDescent="0.25">
      <c r="O404" s="4"/>
      <c r="P404" s="4"/>
      <c r="Q404" s="4"/>
      <c r="R404" s="4"/>
      <c r="S404" s="4"/>
      <c r="T404" s="4"/>
      <c r="U404" s="4"/>
      <c r="V404" s="4"/>
      <c r="W404" s="4"/>
    </row>
    <row r="405" spans="15:23" x14ac:dyDescent="0.25">
      <c r="O405" s="4"/>
      <c r="P405" s="4"/>
      <c r="Q405" s="4"/>
      <c r="R405" s="4"/>
      <c r="S405" s="4"/>
      <c r="T405" s="4"/>
      <c r="U405" s="4"/>
      <c r="V405" s="4"/>
      <c r="W405" s="4"/>
    </row>
    <row r="406" spans="15:23" x14ac:dyDescent="0.25">
      <c r="O406" s="4"/>
      <c r="P406" s="4"/>
      <c r="Q406" s="4"/>
      <c r="R406" s="4"/>
      <c r="S406" s="4"/>
      <c r="T406" s="4"/>
      <c r="U406" s="4"/>
      <c r="V406" s="4"/>
      <c r="W406" s="4"/>
    </row>
    <row r="407" spans="15:23" x14ac:dyDescent="0.25">
      <c r="O407" s="4"/>
      <c r="P407" s="4"/>
      <c r="Q407" s="4"/>
      <c r="R407" s="4"/>
      <c r="S407" s="4"/>
      <c r="T407" s="4"/>
      <c r="U407" s="4"/>
      <c r="V407" s="4"/>
      <c r="W407" s="4"/>
    </row>
    <row r="408" spans="15:23" x14ac:dyDescent="0.25">
      <c r="O408" s="4"/>
      <c r="P408" s="4"/>
      <c r="Q408" s="4"/>
      <c r="R408" s="4"/>
      <c r="S408" s="4"/>
      <c r="T408" s="4"/>
      <c r="U408" s="4"/>
      <c r="V408" s="4"/>
      <c r="W408" s="4"/>
    </row>
    <row r="409" spans="15:23" x14ac:dyDescent="0.25">
      <c r="O409" s="4"/>
      <c r="P409" s="4"/>
      <c r="Q409" s="4"/>
      <c r="R409" s="4"/>
      <c r="S409" s="4"/>
      <c r="T409" s="4"/>
      <c r="U409" s="4"/>
      <c r="V409" s="4"/>
      <c r="W409" s="4"/>
    </row>
    <row r="410" spans="15:23" x14ac:dyDescent="0.25">
      <c r="O410" s="4"/>
      <c r="P410" s="4"/>
      <c r="Q410" s="4"/>
      <c r="R410" s="4"/>
      <c r="S410" s="4"/>
      <c r="T410" s="4"/>
      <c r="U410" s="4"/>
      <c r="V410" s="4"/>
      <c r="W410" s="4"/>
    </row>
    <row r="411" spans="15:23" x14ac:dyDescent="0.25">
      <c r="O411" s="4"/>
      <c r="P411" s="4"/>
      <c r="Q411" s="4"/>
      <c r="R411" s="4"/>
      <c r="S411" s="4"/>
      <c r="T411" s="4"/>
      <c r="U411" s="4"/>
      <c r="V411" s="4"/>
      <c r="W411" s="4"/>
    </row>
    <row r="412" spans="15:23" x14ac:dyDescent="0.25">
      <c r="O412" s="4"/>
      <c r="P412" s="4"/>
      <c r="Q412" s="4"/>
      <c r="R412" s="4"/>
      <c r="S412" s="4"/>
      <c r="T412" s="4"/>
      <c r="U412" s="4"/>
      <c r="V412" s="4"/>
      <c r="W412" s="4"/>
    </row>
    <row r="413" spans="15:23" x14ac:dyDescent="0.25">
      <c r="O413" s="4"/>
      <c r="P413" s="4"/>
      <c r="Q413" s="4"/>
      <c r="R413" s="4"/>
      <c r="S413" s="4"/>
      <c r="T413" s="4"/>
      <c r="U413" s="4"/>
      <c r="V413" s="4"/>
      <c r="W413" s="4"/>
    </row>
    <row r="414" spans="15:23" x14ac:dyDescent="0.25">
      <c r="O414" s="4"/>
      <c r="P414" s="4"/>
      <c r="Q414" s="4"/>
      <c r="R414" s="4"/>
      <c r="S414" s="4"/>
      <c r="T414" s="4"/>
      <c r="U414" s="4"/>
      <c r="V414" s="4"/>
      <c r="W414" s="4"/>
    </row>
    <row r="415" spans="15:23" x14ac:dyDescent="0.25">
      <c r="O415" s="4"/>
      <c r="P415" s="4"/>
      <c r="Q415" s="4"/>
      <c r="R415" s="4"/>
      <c r="S415" s="4"/>
      <c r="T415" s="4"/>
      <c r="U415" s="4"/>
      <c r="V415" s="4"/>
      <c r="W415" s="4"/>
    </row>
    <row r="416" spans="15:23" x14ac:dyDescent="0.25">
      <c r="O416" s="4"/>
      <c r="P416" s="4"/>
      <c r="Q416" s="4"/>
      <c r="R416" s="4"/>
      <c r="S416" s="4"/>
      <c r="T416" s="4"/>
      <c r="U416" s="4"/>
      <c r="V416" s="4"/>
      <c r="W416" s="4"/>
    </row>
    <row r="417" spans="15:23" x14ac:dyDescent="0.25">
      <c r="O417" s="4"/>
      <c r="P417" s="4"/>
      <c r="Q417" s="4"/>
      <c r="R417" s="4"/>
      <c r="S417" s="4"/>
      <c r="T417" s="4"/>
      <c r="U417" s="4"/>
      <c r="V417" s="4"/>
      <c r="W417" s="4"/>
    </row>
    <row r="418" spans="15:23" x14ac:dyDescent="0.25">
      <c r="O418" s="4"/>
      <c r="P418" s="4"/>
      <c r="Q418" s="4"/>
      <c r="R418" s="4"/>
      <c r="S418" s="4"/>
      <c r="T418" s="4"/>
      <c r="U418" s="4"/>
      <c r="V418" s="4"/>
      <c r="W418" s="4"/>
    </row>
    <row r="419" spans="15:23" x14ac:dyDescent="0.25">
      <c r="O419" s="4"/>
      <c r="P419" s="4"/>
      <c r="Q419" s="4"/>
      <c r="R419" s="4"/>
      <c r="S419" s="4"/>
      <c r="T419" s="4"/>
      <c r="U419" s="4"/>
      <c r="V419" s="4"/>
      <c r="W419" s="4"/>
    </row>
    <row r="420" spans="15:23" x14ac:dyDescent="0.25">
      <c r="O420" s="4"/>
      <c r="P420" s="4"/>
      <c r="Q420" s="4"/>
      <c r="R420" s="4"/>
      <c r="S420" s="4"/>
      <c r="T420" s="4"/>
      <c r="U420" s="4"/>
      <c r="V420" s="4"/>
      <c r="W420" s="4"/>
    </row>
    <row r="421" spans="15:23" x14ac:dyDescent="0.25">
      <c r="O421" s="4"/>
      <c r="P421" s="4"/>
      <c r="Q421" s="4"/>
      <c r="R421" s="4"/>
      <c r="S421" s="4"/>
      <c r="T421" s="4"/>
      <c r="U421" s="4"/>
      <c r="V421" s="4"/>
      <c r="W421" s="4"/>
    </row>
    <row r="422" spans="15:23" x14ac:dyDescent="0.25">
      <c r="O422" s="4"/>
      <c r="P422" s="4"/>
      <c r="Q422" s="4"/>
      <c r="R422" s="4"/>
      <c r="S422" s="4"/>
      <c r="T422" s="4"/>
      <c r="U422" s="4"/>
      <c r="V422" s="4"/>
      <c r="W422" s="4"/>
    </row>
    <row r="423" spans="15:23" x14ac:dyDescent="0.25">
      <c r="O423" s="4"/>
      <c r="P423" s="4"/>
      <c r="Q423" s="4"/>
      <c r="R423" s="4"/>
      <c r="S423" s="4"/>
      <c r="T423" s="4"/>
      <c r="U423" s="4"/>
      <c r="V423" s="4"/>
      <c r="W423" s="4"/>
    </row>
    <row r="424" spans="15:23" x14ac:dyDescent="0.25">
      <c r="O424" s="4"/>
      <c r="P424" s="4"/>
      <c r="Q424" s="4"/>
      <c r="R424" s="4"/>
      <c r="S424" s="4"/>
      <c r="T424" s="4"/>
      <c r="U424" s="4"/>
      <c r="V424" s="4"/>
      <c r="W424" s="4"/>
    </row>
    <row r="425" spans="15:23" x14ac:dyDescent="0.25">
      <c r="O425" s="4"/>
      <c r="P425" s="4"/>
      <c r="Q425" s="4"/>
      <c r="R425" s="4"/>
      <c r="S425" s="4"/>
      <c r="T425" s="4"/>
      <c r="U425" s="4"/>
      <c r="V425" s="4"/>
      <c r="W425" s="4"/>
    </row>
    <row r="426" spans="15:23" x14ac:dyDescent="0.25">
      <c r="O426" s="4"/>
      <c r="P426" s="4"/>
      <c r="Q426" s="4"/>
      <c r="R426" s="4"/>
      <c r="S426" s="4"/>
      <c r="T426" s="4"/>
      <c r="U426" s="4"/>
      <c r="V426" s="4"/>
      <c r="W426" s="4"/>
    </row>
    <row r="427" spans="15:23" x14ac:dyDescent="0.25">
      <c r="O427" s="4"/>
      <c r="P427" s="4"/>
      <c r="Q427" s="4"/>
      <c r="R427" s="4"/>
      <c r="S427" s="4"/>
      <c r="T427" s="4"/>
      <c r="U427" s="4"/>
      <c r="V427" s="4"/>
      <c r="W427" s="4"/>
    </row>
    <row r="428" spans="15:23" x14ac:dyDescent="0.25">
      <c r="O428" s="4"/>
      <c r="P428" s="4"/>
      <c r="Q428" s="4"/>
      <c r="R428" s="4"/>
      <c r="S428" s="4"/>
      <c r="T428" s="4"/>
      <c r="U428" s="4"/>
      <c r="V428" s="4"/>
      <c r="W428" s="4"/>
    </row>
    <row r="429" spans="15:23" x14ac:dyDescent="0.25">
      <c r="O429" s="4"/>
      <c r="P429" s="4"/>
      <c r="Q429" s="4"/>
      <c r="R429" s="4"/>
      <c r="S429" s="4"/>
      <c r="T429" s="4"/>
      <c r="U429" s="4"/>
      <c r="V429" s="4"/>
      <c r="W429" s="4"/>
    </row>
    <row r="430" spans="15:23" x14ac:dyDescent="0.25">
      <c r="O430" s="4"/>
      <c r="P430" s="4"/>
      <c r="Q430" s="4"/>
      <c r="R430" s="4"/>
      <c r="S430" s="4"/>
      <c r="T430" s="4"/>
      <c r="U430" s="4"/>
      <c r="V430" s="4"/>
      <c r="W430" s="4"/>
    </row>
    <row r="431" spans="15:23" x14ac:dyDescent="0.25">
      <c r="O431" s="4"/>
      <c r="P431" s="4"/>
      <c r="Q431" s="4"/>
      <c r="R431" s="4"/>
      <c r="S431" s="4"/>
      <c r="T431" s="4"/>
      <c r="U431" s="4"/>
      <c r="V431" s="4"/>
      <c r="W431" s="4"/>
    </row>
    <row r="432" spans="15:23" x14ac:dyDescent="0.25">
      <c r="O432" s="4"/>
      <c r="P432" s="4"/>
      <c r="Q432" s="4"/>
      <c r="R432" s="4"/>
      <c r="S432" s="4"/>
      <c r="T432" s="4"/>
      <c r="U432" s="4"/>
      <c r="V432" s="4"/>
      <c r="W432" s="4"/>
    </row>
    <row r="433" spans="15:23" x14ac:dyDescent="0.25">
      <c r="O433" s="4"/>
      <c r="P433" s="4"/>
      <c r="Q433" s="4"/>
      <c r="R433" s="4"/>
      <c r="S433" s="4"/>
      <c r="T433" s="4"/>
      <c r="U433" s="4"/>
      <c r="V433" s="4"/>
      <c r="W433" s="4"/>
    </row>
    <row r="434" spans="15:23" x14ac:dyDescent="0.25">
      <c r="O434" s="4"/>
      <c r="P434" s="4"/>
      <c r="Q434" s="4"/>
      <c r="R434" s="4"/>
      <c r="S434" s="4"/>
      <c r="T434" s="4"/>
      <c r="U434" s="4"/>
      <c r="V434" s="4"/>
      <c r="W434" s="4"/>
    </row>
    <row r="435" spans="15:23" x14ac:dyDescent="0.25">
      <c r="O435" s="4"/>
      <c r="P435" s="4"/>
      <c r="Q435" s="4"/>
      <c r="R435" s="4"/>
      <c r="S435" s="4"/>
      <c r="T435" s="4"/>
      <c r="U435" s="4"/>
      <c r="V435" s="4"/>
      <c r="W435" s="4"/>
    </row>
    <row r="436" spans="15:23" x14ac:dyDescent="0.25">
      <c r="O436" s="4"/>
      <c r="P436" s="4"/>
      <c r="Q436" s="4"/>
      <c r="R436" s="4"/>
      <c r="S436" s="4"/>
      <c r="T436" s="4"/>
      <c r="U436" s="4"/>
      <c r="V436" s="4"/>
      <c r="W436" s="4"/>
    </row>
    <row r="437" spans="15:23" x14ac:dyDescent="0.25">
      <c r="O437" s="4"/>
      <c r="P437" s="4"/>
      <c r="Q437" s="4"/>
      <c r="R437" s="4"/>
      <c r="S437" s="4"/>
      <c r="T437" s="4"/>
      <c r="U437" s="4"/>
      <c r="V437" s="4"/>
      <c r="W437" s="4"/>
    </row>
    <row r="438" spans="15:23" x14ac:dyDescent="0.25">
      <c r="O438" s="4"/>
      <c r="P438" s="4"/>
      <c r="Q438" s="4"/>
      <c r="R438" s="4"/>
      <c r="S438" s="4"/>
      <c r="T438" s="4"/>
      <c r="U438" s="4"/>
      <c r="V438" s="4"/>
      <c r="W438" s="4"/>
    </row>
    <row r="439" spans="15:23" x14ac:dyDescent="0.25">
      <c r="O439" s="4"/>
      <c r="P439" s="4"/>
      <c r="Q439" s="4"/>
      <c r="R439" s="4"/>
      <c r="S439" s="4"/>
      <c r="T439" s="4"/>
      <c r="U439" s="4"/>
      <c r="V439" s="4"/>
      <c r="W439" s="4"/>
    </row>
    <row r="440" spans="15:23" x14ac:dyDescent="0.25">
      <c r="O440" s="4"/>
      <c r="P440" s="4"/>
      <c r="Q440" s="4"/>
      <c r="R440" s="4"/>
      <c r="S440" s="4"/>
      <c r="T440" s="4"/>
      <c r="U440" s="4"/>
      <c r="V440" s="4"/>
      <c r="W440" s="4"/>
    </row>
    <row r="441" spans="15:23" x14ac:dyDescent="0.25">
      <c r="O441" s="4"/>
      <c r="P441" s="4"/>
      <c r="Q441" s="4"/>
      <c r="R441" s="4"/>
      <c r="S441" s="4"/>
      <c r="T441" s="4"/>
      <c r="U441" s="4"/>
      <c r="V441" s="4"/>
      <c r="W441" s="4"/>
    </row>
    <row r="442" spans="15:23" x14ac:dyDescent="0.25">
      <c r="O442" s="4"/>
      <c r="P442" s="4"/>
      <c r="Q442" s="4"/>
      <c r="R442" s="4"/>
      <c r="S442" s="4"/>
      <c r="T442" s="4"/>
      <c r="U442" s="4"/>
      <c r="V442" s="4"/>
      <c r="W442" s="4"/>
    </row>
    <row r="443" spans="15:23" x14ac:dyDescent="0.25">
      <c r="O443" s="4"/>
      <c r="P443" s="4"/>
      <c r="Q443" s="4"/>
      <c r="R443" s="4"/>
      <c r="S443" s="4"/>
      <c r="T443" s="4"/>
      <c r="U443" s="4"/>
      <c r="V443" s="4"/>
      <c r="W443" s="4"/>
    </row>
    <row r="444" spans="15:23" x14ac:dyDescent="0.25">
      <c r="O444" s="4"/>
      <c r="P444" s="4"/>
      <c r="Q444" s="4"/>
      <c r="R444" s="4"/>
      <c r="S444" s="4"/>
      <c r="T444" s="4"/>
      <c r="U444" s="4"/>
      <c r="V444" s="4"/>
      <c r="W444" s="4"/>
    </row>
    <row r="445" spans="15:23" x14ac:dyDescent="0.25">
      <c r="O445" s="4"/>
      <c r="P445" s="4"/>
      <c r="Q445" s="4"/>
      <c r="R445" s="4"/>
      <c r="S445" s="4"/>
      <c r="T445" s="4"/>
      <c r="U445" s="4"/>
      <c r="V445" s="4"/>
      <c r="W445" s="4"/>
    </row>
    <row r="446" spans="15:23" x14ac:dyDescent="0.25">
      <c r="O446" s="4"/>
      <c r="P446" s="4"/>
      <c r="Q446" s="4"/>
      <c r="R446" s="4"/>
      <c r="S446" s="4"/>
      <c r="T446" s="4"/>
      <c r="U446" s="4"/>
      <c r="V446" s="4"/>
      <c r="W446" s="4"/>
    </row>
    <row r="447" spans="15:23" x14ac:dyDescent="0.25">
      <c r="O447" s="4"/>
      <c r="P447" s="4"/>
      <c r="Q447" s="4"/>
      <c r="R447" s="4"/>
      <c r="S447" s="4"/>
      <c r="T447" s="4"/>
      <c r="U447" s="4"/>
      <c r="V447" s="4"/>
      <c r="W447" s="4"/>
    </row>
    <row r="448" spans="15:23" x14ac:dyDescent="0.25">
      <c r="O448" s="4"/>
      <c r="P448" s="4"/>
      <c r="Q448" s="4"/>
      <c r="R448" s="4"/>
      <c r="S448" s="4"/>
      <c r="T448" s="4"/>
      <c r="U448" s="4"/>
      <c r="V448" s="4"/>
      <c r="W448" s="4"/>
    </row>
    <row r="449" spans="15:23" x14ac:dyDescent="0.25">
      <c r="O449" s="4"/>
      <c r="P449" s="4"/>
      <c r="Q449" s="4"/>
      <c r="R449" s="4"/>
      <c r="S449" s="4"/>
      <c r="T449" s="4"/>
      <c r="U449" s="4"/>
      <c r="V449" s="4"/>
      <c r="W449" s="4"/>
    </row>
    <row r="450" spans="15:23" x14ac:dyDescent="0.25">
      <c r="O450" s="4"/>
      <c r="P450" s="4"/>
      <c r="Q450" s="4"/>
      <c r="R450" s="4"/>
      <c r="S450" s="4"/>
      <c r="T450" s="4"/>
      <c r="U450" s="4"/>
      <c r="V450" s="4"/>
      <c r="W450" s="4"/>
    </row>
    <row r="451" spans="15:23" x14ac:dyDescent="0.25">
      <c r="O451" s="4"/>
      <c r="P451" s="4"/>
      <c r="Q451" s="4"/>
      <c r="R451" s="4"/>
      <c r="S451" s="4"/>
      <c r="T451" s="4"/>
      <c r="U451" s="4"/>
      <c r="V451" s="4"/>
      <c r="W451" s="4"/>
    </row>
    <row r="452" spans="15:23" x14ac:dyDescent="0.25">
      <c r="O452" s="4"/>
      <c r="P452" s="4"/>
      <c r="Q452" s="4"/>
      <c r="R452" s="4"/>
      <c r="S452" s="4"/>
      <c r="T452" s="4"/>
      <c r="U452" s="4"/>
      <c r="V452" s="4"/>
      <c r="W452" s="4"/>
    </row>
    <row r="453" spans="15:23" x14ac:dyDescent="0.25">
      <c r="O453" s="4"/>
      <c r="P453" s="4"/>
      <c r="Q453" s="4"/>
      <c r="R453" s="4"/>
      <c r="S453" s="4"/>
      <c r="T453" s="4"/>
      <c r="U453" s="4"/>
      <c r="V453" s="4"/>
      <c r="W453" s="4"/>
    </row>
    <row r="454" spans="15:23" x14ac:dyDescent="0.25">
      <c r="O454" s="4"/>
      <c r="P454" s="4"/>
      <c r="Q454" s="4"/>
      <c r="R454" s="4"/>
      <c r="S454" s="4"/>
      <c r="T454" s="4"/>
      <c r="U454" s="4"/>
      <c r="V454" s="4"/>
      <c r="W454" s="4"/>
    </row>
    <row r="455" spans="15:23" x14ac:dyDescent="0.25">
      <c r="O455" s="4"/>
      <c r="P455" s="4"/>
      <c r="Q455" s="4"/>
      <c r="R455" s="4"/>
      <c r="S455" s="4"/>
      <c r="T455" s="4"/>
      <c r="U455" s="4"/>
      <c r="V455" s="4"/>
      <c r="W455" s="4"/>
    </row>
    <row r="456" spans="15:23" x14ac:dyDescent="0.25">
      <c r="O456" s="4"/>
      <c r="P456" s="4"/>
      <c r="Q456" s="4"/>
      <c r="R456" s="4"/>
      <c r="S456" s="4"/>
      <c r="T456" s="4"/>
      <c r="U456" s="4"/>
      <c r="V456" s="4"/>
      <c r="W456" s="4"/>
    </row>
    <row r="457" spans="15:23" x14ac:dyDescent="0.25">
      <c r="O457" s="4"/>
      <c r="P457" s="4"/>
      <c r="Q457" s="4"/>
      <c r="R457" s="4"/>
      <c r="S457" s="4"/>
      <c r="T457" s="4"/>
      <c r="U457" s="4"/>
      <c r="V457" s="4"/>
      <c r="W457" s="4"/>
    </row>
    <row r="458" spans="15:23" x14ac:dyDescent="0.25">
      <c r="O458" s="4"/>
      <c r="P458" s="4"/>
      <c r="Q458" s="4"/>
      <c r="R458" s="4"/>
      <c r="S458" s="4"/>
      <c r="T458" s="4"/>
      <c r="U458" s="4"/>
      <c r="V458" s="4"/>
      <c r="W458" s="4"/>
    </row>
    <row r="459" spans="15:23" x14ac:dyDescent="0.25">
      <c r="O459" s="4"/>
      <c r="P459" s="4"/>
      <c r="Q459" s="4"/>
      <c r="R459" s="4"/>
      <c r="S459" s="4"/>
      <c r="T459" s="4"/>
      <c r="U459" s="4"/>
      <c r="V459" s="4"/>
      <c r="W459" s="4"/>
    </row>
    <row r="460" spans="15:23" x14ac:dyDescent="0.25">
      <c r="O460" s="4"/>
      <c r="P460" s="4"/>
      <c r="Q460" s="4"/>
      <c r="R460" s="4"/>
      <c r="S460" s="4"/>
      <c r="T460" s="4"/>
      <c r="U460" s="4"/>
      <c r="V460" s="4"/>
      <c r="W460" s="4"/>
    </row>
    <row r="461" spans="15:23" x14ac:dyDescent="0.25">
      <c r="O461" s="4"/>
      <c r="P461" s="4"/>
      <c r="Q461" s="4"/>
      <c r="R461" s="4"/>
      <c r="S461" s="4"/>
      <c r="T461" s="4"/>
      <c r="U461" s="4"/>
      <c r="V461" s="4"/>
      <c r="W461" s="4"/>
    </row>
    <row r="462" spans="15:23" x14ac:dyDescent="0.25">
      <c r="O462" s="4"/>
      <c r="P462" s="4"/>
      <c r="Q462" s="4"/>
      <c r="R462" s="4"/>
      <c r="S462" s="4"/>
      <c r="T462" s="4"/>
      <c r="U462" s="4"/>
      <c r="V462" s="4"/>
      <c r="W462" s="4"/>
    </row>
  </sheetData>
  <autoFilter ref="A2:W26"/>
  <customSheetViews>
    <customSheetView guid="{679A3195-3DEA-4AC2-A535-82AAF5B552BC}" showAutoFilter="1" hiddenColumns="1">
      <selection activeCell="J26" sqref="J26"/>
      <pageMargins left="0.7" right="0.7" top="0.75" bottom="0.75" header="0.3" footer="0.3"/>
      <pageSetup orientation="portrait" verticalDpi="4294967293" r:id="rId1"/>
      <autoFilter ref="A2:W26"/>
    </customSheetView>
    <customSheetView guid="{7378B641-E8D1-4C14-8151-CF4CE159D121}" filter="1" showAutoFilter="1" hiddenColumns="1">
      <pane xSplit="3" ySplit="151" topLeftCell="D153" activePane="bottomRight" state="frozen"/>
      <selection pane="bottomRight" activeCell="A23" sqref="A23:XFD23"/>
      <pageMargins left="0.7" right="0.7" top="0.75" bottom="0.75" header="0.3" footer="0.3"/>
      <pageSetup orientation="portrait" verticalDpi="4294967293" r:id="rId2"/>
      <autoFilter ref="B2:W152">
        <filterColumn colId="1">
          <filters>
            <filter val="Choice of Modeling Software"/>
            <filter val="Whole House Modeling and Site Visit Procedures"/>
          </filters>
        </filterColumn>
      </autoFilter>
    </customSheetView>
    <customSheetView guid="{6D63B10B-E1E6-452A-80EB-4B2C7D61CF66}" showAutoFilter="1" hiddenColumns="1">
      <selection activeCell="J26" sqref="J26"/>
      <pageMargins left="0.7" right="0.7" top="0.75" bottom="0.75" header="0.3" footer="0.3"/>
      <pageSetup orientation="portrait" verticalDpi="4294967293" r:id="rId3"/>
      <autoFilter ref="A2:W26"/>
    </customSheetView>
  </customSheetViews>
  <dataValidations count="4">
    <dataValidation type="list" allowBlank="1" showInputMessage="1" sqref="B1:B1048576">
      <formula1>Area</formula1>
    </dataValidation>
    <dataValidation type="list" allowBlank="1" showInputMessage="1" sqref="I1:I1048576">
      <formula1>SCEActors</formula1>
    </dataValidation>
    <dataValidation type="list" allowBlank="1" showInputMessage="1" sqref="H1:H1048576">
      <formula1>PGEActors</formula1>
    </dataValidation>
    <dataValidation type="list" allowBlank="1" showInputMessage="1" sqref="E1:G1048576">
      <formula1>Barriers</formula1>
    </dataValidation>
  </dataValidations>
  <hyperlinks>
    <hyperlink ref="B1" location="Captions!A1" display="Link to Captions"/>
    <hyperlink ref="C1" location="Findings!A1" display="Link to Findings"/>
    <hyperlink ref="J3" location="Findings!A14" display="Findings!A14"/>
    <hyperlink ref="J4" location="Findings!A19" display="Findings!A19"/>
    <hyperlink ref="K3" location="Findings!A15" display="Findings!A15"/>
    <hyperlink ref="L3" location="Findings!A16" display="Findings!A16"/>
    <hyperlink ref="M3" location="Findings!A31" display="Findings!A31"/>
    <hyperlink ref="K4" location="Findings!A20" display="Findings!A20"/>
    <hyperlink ref="L4" location="Findings!A21" display="Findings!A21"/>
    <hyperlink ref="M4" location="Findings!A34" display="Findings!A34"/>
    <hyperlink ref="J5" location="Findings!A19" display="Findings!A19"/>
    <hyperlink ref="K5" location="Findings!A20" display="Findings!A20"/>
    <hyperlink ref="L5" location="Findings!A22" display="Findings!A22"/>
    <hyperlink ref="M5" location="Findings!A25" display="Findings!A25"/>
    <hyperlink ref="N5" location="Findings!A28" display="Findings!A28"/>
    <hyperlink ref="J6" location="Findings!A29" display="Findings!A29"/>
    <hyperlink ref="K6" location="Findings!A34" display="Findings!A34"/>
    <hyperlink ref="J7" location="Findings!A7" display="Findings!A7"/>
    <hyperlink ref="K7" location="Findings!A8" display="Findings!A8"/>
    <hyperlink ref="L7" location="Findings!A10" display="Findings!A10"/>
    <hyperlink ref="M7" location="Findings!A11" display="Findings!A11"/>
    <hyperlink ref="N7" location="Findings!A12" display="Findings!A12"/>
    <hyperlink ref="O7" location="Findings!A14" display="Findings!A14"/>
    <hyperlink ref="P7" location="Findings!A17" display="Findings!A17"/>
    <hyperlink ref="Q7" location="Findings!A18" display="Findings!A18"/>
    <hyperlink ref="R7" location="Findings!A30" display="Findings!A30"/>
    <hyperlink ref="S7" location="Findings!A31" display="Findings!A31"/>
    <hyperlink ref="T7" location="Findings!A32" display="Findings!A32"/>
    <hyperlink ref="U7" location="Findings!A36" display="Findings!A36"/>
    <hyperlink ref="V7" location="Findings!A41" display="Findings!A41"/>
    <hyperlink ref="W7" location="Findings!A63" display="Findings!A63"/>
    <hyperlink ref="J8" location="Findings!A8" display="Findings!A8"/>
    <hyperlink ref="K8" location="Findings!A9" display="Findings!A9"/>
    <hyperlink ref="L8" location="Findings!A12" display="Findings!A12"/>
    <hyperlink ref="J9" location="Findings!A9" display="Findings!A9"/>
    <hyperlink ref="J10" location="Findings!A13" display="Findings!A13"/>
    <hyperlink ref="J11" location="Findings!A19" display="Findings!A19"/>
    <hyperlink ref="J12" location="Findings!A23" display="Findings!A23"/>
    <hyperlink ref="J13" location="Findings!A5" display="Findings!A5"/>
    <hyperlink ref="K13" location="Findings!A14" display="Findings!A14"/>
    <hyperlink ref="L13" location="Findings!A16" display="Findings!A16"/>
    <hyperlink ref="M13" location="Findings!A27" display="Findings!A27"/>
    <hyperlink ref="J14" location="Findings!A27" display="Findings!A27"/>
    <hyperlink ref="J15" location="Findings!A64" display="Findings!A64"/>
    <hyperlink ref="J16" location="Findings!A44" display="Findings!A44"/>
    <hyperlink ref="K16" location="Findings!A45" display="Findings!A45"/>
    <hyperlink ref="L16" location="Findings!A50" display="Findings!A50"/>
    <hyperlink ref="J17" location="Findings!A62" display="Findings!A62"/>
    <hyperlink ref="J18" location="Findings!A54" display="Findings!A54"/>
    <hyperlink ref="K18" location="Findings!A60" display="Findings!A60"/>
    <hyperlink ref="J19" location="Findings!A28" display="Findings!A28"/>
    <hyperlink ref="K19" location="Findings!A46" display="Findings!A46"/>
    <hyperlink ref="L19" location="Findings!A66" display="Findings!A66"/>
    <hyperlink ref="M19" location="Findings!A68" display="Findings!A68"/>
    <hyperlink ref="N19" location="Findings!A69" display="Findings!A69"/>
    <hyperlink ref="O19" location="Findings!A70" display="Findings!A70"/>
    <hyperlink ref="P19" location="Findings!A71" display="Findings!A71"/>
    <hyperlink ref="J20" location="Findings!A67" display="Findings!A67"/>
    <hyperlink ref="K20" location="Findings!A65" display="Findings!A65"/>
    <hyperlink ref="L20" location="Findings!A72" display="Findings!A72"/>
    <hyperlink ref="J21" location="Findings!A73" display="Findings!A73"/>
    <hyperlink ref="J22" location="Findings!A74" display="Findings!A74"/>
    <hyperlink ref="J23" location="Findings!A75" display="Findings!A75"/>
    <hyperlink ref="J24" location="Findings!A76" display="Findings!A76"/>
    <hyperlink ref="K24" location="Findings!A78" display="Findings!A78"/>
    <hyperlink ref="K25" location="Findings!A78" display="Findings!A78"/>
    <hyperlink ref="J26" location="Findings!A78" display="Findings!A78"/>
    <hyperlink ref="J25" location="Findings!A77" display="Findings!A77"/>
    <hyperlink ref="K15" location="Findings!A55" display="Findings!A55"/>
    <hyperlink ref="K21" location="Findings!B78" display="Findings!B78"/>
    <hyperlink ref="K22" location="Findings!B78" display="Findings!B78"/>
    <hyperlink ref="K23" location="Findings!B78" display="Findings!B78"/>
    <hyperlink ref="K26" location="Findings!B78" display="Findings!B78"/>
  </hyperlinks>
  <pageMargins left="0.7" right="0.7" top="0.75" bottom="0.75" header="0.3" footer="0.3"/>
  <pageSetup orientation="portrait" verticalDpi="4294967293"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397"/>
  <sheetViews>
    <sheetView workbookViewId="0">
      <selection activeCell="A7" sqref="A7"/>
    </sheetView>
  </sheetViews>
  <sheetFormatPr defaultRowHeight="15" x14ac:dyDescent="0.25"/>
  <cols>
    <col min="1" max="1" width="15.85546875" style="3" customWidth="1"/>
    <col min="2" max="7" width="10.7109375" style="3" customWidth="1"/>
    <col min="8" max="8" width="9.140625" style="3"/>
    <col min="9" max="16" width="16.7109375" style="3" customWidth="1"/>
    <col min="17" max="16384" width="9.140625" style="3"/>
  </cols>
  <sheetData>
    <row r="1" spans="1:18" s="74" customFormat="1" x14ac:dyDescent="0.25">
      <c r="A1" s="74" t="s">
        <v>1378</v>
      </c>
      <c r="B1" s="74" t="s">
        <v>1360</v>
      </c>
      <c r="C1" s="74" t="s">
        <v>1375</v>
      </c>
      <c r="D1" s="74" t="s">
        <v>1361</v>
      </c>
      <c r="E1" s="74" t="s">
        <v>1362</v>
      </c>
      <c r="F1" s="74" t="s">
        <v>1376</v>
      </c>
      <c r="G1" s="74" t="s">
        <v>1371</v>
      </c>
      <c r="I1" s="77" t="s">
        <v>1374</v>
      </c>
      <c r="J1" s="78"/>
      <c r="K1" s="78"/>
      <c r="L1" s="78"/>
      <c r="M1" s="78"/>
      <c r="N1" s="78"/>
    </row>
    <row r="2" spans="1:18" s="37" customFormat="1" x14ac:dyDescent="0.25">
      <c r="A2" s="75"/>
      <c r="B2" s="74" t="str">
        <f>B1</f>
        <v>Median</v>
      </c>
      <c r="C2" s="74"/>
      <c r="D2" s="74"/>
      <c r="E2" s="74"/>
      <c r="F2" s="74"/>
      <c r="G2" s="74" t="str">
        <f>G1</f>
        <v>Mean</v>
      </c>
      <c r="I2" s="77" t="s">
        <v>1373</v>
      </c>
      <c r="J2" s="79"/>
      <c r="K2" s="79"/>
      <c r="L2" s="79"/>
      <c r="M2" s="79"/>
      <c r="N2" s="79"/>
    </row>
    <row r="3" spans="1:18" x14ac:dyDescent="0.25">
      <c r="A3" s="74" t="s">
        <v>3348</v>
      </c>
      <c r="B3" s="277">
        <f>MEDIAN($Q$9:$Q$397)</f>
        <v>0.19765449993411516</v>
      </c>
      <c r="C3" s="277">
        <f>QUARTILE($Q$9:$Q$397,1)</f>
        <v>0.13577093575031124</v>
      </c>
      <c r="D3" s="277">
        <f>MIN($Q$9:$Q$397)</f>
        <v>3.1748719468314777E-2</v>
      </c>
      <c r="E3" s="277">
        <f>MAX($Q$9:$Q$397)</f>
        <v>0.88888888888888884</v>
      </c>
      <c r="F3" s="277">
        <f>QUARTILE($Q$9:$Q$397,3)</f>
        <v>0.29910298924064221</v>
      </c>
      <c r="G3" s="277">
        <f>AVERAGE($Q$9:$Q$397)</f>
        <v>0.22620897760222247</v>
      </c>
    </row>
    <row r="4" spans="1:18" x14ac:dyDescent="0.25">
      <c r="A4" s="74" t="s">
        <v>3349</v>
      </c>
      <c r="B4" s="277">
        <f>MEDIAN($R$9:$R$114)</f>
        <v>0.22257758867541477</v>
      </c>
      <c r="C4" s="277">
        <f>QUARTILE($R$9:$R$114,1)</f>
        <v>0.15562182243420222</v>
      </c>
      <c r="D4" s="277">
        <f>MIN($R$9:$R$114)</f>
        <v>3.580507715994128E-2</v>
      </c>
      <c r="E4" s="277">
        <f>MAX($R$9:$R$114)</f>
        <v>0.78282263475732494</v>
      </c>
      <c r="F4" s="277">
        <f>QUARTILE($R$9:$R$114,3)</f>
        <v>0.35628763744739722</v>
      </c>
      <c r="G4" s="277">
        <f>AVERAGE($R$9:$R$114)</f>
        <v>0.26779527756022897</v>
      </c>
    </row>
    <row r="6" spans="1:18" ht="35.1" customHeight="1" x14ac:dyDescent="0.25">
      <c r="B6" s="732" t="s">
        <v>1372</v>
      </c>
      <c r="C6" s="732"/>
      <c r="D6" s="732"/>
      <c r="E6" s="732"/>
      <c r="F6" s="732"/>
      <c r="G6" s="732"/>
    </row>
    <row r="7" spans="1:18" ht="35.1" customHeight="1" x14ac:dyDescent="0.25">
      <c r="B7" s="732" t="s">
        <v>1377</v>
      </c>
      <c r="C7" s="732"/>
      <c r="D7" s="732"/>
      <c r="E7" s="732"/>
      <c r="F7" s="732"/>
      <c r="G7" s="732"/>
      <c r="K7" s="3">
        <v>1</v>
      </c>
      <c r="O7" s="3">
        <v>1</v>
      </c>
    </row>
    <row r="8" spans="1:18" ht="45" x14ac:dyDescent="0.25">
      <c r="A8" s="260" t="s">
        <v>1492</v>
      </c>
      <c r="B8" s="260" t="s">
        <v>1414</v>
      </c>
      <c r="C8" s="260" t="s">
        <v>1497</v>
      </c>
      <c r="D8" s="260" t="s">
        <v>2215</v>
      </c>
      <c r="E8" s="260" t="s">
        <v>1585</v>
      </c>
      <c r="I8" s="305" t="s">
        <v>1895</v>
      </c>
      <c r="J8" s="305" t="s">
        <v>2221</v>
      </c>
      <c r="K8" s="305" t="s">
        <v>2222</v>
      </c>
      <c r="L8" s="305" t="s">
        <v>176</v>
      </c>
      <c r="M8" s="274" t="s">
        <v>1895</v>
      </c>
      <c r="N8" s="274" t="s">
        <v>2224</v>
      </c>
      <c r="O8" s="305" t="s">
        <v>2218</v>
      </c>
      <c r="P8" s="305" t="s">
        <v>2225</v>
      </c>
      <c r="Q8" s="4" t="s">
        <v>2223</v>
      </c>
      <c r="R8" s="4" t="s">
        <v>3182</v>
      </c>
    </row>
    <row r="9" spans="1:18" x14ac:dyDescent="0.25">
      <c r="A9" s="263" t="s">
        <v>58</v>
      </c>
      <c r="B9" s="263" t="s">
        <v>1482</v>
      </c>
      <c r="C9" s="264" t="s">
        <v>1697</v>
      </c>
      <c r="D9" s="264">
        <v>1</v>
      </c>
      <c r="E9" s="112">
        <v>4055</v>
      </c>
      <c r="I9" s="306" t="s">
        <v>58</v>
      </c>
      <c r="J9" s="306" t="s">
        <v>1422</v>
      </c>
      <c r="K9" s="3">
        <v>25400</v>
      </c>
      <c r="L9" s="310">
        <v>2500</v>
      </c>
      <c r="M9" s="306" t="s">
        <v>59</v>
      </c>
      <c r="N9" s="306" t="s">
        <v>1422</v>
      </c>
      <c r="O9" s="307">
        <v>6197</v>
      </c>
      <c r="P9" s="308">
        <v>1250</v>
      </c>
      <c r="Q9" s="3">
        <f>L9/K9</f>
        <v>9.8425196850393706E-2</v>
      </c>
      <c r="R9" s="3">
        <f>P9/O9</f>
        <v>0.20171050508310473</v>
      </c>
    </row>
    <row r="10" spans="1:18" x14ac:dyDescent="0.25">
      <c r="A10" s="263" t="s">
        <v>58</v>
      </c>
      <c r="B10" s="263" t="s">
        <v>1450</v>
      </c>
      <c r="C10" s="264" t="s">
        <v>1694</v>
      </c>
      <c r="D10" s="264">
        <v>1</v>
      </c>
      <c r="E10" s="112">
        <v>5500</v>
      </c>
      <c r="I10" s="306" t="s">
        <v>58</v>
      </c>
      <c r="J10" s="306" t="s">
        <v>1422</v>
      </c>
      <c r="K10" s="3">
        <v>21320</v>
      </c>
      <c r="L10" s="310">
        <v>1500</v>
      </c>
      <c r="M10" s="306" t="s">
        <v>59</v>
      </c>
      <c r="N10" s="306" t="s">
        <v>1422</v>
      </c>
      <c r="O10" s="307">
        <v>4249.82</v>
      </c>
      <c r="P10" s="308">
        <v>1500</v>
      </c>
      <c r="Q10" s="3">
        <f t="shared" ref="Q10:Q70" si="0">L10/K10</f>
        <v>7.0356472795497185E-2</v>
      </c>
      <c r="R10" s="3">
        <f t="shared" ref="R10:R24" si="1">P10/O10</f>
        <v>0.35295612520059677</v>
      </c>
    </row>
    <row r="11" spans="1:18" x14ac:dyDescent="0.25">
      <c r="A11" s="263" t="s">
        <v>58</v>
      </c>
      <c r="B11" s="263" t="s">
        <v>1450</v>
      </c>
      <c r="C11" s="264" t="s">
        <v>1694</v>
      </c>
      <c r="D11" s="264">
        <v>1</v>
      </c>
      <c r="E11" s="112">
        <v>5500</v>
      </c>
      <c r="I11" s="306" t="s">
        <v>58</v>
      </c>
      <c r="J11" s="306" t="s">
        <v>1422</v>
      </c>
      <c r="K11" s="3">
        <v>9370</v>
      </c>
      <c r="L11" s="714">
        <v>2500</v>
      </c>
      <c r="M11" s="306" t="s">
        <v>59</v>
      </c>
      <c r="N11" s="306" t="s">
        <v>1422</v>
      </c>
      <c r="O11" s="307">
        <v>24197</v>
      </c>
      <c r="P11" s="308">
        <v>4000</v>
      </c>
      <c r="Q11" s="3">
        <f t="shared" si="0"/>
        <v>0.26680896478121663</v>
      </c>
      <c r="R11" s="3">
        <f t="shared" si="1"/>
        <v>0.16530974914245566</v>
      </c>
    </row>
    <row r="12" spans="1:18" x14ac:dyDescent="0.25">
      <c r="A12" s="263" t="s">
        <v>58</v>
      </c>
      <c r="B12" s="263" t="s">
        <v>1465</v>
      </c>
      <c r="C12" s="264" t="s">
        <v>1832</v>
      </c>
      <c r="D12" s="264">
        <v>1</v>
      </c>
      <c r="E12" s="112">
        <v>6200</v>
      </c>
      <c r="I12" s="306" t="s">
        <v>58</v>
      </c>
      <c r="J12" s="306" t="s">
        <v>1422</v>
      </c>
      <c r="K12" s="3">
        <v>30636</v>
      </c>
      <c r="L12" s="310">
        <v>2000</v>
      </c>
      <c r="M12" s="306" t="s">
        <v>59</v>
      </c>
      <c r="N12" s="306" t="s">
        <v>1422</v>
      </c>
      <c r="O12" s="307">
        <v>19358</v>
      </c>
      <c r="P12" s="308">
        <v>3500</v>
      </c>
      <c r="Q12" s="3">
        <f t="shared" si="0"/>
        <v>6.5282673978326156E-2</v>
      </c>
      <c r="R12" s="3">
        <f t="shared" si="1"/>
        <v>0.18080380204566587</v>
      </c>
    </row>
    <row r="13" spans="1:18" x14ac:dyDescent="0.25">
      <c r="A13" s="263" t="s">
        <v>58</v>
      </c>
      <c r="B13" s="263" t="s">
        <v>1446</v>
      </c>
      <c r="C13" s="264" t="s">
        <v>1891</v>
      </c>
      <c r="D13" s="264">
        <v>1</v>
      </c>
      <c r="E13" s="112">
        <v>19497</v>
      </c>
      <c r="I13" s="306" t="s">
        <v>58</v>
      </c>
      <c r="J13" s="306" t="s">
        <v>1422</v>
      </c>
      <c r="K13" s="3">
        <v>5180.01</v>
      </c>
      <c r="L13" s="310">
        <v>4000</v>
      </c>
      <c r="M13" s="306" t="s">
        <v>59</v>
      </c>
      <c r="N13" s="306" t="s">
        <v>1422</v>
      </c>
      <c r="O13" s="307">
        <v>24504</v>
      </c>
      <c r="P13" s="308">
        <v>4000</v>
      </c>
      <c r="Q13" s="3">
        <f t="shared" si="0"/>
        <v>0.77219928146856853</v>
      </c>
      <c r="R13" s="3">
        <f t="shared" si="1"/>
        <v>0.16323865491348352</v>
      </c>
    </row>
    <row r="14" spans="1:18" x14ac:dyDescent="0.25">
      <c r="A14" s="263" t="s">
        <v>58</v>
      </c>
      <c r="B14" s="263" t="s">
        <v>1468</v>
      </c>
      <c r="C14" s="264" t="s">
        <v>1847</v>
      </c>
      <c r="D14" s="264">
        <v>1</v>
      </c>
      <c r="E14" s="112">
        <v>6100</v>
      </c>
      <c r="I14" s="306" t="s">
        <v>58</v>
      </c>
      <c r="J14" s="306" t="s">
        <v>1422</v>
      </c>
      <c r="K14" s="3">
        <v>10827</v>
      </c>
      <c r="L14" s="310">
        <v>4000</v>
      </c>
      <c r="M14" s="306" t="s">
        <v>59</v>
      </c>
      <c r="N14" s="306" t="s">
        <v>1422</v>
      </c>
      <c r="O14" s="307">
        <v>21405</v>
      </c>
      <c r="P14" s="308">
        <v>3500</v>
      </c>
      <c r="Q14" s="3">
        <f t="shared" si="0"/>
        <v>0.36944675348665373</v>
      </c>
      <c r="R14" s="3">
        <f t="shared" si="1"/>
        <v>0.16351319785096941</v>
      </c>
    </row>
    <row r="15" spans="1:18" ht="30" x14ac:dyDescent="0.25">
      <c r="A15" s="263" t="s">
        <v>59</v>
      </c>
      <c r="B15" s="262">
        <v>1</v>
      </c>
      <c r="C15" s="261" t="s">
        <v>1432</v>
      </c>
      <c r="D15" s="261" t="s">
        <v>2219</v>
      </c>
      <c r="E15" s="265">
        <v>9763</v>
      </c>
      <c r="I15" s="306" t="s">
        <v>58</v>
      </c>
      <c r="J15" s="306" t="s">
        <v>1422</v>
      </c>
      <c r="K15" s="3">
        <v>7700</v>
      </c>
      <c r="L15" s="310">
        <v>2000</v>
      </c>
      <c r="M15" s="306" t="s">
        <v>59</v>
      </c>
      <c r="N15" s="306" t="s">
        <v>1422</v>
      </c>
      <c r="O15" s="307">
        <v>11636</v>
      </c>
      <c r="P15" s="308">
        <v>3500</v>
      </c>
      <c r="Q15" s="3">
        <f t="shared" si="0"/>
        <v>0.25974025974025972</v>
      </c>
      <c r="R15" s="3">
        <f t="shared" si="1"/>
        <v>0.30079064970780339</v>
      </c>
    </row>
    <row r="16" spans="1:18" ht="30" x14ac:dyDescent="0.25">
      <c r="A16" s="263" t="s">
        <v>59</v>
      </c>
      <c r="B16" s="262">
        <v>1</v>
      </c>
      <c r="C16" s="261" t="s">
        <v>1430</v>
      </c>
      <c r="D16" s="261" t="s">
        <v>2220</v>
      </c>
      <c r="E16" s="276">
        <v>9441</v>
      </c>
      <c r="I16" s="306" t="s">
        <v>58</v>
      </c>
      <c r="J16" s="306" t="s">
        <v>1422</v>
      </c>
      <c r="K16" s="3">
        <v>37776</v>
      </c>
      <c r="L16" s="310">
        <v>2500</v>
      </c>
      <c r="M16" s="306" t="s">
        <v>59</v>
      </c>
      <c r="N16" s="306" t="s">
        <v>1422</v>
      </c>
      <c r="O16" s="307">
        <v>9763</v>
      </c>
      <c r="P16" s="308">
        <v>1250</v>
      </c>
      <c r="Q16" s="3">
        <f t="shared" si="0"/>
        <v>6.6179584921643372E-2</v>
      </c>
      <c r="R16" s="3">
        <f t="shared" si="1"/>
        <v>0.12803441565092696</v>
      </c>
    </row>
    <row r="17" spans="5:18" x14ac:dyDescent="0.25">
      <c r="E17" s="53">
        <f>AVERAGE(E9:E16)</f>
        <v>8257</v>
      </c>
      <c r="I17" s="306" t="s">
        <v>58</v>
      </c>
      <c r="J17" s="306" t="s">
        <v>1422</v>
      </c>
      <c r="K17" s="3">
        <v>7995</v>
      </c>
      <c r="L17" s="310">
        <v>2500</v>
      </c>
      <c r="M17" s="306" t="s">
        <v>59</v>
      </c>
      <c r="N17" s="306" t="s">
        <v>1422</v>
      </c>
      <c r="O17" s="307">
        <v>11845</v>
      </c>
      <c r="P17" s="308">
        <v>2000</v>
      </c>
      <c r="Q17" s="3">
        <f t="shared" si="0"/>
        <v>0.31269543464665417</v>
      </c>
      <c r="R17" s="3">
        <f t="shared" si="1"/>
        <v>0.16884761502743773</v>
      </c>
    </row>
    <row r="18" spans="5:18" x14ac:dyDescent="0.25">
      <c r="I18" s="306" t="s">
        <v>58</v>
      </c>
      <c r="J18" s="306" t="s">
        <v>1422</v>
      </c>
      <c r="K18" s="3">
        <v>15733</v>
      </c>
      <c r="L18" s="310">
        <v>2500</v>
      </c>
      <c r="M18" s="306" t="s">
        <v>59</v>
      </c>
      <c r="N18" s="306" t="s">
        <v>1422</v>
      </c>
      <c r="O18" s="307">
        <v>58111.02</v>
      </c>
      <c r="P18" s="308">
        <v>3000</v>
      </c>
      <c r="Q18" s="3">
        <f t="shared" si="0"/>
        <v>0.15890167164558572</v>
      </c>
      <c r="R18" s="3">
        <f t="shared" si="1"/>
        <v>5.1625319947920377E-2</v>
      </c>
    </row>
    <row r="19" spans="5:18" x14ac:dyDescent="0.25">
      <c r="I19" s="306" t="s">
        <v>58</v>
      </c>
      <c r="J19" s="306" t="s">
        <v>1422</v>
      </c>
      <c r="K19" s="3">
        <v>14597</v>
      </c>
      <c r="L19" s="310">
        <v>3000</v>
      </c>
      <c r="M19" s="306" t="s">
        <v>59</v>
      </c>
      <c r="N19" s="306" t="s">
        <v>1422</v>
      </c>
      <c r="O19" s="307">
        <v>4522</v>
      </c>
      <c r="P19" s="308">
        <v>1250</v>
      </c>
      <c r="Q19" s="3">
        <f t="shared" si="0"/>
        <v>0.20552168253750772</v>
      </c>
      <c r="R19" s="3">
        <f t="shared" si="1"/>
        <v>0.27642636001769127</v>
      </c>
    </row>
    <row r="20" spans="5:18" x14ac:dyDescent="0.25">
      <c r="I20" s="306" t="s">
        <v>58</v>
      </c>
      <c r="J20" s="306" t="s">
        <v>1422</v>
      </c>
      <c r="K20" s="3">
        <v>13304</v>
      </c>
      <c r="L20" s="310">
        <v>3500</v>
      </c>
      <c r="M20" s="306" t="s">
        <v>59</v>
      </c>
      <c r="N20" s="306" t="s">
        <v>1422</v>
      </c>
      <c r="O20" s="307">
        <v>18037</v>
      </c>
      <c r="P20" s="308">
        <v>4000</v>
      </c>
      <c r="Q20" s="3">
        <f t="shared" si="0"/>
        <v>0.26307877330126278</v>
      </c>
      <c r="R20" s="3">
        <f t="shared" si="1"/>
        <v>0.2217663691301214</v>
      </c>
    </row>
    <row r="21" spans="5:18" x14ac:dyDescent="0.25">
      <c r="I21" s="306" t="s">
        <v>58</v>
      </c>
      <c r="J21" s="306" t="s">
        <v>1422</v>
      </c>
      <c r="K21" s="3">
        <v>15030</v>
      </c>
      <c r="L21" s="310">
        <v>4000</v>
      </c>
      <c r="M21" s="306" t="s">
        <v>59</v>
      </c>
      <c r="N21" s="306" t="s">
        <v>1422</v>
      </c>
      <c r="O21" s="307">
        <v>13616</v>
      </c>
      <c r="P21" s="308">
        <v>2500</v>
      </c>
      <c r="Q21" s="3">
        <f t="shared" si="0"/>
        <v>0.2661343978709248</v>
      </c>
      <c r="R21" s="3">
        <f t="shared" si="1"/>
        <v>0.18360752056404231</v>
      </c>
    </row>
    <row r="22" spans="5:18" x14ac:dyDescent="0.25">
      <c r="I22" s="306" t="s">
        <v>58</v>
      </c>
      <c r="J22" s="306" t="s">
        <v>1422</v>
      </c>
      <c r="K22" s="3">
        <v>8354</v>
      </c>
      <c r="L22" s="310">
        <v>3000</v>
      </c>
      <c r="M22" s="306" t="s">
        <v>59</v>
      </c>
      <c r="N22" s="306" t="s">
        <v>1422</v>
      </c>
      <c r="O22" s="307">
        <v>14257</v>
      </c>
      <c r="P22" s="308">
        <v>2000</v>
      </c>
      <c r="Q22" s="3">
        <f t="shared" si="0"/>
        <v>0.35910940866650704</v>
      </c>
      <c r="R22" s="3">
        <f t="shared" si="1"/>
        <v>0.14028196675317389</v>
      </c>
    </row>
    <row r="23" spans="5:18" x14ac:dyDescent="0.25">
      <c r="I23" s="306" t="s">
        <v>58</v>
      </c>
      <c r="J23" s="306" t="s">
        <v>1422</v>
      </c>
      <c r="K23" s="3">
        <v>4093</v>
      </c>
      <c r="L23" s="310">
        <v>1500</v>
      </c>
      <c r="M23" s="306" t="s">
        <v>59</v>
      </c>
      <c r="N23" s="306" t="s">
        <v>1422</v>
      </c>
      <c r="O23" s="307">
        <v>6235</v>
      </c>
      <c r="P23" s="308">
        <v>2500</v>
      </c>
      <c r="Q23" s="3">
        <f t="shared" si="0"/>
        <v>0.36647935499633522</v>
      </c>
      <c r="R23" s="3">
        <f t="shared" si="1"/>
        <v>0.40096230954290296</v>
      </c>
    </row>
    <row r="24" spans="5:18" x14ac:dyDescent="0.25">
      <c r="I24" s="306" t="s">
        <v>58</v>
      </c>
      <c r="J24" s="306" t="s">
        <v>1422</v>
      </c>
      <c r="K24" s="3">
        <v>10388</v>
      </c>
      <c r="L24" s="310">
        <v>2000</v>
      </c>
      <c r="M24" s="306" t="s">
        <v>59</v>
      </c>
      <c r="N24" s="306" t="s">
        <v>1422</v>
      </c>
      <c r="O24" s="307">
        <v>12176.93</v>
      </c>
      <c r="P24" s="308">
        <v>2500</v>
      </c>
      <c r="Q24" s="3">
        <f t="shared" si="0"/>
        <v>0.19252984212552945</v>
      </c>
      <c r="R24" s="3">
        <f t="shared" si="1"/>
        <v>0.20530626356561135</v>
      </c>
    </row>
    <row r="25" spans="5:18" x14ac:dyDescent="0.25">
      <c r="I25" s="306" t="s">
        <v>58</v>
      </c>
      <c r="J25" s="306" t="s">
        <v>1422</v>
      </c>
      <c r="K25" s="3">
        <v>21000</v>
      </c>
      <c r="L25" s="310">
        <v>2500</v>
      </c>
      <c r="M25" s="306" t="s">
        <v>59</v>
      </c>
      <c r="N25" s="306" t="s">
        <v>1422</v>
      </c>
      <c r="O25" s="717">
        <v>10700</v>
      </c>
      <c r="P25" s="308">
        <v>2500</v>
      </c>
      <c r="Q25" s="3">
        <f t="shared" si="0"/>
        <v>0.11904761904761904</v>
      </c>
      <c r="R25" s="3">
        <f t="shared" ref="R25:R56" si="2">P25/O25</f>
        <v>0.23364485981308411</v>
      </c>
    </row>
    <row r="26" spans="5:18" x14ac:dyDescent="0.25">
      <c r="I26" s="306" t="s">
        <v>58</v>
      </c>
      <c r="J26" s="306" t="s">
        <v>1422</v>
      </c>
      <c r="K26" s="3">
        <v>9394</v>
      </c>
      <c r="L26" s="310">
        <v>3000</v>
      </c>
      <c r="M26" s="306" t="s">
        <v>59</v>
      </c>
      <c r="N26" s="306" t="s">
        <v>1422</v>
      </c>
      <c r="O26" s="717">
        <v>16482</v>
      </c>
      <c r="P26" s="308">
        <v>3000</v>
      </c>
      <c r="Q26" s="3">
        <f t="shared" si="0"/>
        <v>0.31935277836917181</v>
      </c>
      <c r="R26" s="3">
        <f t="shared" si="2"/>
        <v>0.18201674554058975</v>
      </c>
    </row>
    <row r="27" spans="5:18" x14ac:dyDescent="0.25">
      <c r="I27" s="306" t="s">
        <v>58</v>
      </c>
      <c r="J27" s="306" t="s">
        <v>1422</v>
      </c>
      <c r="K27" s="3">
        <v>21460</v>
      </c>
      <c r="L27" s="310">
        <v>2500</v>
      </c>
      <c r="M27" s="306" t="s">
        <v>59</v>
      </c>
      <c r="N27" s="306" t="s">
        <v>1422</v>
      </c>
      <c r="O27" s="717">
        <v>25333</v>
      </c>
      <c r="P27" s="308">
        <v>3000</v>
      </c>
      <c r="Q27" s="3">
        <f t="shared" si="0"/>
        <v>0.11649580615097857</v>
      </c>
      <c r="R27" s="3">
        <f t="shared" si="2"/>
        <v>0.11842261082382663</v>
      </c>
    </row>
    <row r="28" spans="5:18" x14ac:dyDescent="0.25">
      <c r="I28" s="306" t="s">
        <v>58</v>
      </c>
      <c r="J28" s="306" t="s">
        <v>1422</v>
      </c>
      <c r="K28" s="3">
        <v>17837</v>
      </c>
      <c r="L28" s="310">
        <v>3000</v>
      </c>
      <c r="M28" s="306" t="s">
        <v>59</v>
      </c>
      <c r="N28" s="306" t="s">
        <v>1422</v>
      </c>
      <c r="O28" s="717">
        <v>15000</v>
      </c>
      <c r="P28" s="308">
        <v>4000</v>
      </c>
      <c r="Q28" s="3">
        <f t="shared" si="0"/>
        <v>0.16818971800190616</v>
      </c>
      <c r="R28" s="3">
        <f t="shared" si="2"/>
        <v>0.26666666666666666</v>
      </c>
    </row>
    <row r="29" spans="5:18" x14ac:dyDescent="0.25">
      <c r="I29" s="306" t="s">
        <v>58</v>
      </c>
      <c r="J29" s="306" t="s">
        <v>1422</v>
      </c>
      <c r="K29" s="3">
        <v>11443</v>
      </c>
      <c r="L29" s="310">
        <v>2000</v>
      </c>
      <c r="M29" s="306" t="s">
        <v>59</v>
      </c>
      <c r="N29" s="306" t="s">
        <v>1422</v>
      </c>
      <c r="O29" s="717">
        <v>3283</v>
      </c>
      <c r="P29" s="308">
        <v>1500</v>
      </c>
      <c r="Q29" s="3">
        <f t="shared" si="0"/>
        <v>0.17477934108188412</v>
      </c>
      <c r="R29" s="3">
        <f t="shared" si="2"/>
        <v>0.45689917758148035</v>
      </c>
    </row>
    <row r="30" spans="5:18" x14ac:dyDescent="0.25">
      <c r="I30" s="306" t="s">
        <v>58</v>
      </c>
      <c r="J30" s="306" t="s">
        <v>1422</v>
      </c>
      <c r="K30" s="3">
        <v>23526</v>
      </c>
      <c r="L30" s="310">
        <v>3500</v>
      </c>
      <c r="M30" s="306" t="s">
        <v>59</v>
      </c>
      <c r="N30" s="306" t="s">
        <v>1422</v>
      </c>
      <c r="O30" s="717">
        <v>9972</v>
      </c>
      <c r="P30" s="308">
        <v>2000</v>
      </c>
      <c r="Q30" s="3">
        <f t="shared" si="0"/>
        <v>0.14877157187792231</v>
      </c>
      <c r="R30" s="3">
        <f t="shared" si="2"/>
        <v>0.20056157240272765</v>
      </c>
    </row>
    <row r="31" spans="5:18" x14ac:dyDescent="0.25">
      <c r="I31" s="306" t="s">
        <v>58</v>
      </c>
      <c r="J31" s="306" t="s">
        <v>1422</v>
      </c>
      <c r="K31" s="3">
        <v>12650</v>
      </c>
      <c r="L31" s="310">
        <v>2000</v>
      </c>
      <c r="M31" s="306" t="s">
        <v>59</v>
      </c>
      <c r="N31" s="306" t="s">
        <v>1422</v>
      </c>
      <c r="O31" s="717">
        <v>3818.08</v>
      </c>
      <c r="P31" s="308">
        <v>1250</v>
      </c>
      <c r="Q31" s="3">
        <f t="shared" si="0"/>
        <v>0.15810276679841898</v>
      </c>
      <c r="R31" s="3">
        <f t="shared" si="2"/>
        <v>0.32738968277249297</v>
      </c>
    </row>
    <row r="32" spans="5:18" x14ac:dyDescent="0.25">
      <c r="I32" s="306" t="s">
        <v>58</v>
      </c>
      <c r="J32" s="306" t="s">
        <v>1422</v>
      </c>
      <c r="K32" s="3">
        <v>17236.009999999998</v>
      </c>
      <c r="L32" s="310">
        <v>3500</v>
      </c>
      <c r="M32" s="306" t="s">
        <v>59</v>
      </c>
      <c r="N32" s="306" t="s">
        <v>1422</v>
      </c>
      <c r="O32" s="717">
        <v>10824</v>
      </c>
      <c r="P32" s="308">
        <v>3500</v>
      </c>
      <c r="Q32" s="3">
        <f t="shared" si="0"/>
        <v>0.20306323795356351</v>
      </c>
      <c r="R32" s="3">
        <f t="shared" si="2"/>
        <v>0.32335550628233556</v>
      </c>
    </row>
    <row r="33" spans="9:18" x14ac:dyDescent="0.25">
      <c r="I33" s="306" t="s">
        <v>58</v>
      </c>
      <c r="J33" s="306" t="s">
        <v>1422</v>
      </c>
      <c r="K33" s="3">
        <v>19401</v>
      </c>
      <c r="L33" s="310">
        <v>3500</v>
      </c>
      <c r="M33" s="306" t="s">
        <v>59</v>
      </c>
      <c r="N33" s="306" t="s">
        <v>1422</v>
      </c>
      <c r="O33" s="717">
        <v>6248.82</v>
      </c>
      <c r="P33" s="308">
        <v>2000</v>
      </c>
      <c r="Q33" s="3">
        <f t="shared" si="0"/>
        <v>0.18040307200659761</v>
      </c>
      <c r="R33" s="3">
        <f t="shared" si="2"/>
        <v>0.32006042740869478</v>
      </c>
    </row>
    <row r="34" spans="9:18" x14ac:dyDescent="0.25">
      <c r="I34" s="306" t="s">
        <v>58</v>
      </c>
      <c r="J34" s="306" t="s">
        <v>1422</v>
      </c>
      <c r="K34" s="3">
        <v>13446</v>
      </c>
      <c r="L34" s="310">
        <v>4000</v>
      </c>
      <c r="M34" s="306" t="s">
        <v>59</v>
      </c>
      <c r="N34" s="306" t="s">
        <v>1422</v>
      </c>
      <c r="O34" s="717">
        <v>19105</v>
      </c>
      <c r="P34" s="308">
        <v>2500</v>
      </c>
      <c r="Q34" s="3">
        <f t="shared" si="0"/>
        <v>0.29748624126134166</v>
      </c>
      <c r="R34" s="3">
        <f t="shared" si="2"/>
        <v>0.13085579691180318</v>
      </c>
    </row>
    <row r="35" spans="9:18" x14ac:dyDescent="0.25">
      <c r="I35" s="306" t="s">
        <v>58</v>
      </c>
      <c r="J35" s="306" t="s">
        <v>1422</v>
      </c>
      <c r="K35" s="3">
        <v>10902</v>
      </c>
      <c r="L35" s="310">
        <v>2500</v>
      </c>
      <c r="M35" s="306" t="s">
        <v>59</v>
      </c>
      <c r="N35" s="306" t="s">
        <v>1422</v>
      </c>
      <c r="O35" s="717">
        <v>5749</v>
      </c>
      <c r="P35" s="308">
        <v>2500</v>
      </c>
      <c r="Q35" s="3">
        <f t="shared" si="0"/>
        <v>0.2293157218858925</v>
      </c>
      <c r="R35" s="3">
        <f t="shared" si="2"/>
        <v>0.43485823621499392</v>
      </c>
    </row>
    <row r="36" spans="9:18" x14ac:dyDescent="0.25">
      <c r="I36" s="306" t="s">
        <v>58</v>
      </c>
      <c r="J36" s="306" t="s">
        <v>1422</v>
      </c>
      <c r="K36" s="3">
        <v>11587</v>
      </c>
      <c r="L36" s="310">
        <v>3500</v>
      </c>
      <c r="M36" s="306" t="s">
        <v>59</v>
      </c>
      <c r="N36" s="306" t="s">
        <v>1422</v>
      </c>
      <c r="O36" s="717">
        <v>19520</v>
      </c>
      <c r="P36" s="308">
        <v>3500</v>
      </c>
      <c r="Q36" s="3">
        <f t="shared" si="0"/>
        <v>0.30206265642530422</v>
      </c>
      <c r="R36" s="3">
        <f t="shared" si="2"/>
        <v>0.17930327868852458</v>
      </c>
    </row>
    <row r="37" spans="9:18" x14ac:dyDescent="0.25">
      <c r="I37" s="306" t="s">
        <v>58</v>
      </c>
      <c r="J37" s="306" t="s">
        <v>1422</v>
      </c>
      <c r="K37" s="3">
        <v>11618</v>
      </c>
      <c r="L37" s="310">
        <v>2500</v>
      </c>
      <c r="M37" s="306" t="s">
        <v>59</v>
      </c>
      <c r="N37" s="306" t="s">
        <v>1422</v>
      </c>
      <c r="O37" s="717">
        <v>19731</v>
      </c>
      <c r="P37" s="308">
        <v>3000</v>
      </c>
      <c r="Q37" s="3">
        <f t="shared" si="0"/>
        <v>0.21518333620244448</v>
      </c>
      <c r="R37" s="3">
        <f t="shared" si="2"/>
        <v>0.15204500532157519</v>
      </c>
    </row>
    <row r="38" spans="9:18" x14ac:dyDescent="0.25">
      <c r="I38" s="306" t="s">
        <v>58</v>
      </c>
      <c r="J38" s="306" t="s">
        <v>1422</v>
      </c>
      <c r="K38" s="3">
        <v>31604</v>
      </c>
      <c r="L38" s="310">
        <v>3500</v>
      </c>
      <c r="M38" s="306" t="s">
        <v>59</v>
      </c>
      <c r="N38" s="306" t="s">
        <v>1422</v>
      </c>
      <c r="O38" s="717">
        <v>17148</v>
      </c>
      <c r="P38" s="308">
        <v>2500</v>
      </c>
      <c r="Q38" s="3">
        <f t="shared" si="0"/>
        <v>0.11074547525629667</v>
      </c>
      <c r="R38" s="3">
        <f t="shared" si="2"/>
        <v>0.14578959645439701</v>
      </c>
    </row>
    <row r="39" spans="9:18" x14ac:dyDescent="0.25">
      <c r="I39" s="306" t="s">
        <v>58</v>
      </c>
      <c r="J39" s="306" t="s">
        <v>1422</v>
      </c>
      <c r="K39" s="3">
        <v>19660</v>
      </c>
      <c r="L39" s="310">
        <v>2500</v>
      </c>
      <c r="M39" s="306" t="s">
        <v>59</v>
      </c>
      <c r="N39" s="306" t="s">
        <v>1422</v>
      </c>
      <c r="O39" s="717">
        <v>11069</v>
      </c>
      <c r="P39" s="308">
        <v>2000</v>
      </c>
      <c r="Q39" s="3">
        <f t="shared" si="0"/>
        <v>0.12716174974567651</v>
      </c>
      <c r="R39" s="3">
        <f t="shared" si="2"/>
        <v>0.18068479537446924</v>
      </c>
    </row>
    <row r="40" spans="9:18" x14ac:dyDescent="0.25">
      <c r="I40" s="306" t="s">
        <v>58</v>
      </c>
      <c r="J40" s="306" t="s">
        <v>1422</v>
      </c>
      <c r="K40" s="3">
        <v>21570</v>
      </c>
      <c r="L40" s="310">
        <v>4000</v>
      </c>
      <c r="M40" s="306" t="s">
        <v>59</v>
      </c>
      <c r="N40" s="306" t="s">
        <v>1422</v>
      </c>
      <c r="O40" s="717">
        <v>2000</v>
      </c>
      <c r="P40" s="308">
        <v>1500</v>
      </c>
      <c r="Q40" s="3">
        <f t="shared" si="0"/>
        <v>0.18544274455261939</v>
      </c>
      <c r="R40" s="3">
        <f t="shared" si="2"/>
        <v>0.75</v>
      </c>
    </row>
    <row r="41" spans="9:18" x14ac:dyDescent="0.25">
      <c r="I41" s="306" t="s">
        <v>58</v>
      </c>
      <c r="J41" s="306" t="s">
        <v>1422</v>
      </c>
      <c r="K41" s="3">
        <v>14914</v>
      </c>
      <c r="L41" s="310">
        <v>4000</v>
      </c>
      <c r="M41" s="306" t="s">
        <v>59</v>
      </c>
      <c r="N41" s="306" t="s">
        <v>1422</v>
      </c>
      <c r="O41" s="717">
        <v>16850.91</v>
      </c>
      <c r="P41" s="308">
        <v>3500</v>
      </c>
      <c r="Q41" s="3">
        <f t="shared" si="0"/>
        <v>0.26820437173125922</v>
      </c>
      <c r="R41" s="3">
        <f t="shared" si="2"/>
        <v>0.20770391628701357</v>
      </c>
    </row>
    <row r="42" spans="9:18" x14ac:dyDescent="0.25">
      <c r="I42" s="306" t="s">
        <v>58</v>
      </c>
      <c r="J42" s="306" t="s">
        <v>1422</v>
      </c>
      <c r="K42" s="3">
        <v>8475</v>
      </c>
      <c r="L42" s="310">
        <v>3000</v>
      </c>
      <c r="M42" s="306" t="s">
        <v>59</v>
      </c>
      <c r="N42" s="306" t="s">
        <v>1422</v>
      </c>
      <c r="O42" s="717">
        <v>11091.18</v>
      </c>
      <c r="P42" s="308">
        <v>1500</v>
      </c>
      <c r="Q42" s="3">
        <f t="shared" si="0"/>
        <v>0.35398230088495575</v>
      </c>
      <c r="R42" s="3">
        <f t="shared" si="2"/>
        <v>0.13524259817260201</v>
      </c>
    </row>
    <row r="43" spans="9:18" x14ac:dyDescent="0.25">
      <c r="I43" s="306" t="s">
        <v>58</v>
      </c>
      <c r="J43" s="306" t="s">
        <v>1422</v>
      </c>
      <c r="K43" s="3">
        <v>13353</v>
      </c>
      <c r="L43" s="310">
        <v>2000</v>
      </c>
      <c r="M43" s="306" t="s">
        <v>59</v>
      </c>
      <c r="N43" s="306" t="s">
        <v>1422</v>
      </c>
      <c r="O43" s="717">
        <v>3995</v>
      </c>
      <c r="P43" s="308">
        <v>1500</v>
      </c>
      <c r="Q43" s="3">
        <f t="shared" si="0"/>
        <v>0.14977907586310193</v>
      </c>
      <c r="R43" s="3">
        <f t="shared" si="2"/>
        <v>0.37546933667083854</v>
      </c>
    </row>
    <row r="44" spans="9:18" x14ac:dyDescent="0.25">
      <c r="I44" s="306" t="s">
        <v>58</v>
      </c>
      <c r="J44" s="306" t="s">
        <v>1422</v>
      </c>
      <c r="K44" s="3">
        <v>9570</v>
      </c>
      <c r="L44" s="310">
        <v>2000</v>
      </c>
      <c r="M44" s="306" t="s">
        <v>59</v>
      </c>
      <c r="N44" s="306" t="s">
        <v>1422</v>
      </c>
      <c r="O44" s="717">
        <v>8895</v>
      </c>
      <c r="P44" s="308">
        <v>3000</v>
      </c>
      <c r="Q44" s="3">
        <f t="shared" si="0"/>
        <v>0.2089864158829676</v>
      </c>
      <c r="R44" s="3">
        <f t="shared" si="2"/>
        <v>0.33726812816188873</v>
      </c>
    </row>
    <row r="45" spans="9:18" x14ac:dyDescent="0.25">
      <c r="I45" s="306" t="s">
        <v>58</v>
      </c>
      <c r="J45" s="306" t="s">
        <v>1422</v>
      </c>
      <c r="K45" s="3">
        <v>9106</v>
      </c>
      <c r="L45" s="310">
        <v>3000</v>
      </c>
      <c r="M45" s="306" t="s">
        <v>59</v>
      </c>
      <c r="N45" s="306" t="s">
        <v>1422</v>
      </c>
      <c r="O45" s="717">
        <v>3197</v>
      </c>
      <c r="P45" s="308">
        <v>1250</v>
      </c>
      <c r="Q45" s="3">
        <f t="shared" si="0"/>
        <v>0.32945310784098397</v>
      </c>
      <c r="R45" s="3">
        <f t="shared" si="2"/>
        <v>0.39099155458242102</v>
      </c>
    </row>
    <row r="46" spans="9:18" x14ac:dyDescent="0.25">
      <c r="I46" s="306" t="s">
        <v>58</v>
      </c>
      <c r="J46" s="306" t="s">
        <v>1422</v>
      </c>
      <c r="K46" s="3">
        <v>12281</v>
      </c>
      <c r="L46" s="310">
        <v>3000</v>
      </c>
      <c r="M46" s="306" t="s">
        <v>59</v>
      </c>
      <c r="N46" s="306" t="s">
        <v>1422</v>
      </c>
      <c r="O46" s="717">
        <v>4167</v>
      </c>
      <c r="P46" s="308">
        <v>2000</v>
      </c>
      <c r="Q46" s="3">
        <f t="shared" si="0"/>
        <v>0.24427978177672827</v>
      </c>
      <c r="R46" s="3">
        <f t="shared" si="2"/>
        <v>0.47996160307175428</v>
      </c>
    </row>
    <row r="47" spans="9:18" x14ac:dyDescent="0.25">
      <c r="I47" s="306" t="s">
        <v>58</v>
      </c>
      <c r="J47" s="306" t="s">
        <v>1422</v>
      </c>
      <c r="K47" s="3">
        <v>22181</v>
      </c>
      <c r="L47" s="310">
        <v>3000</v>
      </c>
      <c r="M47" s="306" t="s">
        <v>59</v>
      </c>
      <c r="N47" s="306" t="s">
        <v>1422</v>
      </c>
      <c r="O47" s="717">
        <v>17827</v>
      </c>
      <c r="P47" s="308">
        <v>2500</v>
      </c>
      <c r="Q47" s="3">
        <f t="shared" si="0"/>
        <v>0.13525089040169513</v>
      </c>
      <c r="R47" s="3">
        <f t="shared" si="2"/>
        <v>0.14023671958265552</v>
      </c>
    </row>
    <row r="48" spans="9:18" x14ac:dyDescent="0.25">
      <c r="I48" s="306" t="s">
        <v>58</v>
      </c>
      <c r="J48" s="306" t="s">
        <v>1422</v>
      </c>
      <c r="K48" s="3">
        <v>20593</v>
      </c>
      <c r="L48" s="310">
        <v>2500</v>
      </c>
      <c r="M48" s="306" t="s">
        <v>59</v>
      </c>
      <c r="N48" s="306" t="s">
        <v>1422</v>
      </c>
      <c r="O48" s="717">
        <v>5895</v>
      </c>
      <c r="P48" s="308">
        <v>1500</v>
      </c>
      <c r="Q48" s="3">
        <f t="shared" si="0"/>
        <v>0.12140047588986549</v>
      </c>
      <c r="R48" s="3">
        <f t="shared" si="2"/>
        <v>0.2544529262086514</v>
      </c>
    </row>
    <row r="49" spans="9:18" x14ac:dyDescent="0.25">
      <c r="I49" s="306" t="s">
        <v>58</v>
      </c>
      <c r="J49" s="306" t="s">
        <v>1491</v>
      </c>
      <c r="K49" s="3">
        <v>2520</v>
      </c>
      <c r="L49" s="310">
        <v>1000</v>
      </c>
      <c r="M49" s="306" t="s">
        <v>59</v>
      </c>
      <c r="N49" s="306" t="s">
        <v>1422</v>
      </c>
      <c r="O49" s="717">
        <v>41000</v>
      </c>
      <c r="P49" s="308">
        <v>3500</v>
      </c>
      <c r="Q49" s="3">
        <f t="shared" si="0"/>
        <v>0.3968253968253968</v>
      </c>
      <c r="R49" s="3">
        <f t="shared" si="2"/>
        <v>8.5365853658536592E-2</v>
      </c>
    </row>
    <row r="50" spans="9:18" x14ac:dyDescent="0.25">
      <c r="I50" s="306" t="s">
        <v>58</v>
      </c>
      <c r="J50" s="306" t="s">
        <v>1422</v>
      </c>
      <c r="K50" s="3">
        <v>10000</v>
      </c>
      <c r="L50" s="310">
        <v>4000</v>
      </c>
      <c r="M50" s="306" t="s">
        <v>59</v>
      </c>
      <c r="N50" s="306" t="s">
        <v>1422</v>
      </c>
      <c r="O50" s="717">
        <v>24796</v>
      </c>
      <c r="P50" s="308">
        <v>3500</v>
      </c>
      <c r="Q50" s="3">
        <f t="shared" si="0"/>
        <v>0.4</v>
      </c>
      <c r="R50" s="3">
        <f t="shared" si="2"/>
        <v>0.14115179867720601</v>
      </c>
    </row>
    <row r="51" spans="9:18" x14ac:dyDescent="0.25">
      <c r="I51" s="306" t="s">
        <v>58</v>
      </c>
      <c r="J51" s="306" t="s">
        <v>1422</v>
      </c>
      <c r="K51" s="3">
        <v>29015</v>
      </c>
      <c r="L51" s="310">
        <v>2000</v>
      </c>
      <c r="M51" s="306" t="s">
        <v>59</v>
      </c>
      <c r="N51" s="306" t="s">
        <v>1422</v>
      </c>
      <c r="O51" s="717">
        <v>23482</v>
      </c>
      <c r="P51" s="308">
        <v>4000</v>
      </c>
      <c r="Q51" s="3">
        <f t="shared" si="0"/>
        <v>6.8929863863518875E-2</v>
      </c>
      <c r="R51" s="3">
        <f t="shared" si="2"/>
        <v>0.17034324163188824</v>
      </c>
    </row>
    <row r="52" spans="9:18" x14ac:dyDescent="0.25">
      <c r="I52" s="306" t="s">
        <v>58</v>
      </c>
      <c r="J52" s="306" t="s">
        <v>1422</v>
      </c>
      <c r="K52" s="3">
        <v>28505</v>
      </c>
      <c r="L52" s="310">
        <v>3000</v>
      </c>
      <c r="M52" s="306" t="s">
        <v>59</v>
      </c>
      <c r="N52" s="306" t="s">
        <v>1422</v>
      </c>
      <c r="O52" s="717">
        <v>4197</v>
      </c>
      <c r="P52" s="308">
        <v>1500</v>
      </c>
      <c r="Q52" s="3">
        <f t="shared" si="0"/>
        <v>0.10524469391334854</v>
      </c>
      <c r="R52" s="3">
        <f t="shared" si="2"/>
        <v>0.35739814152966404</v>
      </c>
    </row>
    <row r="53" spans="9:18" x14ac:dyDescent="0.25">
      <c r="I53" s="306" t="s">
        <v>58</v>
      </c>
      <c r="J53" s="306" t="s">
        <v>1422</v>
      </c>
      <c r="K53" s="3">
        <v>9742</v>
      </c>
      <c r="L53" s="310">
        <v>4000</v>
      </c>
      <c r="M53" s="306" t="s">
        <v>59</v>
      </c>
      <c r="N53" s="306" t="s">
        <v>1422</v>
      </c>
      <c r="O53" s="717">
        <v>25125</v>
      </c>
      <c r="P53" s="308">
        <v>2500</v>
      </c>
      <c r="Q53" s="3">
        <f t="shared" si="0"/>
        <v>0.41059330732909055</v>
      </c>
      <c r="R53" s="3">
        <f t="shared" si="2"/>
        <v>9.950248756218906E-2</v>
      </c>
    </row>
    <row r="54" spans="9:18" x14ac:dyDescent="0.25">
      <c r="I54" s="306" t="s">
        <v>58</v>
      </c>
      <c r="J54" s="306" t="s">
        <v>1422</v>
      </c>
      <c r="K54" s="3">
        <v>8676</v>
      </c>
      <c r="L54" s="310">
        <v>1500</v>
      </c>
      <c r="M54" s="306" t="s">
        <v>59</v>
      </c>
      <c r="N54" s="306" t="s">
        <v>1422</v>
      </c>
      <c r="O54" s="717">
        <v>6142.87</v>
      </c>
      <c r="P54" s="308">
        <v>3500</v>
      </c>
      <c r="Q54" s="3">
        <f t="shared" si="0"/>
        <v>0.17289073305670816</v>
      </c>
      <c r="R54" s="3">
        <f t="shared" si="2"/>
        <v>0.56976624932645492</v>
      </c>
    </row>
    <row r="55" spans="9:18" x14ac:dyDescent="0.25">
      <c r="I55" s="306" t="s">
        <v>58</v>
      </c>
      <c r="J55" s="306" t="s">
        <v>1422</v>
      </c>
      <c r="K55" s="3">
        <v>16825</v>
      </c>
      <c r="L55" s="310">
        <v>2000</v>
      </c>
      <c r="M55" s="306" t="s">
        <v>59</v>
      </c>
      <c r="N55" s="306" t="s">
        <v>1422</v>
      </c>
      <c r="O55" s="717">
        <v>4474</v>
      </c>
      <c r="P55" s="308">
        <v>2500</v>
      </c>
      <c r="Q55" s="3">
        <f t="shared" si="0"/>
        <v>0.1188707280832095</v>
      </c>
      <c r="R55" s="3">
        <f t="shared" si="2"/>
        <v>0.55878408582923556</v>
      </c>
    </row>
    <row r="56" spans="9:18" x14ac:dyDescent="0.25">
      <c r="I56" s="306" t="s">
        <v>58</v>
      </c>
      <c r="J56" s="306" t="s">
        <v>1422</v>
      </c>
      <c r="K56" s="3">
        <v>18350</v>
      </c>
      <c r="L56" s="310">
        <v>4000</v>
      </c>
      <c r="M56" s="306" t="s">
        <v>59</v>
      </c>
      <c r="N56" s="306" t="s">
        <v>1422</v>
      </c>
      <c r="O56" s="717">
        <v>7736.5</v>
      </c>
      <c r="P56" s="308">
        <v>2000</v>
      </c>
      <c r="Q56" s="3">
        <f t="shared" si="0"/>
        <v>0.21798365122615804</v>
      </c>
      <c r="R56" s="3">
        <f t="shared" si="2"/>
        <v>0.25851483228850253</v>
      </c>
    </row>
    <row r="57" spans="9:18" x14ac:dyDescent="0.25">
      <c r="I57" s="306" t="s">
        <v>58</v>
      </c>
      <c r="J57" s="306" t="s">
        <v>1422</v>
      </c>
      <c r="K57" s="3">
        <v>6200</v>
      </c>
      <c r="L57" s="310">
        <v>1500</v>
      </c>
      <c r="M57" s="306" t="s">
        <v>59</v>
      </c>
      <c r="N57" s="306" t="s">
        <v>1422</v>
      </c>
      <c r="O57" s="717">
        <v>9441</v>
      </c>
      <c r="P57" s="718">
        <v>4000</v>
      </c>
      <c r="Q57" s="3">
        <f t="shared" si="0"/>
        <v>0.24193548387096775</v>
      </c>
      <c r="R57" s="3">
        <f t="shared" ref="R57:R88" si="3">P57/O57</f>
        <v>0.42368393178688696</v>
      </c>
    </row>
    <row r="58" spans="9:18" x14ac:dyDescent="0.25">
      <c r="I58" s="306" t="s">
        <v>58</v>
      </c>
      <c r="J58" s="306" t="s">
        <v>1422</v>
      </c>
      <c r="K58" s="3">
        <v>4625</v>
      </c>
      <c r="L58" s="310">
        <v>3500</v>
      </c>
      <c r="M58" s="306" t="s">
        <v>59</v>
      </c>
      <c r="N58" s="306" t="s">
        <v>1422</v>
      </c>
      <c r="O58" s="717">
        <v>5281.29</v>
      </c>
      <c r="P58" s="308">
        <v>2000</v>
      </c>
      <c r="Q58" s="3">
        <f t="shared" si="0"/>
        <v>0.7567567567567568</v>
      </c>
      <c r="R58" s="3">
        <f t="shared" si="3"/>
        <v>0.37869535662688475</v>
      </c>
    </row>
    <row r="59" spans="9:18" x14ac:dyDescent="0.25">
      <c r="I59" s="306" t="s">
        <v>58</v>
      </c>
      <c r="J59" s="306" t="s">
        <v>1422</v>
      </c>
      <c r="K59" s="3">
        <v>6780</v>
      </c>
      <c r="L59" s="310">
        <v>2000</v>
      </c>
      <c r="M59" s="306" t="s">
        <v>59</v>
      </c>
      <c r="N59" s="306" t="s">
        <v>1422</v>
      </c>
      <c r="O59" s="717">
        <v>19561</v>
      </c>
      <c r="P59" s="308">
        <v>2500</v>
      </c>
      <c r="Q59" s="3">
        <f t="shared" si="0"/>
        <v>0.29498525073746312</v>
      </c>
      <c r="R59" s="3">
        <f t="shared" si="3"/>
        <v>0.12780532692602628</v>
      </c>
    </row>
    <row r="60" spans="9:18" x14ac:dyDescent="0.25">
      <c r="I60" s="306" t="s">
        <v>58</v>
      </c>
      <c r="J60" s="306" t="s">
        <v>1422</v>
      </c>
      <c r="K60" s="3">
        <v>35115</v>
      </c>
      <c r="L60" s="310">
        <v>2500</v>
      </c>
      <c r="M60" s="306" t="s">
        <v>59</v>
      </c>
      <c r="N60" s="306" t="s">
        <v>1422</v>
      </c>
      <c r="O60" s="717">
        <v>2181.1999999999998</v>
      </c>
      <c r="P60" s="308">
        <v>1250</v>
      </c>
      <c r="Q60" s="3">
        <f t="shared" si="0"/>
        <v>7.1194646162608566E-2</v>
      </c>
      <c r="R60" s="3">
        <f t="shared" si="3"/>
        <v>0.57307903906106739</v>
      </c>
    </row>
    <row r="61" spans="9:18" x14ac:dyDescent="0.25">
      <c r="I61" s="306" t="s">
        <v>58</v>
      </c>
      <c r="J61" s="306" t="s">
        <v>1422</v>
      </c>
      <c r="K61" s="3">
        <v>7535</v>
      </c>
      <c r="L61" s="310">
        <v>2500</v>
      </c>
      <c r="M61" s="306" t="s">
        <v>59</v>
      </c>
      <c r="N61" s="306" t="s">
        <v>1422</v>
      </c>
      <c r="O61" s="717">
        <v>5722</v>
      </c>
      <c r="P61" s="308">
        <v>1500</v>
      </c>
      <c r="Q61" s="3">
        <f t="shared" si="0"/>
        <v>0.33178500331785005</v>
      </c>
      <c r="R61" s="3">
        <f t="shared" si="3"/>
        <v>0.26214610276127226</v>
      </c>
    </row>
    <row r="62" spans="9:18" x14ac:dyDescent="0.25">
      <c r="I62" s="306" t="s">
        <v>58</v>
      </c>
      <c r="J62" s="306" t="s">
        <v>1422</v>
      </c>
      <c r="K62" s="3">
        <v>10648</v>
      </c>
      <c r="L62" s="310">
        <v>2000</v>
      </c>
      <c r="M62" s="306" t="s">
        <v>59</v>
      </c>
      <c r="N62" s="306" t="s">
        <v>1422</v>
      </c>
      <c r="O62" s="717">
        <v>7350</v>
      </c>
      <c r="P62" s="308">
        <v>2500</v>
      </c>
      <c r="Q62" s="3">
        <f t="shared" si="0"/>
        <v>0.18782870022539444</v>
      </c>
      <c r="R62" s="3">
        <f t="shared" si="3"/>
        <v>0.3401360544217687</v>
      </c>
    </row>
    <row r="63" spans="9:18" x14ac:dyDescent="0.25">
      <c r="I63" s="306" t="s">
        <v>58</v>
      </c>
      <c r="J63" s="306" t="s">
        <v>1422</v>
      </c>
      <c r="K63" s="3">
        <v>19689</v>
      </c>
      <c r="L63" s="310">
        <v>3500</v>
      </c>
      <c r="M63" s="306" t="s">
        <v>59</v>
      </c>
      <c r="N63" s="306" t="s">
        <v>1422</v>
      </c>
      <c r="O63" s="717">
        <v>55858</v>
      </c>
      <c r="P63" s="308">
        <v>2000</v>
      </c>
      <c r="Q63" s="3">
        <f t="shared" si="0"/>
        <v>0.17776423383615217</v>
      </c>
      <c r="R63" s="3">
        <f t="shared" si="3"/>
        <v>3.580507715994128E-2</v>
      </c>
    </row>
    <row r="64" spans="9:18" x14ac:dyDescent="0.25">
      <c r="I64" s="306" t="s">
        <v>58</v>
      </c>
      <c r="J64" s="306" t="s">
        <v>1422</v>
      </c>
      <c r="K64" s="3">
        <v>23150</v>
      </c>
      <c r="L64" s="310">
        <v>2000</v>
      </c>
      <c r="M64" s="306" t="s">
        <v>59</v>
      </c>
      <c r="N64" s="306" t="s">
        <v>1422</v>
      </c>
      <c r="O64" s="717">
        <v>16770</v>
      </c>
      <c r="P64" s="308">
        <v>3000</v>
      </c>
      <c r="Q64" s="3">
        <f t="shared" si="0"/>
        <v>8.6393088552915762E-2</v>
      </c>
      <c r="R64" s="3">
        <f t="shared" si="3"/>
        <v>0.17889087656529518</v>
      </c>
    </row>
    <row r="65" spans="9:18" x14ac:dyDescent="0.25">
      <c r="I65" s="306" t="s">
        <v>58</v>
      </c>
      <c r="J65" s="306" t="s">
        <v>1422</v>
      </c>
      <c r="K65" s="3">
        <v>9600</v>
      </c>
      <c r="L65" s="310">
        <v>2000</v>
      </c>
      <c r="M65" s="306" t="s">
        <v>59</v>
      </c>
      <c r="N65" s="306" t="s">
        <v>1422</v>
      </c>
      <c r="O65" s="717">
        <v>22000</v>
      </c>
      <c r="P65" s="308">
        <v>4000</v>
      </c>
      <c r="Q65" s="3">
        <f t="shared" si="0"/>
        <v>0.20833333333333334</v>
      </c>
      <c r="R65" s="3">
        <f t="shared" si="3"/>
        <v>0.18181818181818182</v>
      </c>
    </row>
    <row r="66" spans="9:18" x14ac:dyDescent="0.25">
      <c r="I66" s="306" t="s">
        <v>58</v>
      </c>
      <c r="J66" s="306" t="s">
        <v>1422</v>
      </c>
      <c r="K66" s="3">
        <v>9386</v>
      </c>
      <c r="L66" s="310">
        <v>2500</v>
      </c>
      <c r="M66" s="306" t="s">
        <v>59</v>
      </c>
      <c r="N66" s="306" t="s">
        <v>1422</v>
      </c>
      <c r="O66" s="717">
        <v>12477</v>
      </c>
      <c r="P66" s="308">
        <v>1360</v>
      </c>
      <c r="Q66" s="3">
        <f t="shared" si="0"/>
        <v>0.26635414447048794</v>
      </c>
      <c r="R66" s="3">
        <f t="shared" si="3"/>
        <v>0.10900056103229944</v>
      </c>
    </row>
    <row r="67" spans="9:18" x14ac:dyDescent="0.25">
      <c r="I67" s="306" t="s">
        <v>58</v>
      </c>
      <c r="J67" s="306" t="s">
        <v>1422</v>
      </c>
      <c r="K67" s="3">
        <v>32941</v>
      </c>
      <c r="L67" s="310">
        <v>4000</v>
      </c>
      <c r="M67" s="306" t="s">
        <v>59</v>
      </c>
      <c r="N67" s="306" t="s">
        <v>1422</v>
      </c>
      <c r="O67" s="717">
        <v>2078</v>
      </c>
      <c r="P67" s="308">
        <v>1500</v>
      </c>
      <c r="Q67" s="3">
        <f t="shared" si="0"/>
        <v>0.1214292219422604</v>
      </c>
      <c r="R67" s="3">
        <f t="shared" si="3"/>
        <v>0.72184793070259867</v>
      </c>
    </row>
    <row r="68" spans="9:18" x14ac:dyDescent="0.25">
      <c r="I68" s="306" t="s">
        <v>58</v>
      </c>
      <c r="J68" s="306" t="s">
        <v>1422</v>
      </c>
      <c r="K68" s="3">
        <v>12895</v>
      </c>
      <c r="L68" s="310">
        <v>2000</v>
      </c>
      <c r="M68" s="306" t="s">
        <v>59</v>
      </c>
      <c r="N68" s="306" t="s">
        <v>1422</v>
      </c>
      <c r="O68" s="717">
        <v>8745</v>
      </c>
      <c r="P68" s="308">
        <v>2500</v>
      </c>
      <c r="Q68" s="3">
        <f t="shared" si="0"/>
        <v>0.15509887553315238</v>
      </c>
      <c r="R68" s="3">
        <f t="shared" si="3"/>
        <v>0.28587764436821039</v>
      </c>
    </row>
    <row r="69" spans="9:18" x14ac:dyDescent="0.25">
      <c r="I69" s="306" t="s">
        <v>58</v>
      </c>
      <c r="J69" s="306" t="s">
        <v>1422</v>
      </c>
      <c r="K69" s="3">
        <v>13755</v>
      </c>
      <c r="L69" s="310">
        <v>4000</v>
      </c>
      <c r="M69" s="306" t="s">
        <v>59</v>
      </c>
      <c r="N69" s="306" t="s">
        <v>1422</v>
      </c>
      <c r="O69" s="717">
        <v>15936</v>
      </c>
      <c r="P69" s="308">
        <v>1500</v>
      </c>
      <c r="Q69" s="3">
        <f t="shared" si="0"/>
        <v>0.29080334423845872</v>
      </c>
      <c r="R69" s="3">
        <f t="shared" si="3"/>
        <v>9.412650602409639E-2</v>
      </c>
    </row>
    <row r="70" spans="9:18" x14ac:dyDescent="0.25">
      <c r="I70" s="306" t="s">
        <v>58</v>
      </c>
      <c r="J70" s="306" t="s">
        <v>1422</v>
      </c>
      <c r="K70" s="3">
        <v>15107</v>
      </c>
      <c r="L70" s="310">
        <v>3500</v>
      </c>
      <c r="M70" s="306" t="s">
        <v>59</v>
      </c>
      <c r="N70" s="306" t="s">
        <v>1422</v>
      </c>
      <c r="O70" s="717">
        <v>20094</v>
      </c>
      <c r="P70" s="308">
        <v>4000</v>
      </c>
      <c r="Q70" s="3">
        <f t="shared" si="0"/>
        <v>0.23168067783146887</v>
      </c>
      <c r="R70" s="3">
        <f t="shared" si="3"/>
        <v>0.19906439733253709</v>
      </c>
    </row>
    <row r="71" spans="9:18" x14ac:dyDescent="0.25">
      <c r="I71" s="715" t="s">
        <v>58</v>
      </c>
      <c r="J71" s="715" t="s">
        <v>1422</v>
      </c>
      <c r="K71" s="3">
        <v>10820</v>
      </c>
      <c r="L71" s="716">
        <v>2000</v>
      </c>
      <c r="M71" s="306" t="s">
        <v>59</v>
      </c>
      <c r="N71" s="306" t="s">
        <v>1422</v>
      </c>
      <c r="O71" s="717">
        <v>36660</v>
      </c>
      <c r="P71" s="308">
        <v>2000</v>
      </c>
      <c r="Q71" s="3">
        <f t="shared" ref="Q71:Q102" si="4">L71/K71</f>
        <v>0.18484288354898337</v>
      </c>
      <c r="R71" s="3">
        <f t="shared" si="3"/>
        <v>5.4555373704309872E-2</v>
      </c>
    </row>
    <row r="72" spans="9:18" x14ac:dyDescent="0.25">
      <c r="I72" s="715" t="s">
        <v>58</v>
      </c>
      <c r="J72" s="715" t="s">
        <v>1422</v>
      </c>
      <c r="K72" s="3">
        <v>32733</v>
      </c>
      <c r="L72" s="716">
        <v>3000</v>
      </c>
      <c r="M72" s="306" t="s">
        <v>59</v>
      </c>
      <c r="N72" s="306" t="s">
        <v>1422</v>
      </c>
      <c r="O72" s="717">
        <v>18491</v>
      </c>
      <c r="P72" s="308">
        <v>2500</v>
      </c>
      <c r="Q72" s="3">
        <f t="shared" si="4"/>
        <v>9.1650627806800472E-2</v>
      </c>
      <c r="R72" s="3">
        <f t="shared" si="3"/>
        <v>0.13520090855010547</v>
      </c>
    </row>
    <row r="73" spans="9:18" x14ac:dyDescent="0.25">
      <c r="I73" s="715" t="s">
        <v>58</v>
      </c>
      <c r="J73" s="715" t="s">
        <v>1422</v>
      </c>
      <c r="K73" s="3">
        <v>28000</v>
      </c>
      <c r="L73" s="716">
        <v>3500</v>
      </c>
      <c r="M73" s="306" t="s">
        <v>59</v>
      </c>
      <c r="N73" s="306" t="s">
        <v>1422</v>
      </c>
      <c r="O73" s="717">
        <v>9467</v>
      </c>
      <c r="P73" s="308">
        <v>2500</v>
      </c>
      <c r="Q73" s="3">
        <f t="shared" si="4"/>
        <v>0.125</v>
      </c>
      <c r="R73" s="3">
        <f t="shared" si="3"/>
        <v>0.2640752086194148</v>
      </c>
    </row>
    <row r="74" spans="9:18" x14ac:dyDescent="0.25">
      <c r="I74" s="715" t="s">
        <v>58</v>
      </c>
      <c r="J74" s="715" t="s">
        <v>1422</v>
      </c>
      <c r="K74" s="3">
        <v>13503</v>
      </c>
      <c r="L74" s="716">
        <v>2000</v>
      </c>
      <c r="M74" s="306" t="s">
        <v>59</v>
      </c>
      <c r="N74" s="306" t="s">
        <v>1422</v>
      </c>
      <c r="O74" s="717">
        <v>24615</v>
      </c>
      <c r="P74" s="308">
        <v>4000</v>
      </c>
      <c r="Q74" s="3">
        <f t="shared" si="4"/>
        <v>0.14811523365178109</v>
      </c>
      <c r="R74" s="3">
        <f t="shared" si="3"/>
        <v>0.16250253910217347</v>
      </c>
    </row>
    <row r="75" spans="9:18" x14ac:dyDescent="0.25">
      <c r="I75" s="715" t="s">
        <v>58</v>
      </c>
      <c r="J75" s="715" t="s">
        <v>1422</v>
      </c>
      <c r="K75" s="3">
        <v>15965</v>
      </c>
      <c r="L75" s="716">
        <v>3000</v>
      </c>
      <c r="M75" s="306" t="s">
        <v>59</v>
      </c>
      <c r="N75" s="306" t="s">
        <v>1422</v>
      </c>
      <c r="O75" s="717">
        <v>15052</v>
      </c>
      <c r="P75" s="308">
        <v>2000</v>
      </c>
      <c r="Q75" s="3">
        <f t="shared" si="4"/>
        <v>0.18791105543376135</v>
      </c>
      <c r="R75" s="3">
        <f t="shared" si="3"/>
        <v>0.13287270794578793</v>
      </c>
    </row>
    <row r="76" spans="9:18" x14ac:dyDescent="0.25">
      <c r="I76" s="715" t="s">
        <v>58</v>
      </c>
      <c r="J76" s="715" t="s">
        <v>1422</v>
      </c>
      <c r="K76" s="3">
        <v>7230</v>
      </c>
      <c r="L76" s="716">
        <v>2500</v>
      </c>
      <c r="M76" s="306" t="s">
        <v>59</v>
      </c>
      <c r="N76" s="306" t="s">
        <v>1422</v>
      </c>
      <c r="O76" s="717">
        <v>7433</v>
      </c>
      <c r="P76" s="308">
        <v>3000</v>
      </c>
      <c r="Q76" s="3">
        <f t="shared" si="4"/>
        <v>0.34578146611341631</v>
      </c>
      <c r="R76" s="3">
        <f t="shared" si="3"/>
        <v>0.40360554284945516</v>
      </c>
    </row>
    <row r="77" spans="9:18" x14ac:dyDescent="0.25">
      <c r="I77" s="715" t="s">
        <v>58</v>
      </c>
      <c r="J77" s="715" t="s">
        <v>1422</v>
      </c>
      <c r="K77" s="3">
        <v>12505</v>
      </c>
      <c r="L77" s="716">
        <v>4000</v>
      </c>
      <c r="M77" s="306" t="s">
        <v>59</v>
      </c>
      <c r="N77" s="306" t="s">
        <v>1422</v>
      </c>
      <c r="O77" s="717">
        <v>10500</v>
      </c>
      <c r="P77" s="308">
        <v>2000</v>
      </c>
      <c r="Q77" s="3">
        <f t="shared" si="4"/>
        <v>0.31987205117952822</v>
      </c>
      <c r="R77" s="3">
        <f t="shared" si="3"/>
        <v>0.19047619047619047</v>
      </c>
    </row>
    <row r="78" spans="9:18" x14ac:dyDescent="0.25">
      <c r="I78" s="715" t="s">
        <v>58</v>
      </c>
      <c r="J78" s="715" t="s">
        <v>1422</v>
      </c>
      <c r="K78" s="3">
        <v>31563</v>
      </c>
      <c r="L78" s="716">
        <v>4000</v>
      </c>
      <c r="M78" s="306" t="s">
        <v>59</v>
      </c>
      <c r="N78" s="306" t="s">
        <v>1422</v>
      </c>
      <c r="O78" s="717">
        <v>7920</v>
      </c>
      <c r="P78" s="308">
        <v>2000</v>
      </c>
      <c r="Q78" s="3">
        <f t="shared" si="4"/>
        <v>0.12673066565282134</v>
      </c>
      <c r="R78" s="3">
        <f t="shared" si="3"/>
        <v>0.25252525252525254</v>
      </c>
    </row>
    <row r="79" spans="9:18" x14ac:dyDescent="0.25">
      <c r="I79" s="715" t="s">
        <v>58</v>
      </c>
      <c r="J79" s="715" t="s">
        <v>1422</v>
      </c>
      <c r="K79" s="3">
        <v>11150</v>
      </c>
      <c r="L79" s="716">
        <v>2500</v>
      </c>
      <c r="M79" s="306" t="s">
        <v>59</v>
      </c>
      <c r="N79" s="306" t="s">
        <v>1422</v>
      </c>
      <c r="O79" s="717">
        <v>5444</v>
      </c>
      <c r="P79" s="308">
        <v>2000</v>
      </c>
      <c r="Q79" s="3">
        <f t="shared" si="4"/>
        <v>0.22421524663677131</v>
      </c>
      <c r="R79" s="3">
        <f t="shared" si="3"/>
        <v>0.36737692872887584</v>
      </c>
    </row>
    <row r="80" spans="9:18" x14ac:dyDescent="0.25">
      <c r="I80" s="715" t="s">
        <v>58</v>
      </c>
      <c r="J80" s="715" t="s">
        <v>1422</v>
      </c>
      <c r="K80" s="3">
        <v>10001</v>
      </c>
      <c r="L80" s="716">
        <v>4000</v>
      </c>
      <c r="M80" s="306" t="s">
        <v>59</v>
      </c>
      <c r="N80" s="306" t="s">
        <v>1422</v>
      </c>
      <c r="O80" s="717">
        <v>14116</v>
      </c>
      <c r="P80" s="308">
        <v>3000</v>
      </c>
      <c r="Q80" s="3">
        <f t="shared" si="4"/>
        <v>0.39996000399960002</v>
      </c>
      <c r="R80" s="3">
        <f t="shared" si="3"/>
        <v>0.21252479455936527</v>
      </c>
    </row>
    <row r="81" spans="9:18" x14ac:dyDescent="0.25">
      <c r="I81" s="715" t="s">
        <v>58</v>
      </c>
      <c r="J81" s="715" t="s">
        <v>1422</v>
      </c>
      <c r="K81" s="3">
        <v>36362</v>
      </c>
      <c r="L81" s="716">
        <v>2000</v>
      </c>
      <c r="M81" s="306" t="s">
        <v>59</v>
      </c>
      <c r="N81" s="306" t="s">
        <v>1422</v>
      </c>
      <c r="O81" s="717">
        <v>18031</v>
      </c>
      <c r="P81" s="308">
        <v>3000</v>
      </c>
      <c r="Q81" s="3">
        <f t="shared" si="4"/>
        <v>5.5002475111380011E-2</v>
      </c>
      <c r="R81" s="3">
        <f t="shared" si="3"/>
        <v>0.16638012312129111</v>
      </c>
    </row>
    <row r="82" spans="9:18" x14ac:dyDescent="0.25">
      <c r="I82" s="715" t="s">
        <v>58</v>
      </c>
      <c r="J82" s="715" t="s">
        <v>1422</v>
      </c>
      <c r="K82" s="3">
        <v>4525</v>
      </c>
      <c r="L82" s="716">
        <v>1500</v>
      </c>
      <c r="M82" s="306" t="s">
        <v>59</v>
      </c>
      <c r="N82" s="306" t="s">
        <v>1422</v>
      </c>
      <c r="O82" s="717">
        <v>4730</v>
      </c>
      <c r="P82" s="308">
        <v>2000</v>
      </c>
      <c r="Q82" s="3">
        <f t="shared" si="4"/>
        <v>0.33149171270718231</v>
      </c>
      <c r="R82" s="3">
        <f t="shared" si="3"/>
        <v>0.42283298097251587</v>
      </c>
    </row>
    <row r="83" spans="9:18" x14ac:dyDescent="0.25">
      <c r="I83" s="715" t="s">
        <v>58</v>
      </c>
      <c r="J83" s="715" t="s">
        <v>1422</v>
      </c>
      <c r="K83" s="3">
        <v>4875</v>
      </c>
      <c r="L83" s="716">
        <v>1500</v>
      </c>
      <c r="M83" s="306" t="s">
        <v>59</v>
      </c>
      <c r="N83" s="306" t="s">
        <v>1422</v>
      </c>
      <c r="O83" s="717">
        <v>6050</v>
      </c>
      <c r="P83" s="308">
        <v>2000</v>
      </c>
      <c r="Q83" s="3">
        <f t="shared" si="4"/>
        <v>0.30769230769230771</v>
      </c>
      <c r="R83" s="3">
        <f t="shared" si="3"/>
        <v>0.33057851239669422</v>
      </c>
    </row>
    <row r="84" spans="9:18" x14ac:dyDescent="0.25">
      <c r="I84" s="715" t="s">
        <v>58</v>
      </c>
      <c r="J84" s="715" t="s">
        <v>1422</v>
      </c>
      <c r="K84" s="3">
        <v>5710</v>
      </c>
      <c r="L84" s="716">
        <v>3000</v>
      </c>
      <c r="M84" s="306" t="s">
        <v>59</v>
      </c>
      <c r="N84" s="306" t="s">
        <v>1422</v>
      </c>
      <c r="O84" s="717">
        <v>10335</v>
      </c>
      <c r="P84" s="308">
        <v>1500</v>
      </c>
      <c r="Q84" s="3">
        <f t="shared" si="4"/>
        <v>0.52539404553415059</v>
      </c>
      <c r="R84" s="3">
        <f t="shared" si="3"/>
        <v>0.14513788098693758</v>
      </c>
    </row>
    <row r="85" spans="9:18" x14ac:dyDescent="0.25">
      <c r="I85" s="715" t="s">
        <v>58</v>
      </c>
      <c r="J85" s="715" t="s">
        <v>1422</v>
      </c>
      <c r="K85" s="3">
        <v>21677</v>
      </c>
      <c r="L85" s="716">
        <v>3000</v>
      </c>
      <c r="M85" s="306" t="s">
        <v>59</v>
      </c>
      <c r="N85" s="306" t="s">
        <v>1422</v>
      </c>
      <c r="O85" s="717">
        <v>38901</v>
      </c>
      <c r="P85" s="308">
        <v>2000</v>
      </c>
      <c r="Q85" s="3">
        <f t="shared" si="4"/>
        <v>0.13839553443742214</v>
      </c>
      <c r="R85" s="3">
        <f t="shared" si="3"/>
        <v>5.14125600884296E-2</v>
      </c>
    </row>
    <row r="86" spans="9:18" x14ac:dyDescent="0.25">
      <c r="I86" s="715" t="s">
        <v>58</v>
      </c>
      <c r="J86" s="715" t="s">
        <v>1422</v>
      </c>
      <c r="K86" s="3">
        <v>5600</v>
      </c>
      <c r="L86" s="716">
        <v>1500</v>
      </c>
      <c r="M86" s="306" t="s">
        <v>59</v>
      </c>
      <c r="N86" s="306" t="s">
        <v>1422</v>
      </c>
      <c r="O86" s="717">
        <v>3780</v>
      </c>
      <c r="P86" s="308">
        <v>1500</v>
      </c>
      <c r="Q86" s="3">
        <f t="shared" si="4"/>
        <v>0.26785714285714285</v>
      </c>
      <c r="R86" s="3">
        <f t="shared" si="3"/>
        <v>0.3968253968253968</v>
      </c>
    </row>
    <row r="87" spans="9:18" x14ac:dyDescent="0.25">
      <c r="I87" s="715" t="s">
        <v>58</v>
      </c>
      <c r="J87" s="715" t="s">
        <v>1422</v>
      </c>
      <c r="K87" s="3">
        <v>19612</v>
      </c>
      <c r="L87" s="716">
        <v>4000</v>
      </c>
      <c r="M87" s="306" t="s">
        <v>59</v>
      </c>
      <c r="N87" s="306" t="s">
        <v>1422</v>
      </c>
      <c r="O87" s="717">
        <v>4800</v>
      </c>
      <c r="P87" s="308">
        <v>3000</v>
      </c>
      <c r="Q87" s="3">
        <f t="shared" si="4"/>
        <v>0.20395676116663267</v>
      </c>
      <c r="R87" s="3">
        <f t="shared" si="3"/>
        <v>0.625</v>
      </c>
    </row>
    <row r="88" spans="9:18" x14ac:dyDescent="0.25">
      <c r="I88" s="715" t="s">
        <v>58</v>
      </c>
      <c r="J88" s="715" t="s">
        <v>1422</v>
      </c>
      <c r="K88" s="3">
        <v>21827</v>
      </c>
      <c r="L88" s="716">
        <v>3500</v>
      </c>
      <c r="M88" s="306" t="s">
        <v>59</v>
      </c>
      <c r="N88" s="306" t="s">
        <v>1422</v>
      </c>
      <c r="O88" s="717">
        <v>15650</v>
      </c>
      <c r="P88" s="308">
        <v>3500</v>
      </c>
      <c r="Q88" s="3">
        <f t="shared" si="4"/>
        <v>0.16035185779080954</v>
      </c>
      <c r="R88" s="3">
        <f t="shared" si="3"/>
        <v>0.22364217252396165</v>
      </c>
    </row>
    <row r="89" spans="9:18" x14ac:dyDescent="0.25">
      <c r="I89" s="715" t="s">
        <v>58</v>
      </c>
      <c r="J89" s="715" t="s">
        <v>1422</v>
      </c>
      <c r="K89" s="3">
        <v>6017</v>
      </c>
      <c r="L89" s="716">
        <v>2000</v>
      </c>
      <c r="M89" s="306" t="s">
        <v>59</v>
      </c>
      <c r="N89" s="306" t="s">
        <v>1422</v>
      </c>
      <c r="O89" s="717">
        <v>14284</v>
      </c>
      <c r="P89" s="308">
        <v>1250</v>
      </c>
      <c r="Q89" s="3">
        <f t="shared" si="4"/>
        <v>0.33239155725444575</v>
      </c>
      <c r="R89" s="3">
        <f t="shared" ref="R89:R120" si="5">P89/O89</f>
        <v>8.7510501260151224E-2</v>
      </c>
    </row>
    <row r="90" spans="9:18" x14ac:dyDescent="0.25">
      <c r="I90" s="715" t="s">
        <v>58</v>
      </c>
      <c r="J90" s="715" t="s">
        <v>1422</v>
      </c>
      <c r="K90" s="3">
        <v>18277</v>
      </c>
      <c r="L90" s="716">
        <v>2000</v>
      </c>
      <c r="M90" s="306" t="s">
        <v>59</v>
      </c>
      <c r="N90" s="306" t="s">
        <v>1422</v>
      </c>
      <c r="O90" s="717">
        <v>4517</v>
      </c>
      <c r="P90" s="308">
        <v>2000</v>
      </c>
      <c r="Q90" s="3">
        <f t="shared" si="4"/>
        <v>0.10942714887563605</v>
      </c>
      <c r="R90" s="3">
        <f t="shared" si="5"/>
        <v>0.44277175116227585</v>
      </c>
    </row>
    <row r="91" spans="9:18" x14ac:dyDescent="0.25">
      <c r="I91" s="715" t="s">
        <v>58</v>
      </c>
      <c r="J91" s="715" t="s">
        <v>1422</v>
      </c>
      <c r="K91" s="3">
        <v>10629</v>
      </c>
      <c r="L91" s="716">
        <v>2500</v>
      </c>
      <c r="M91" s="306" t="s">
        <v>59</v>
      </c>
      <c r="N91" s="306" t="s">
        <v>1422</v>
      </c>
      <c r="O91" s="717">
        <v>12754</v>
      </c>
      <c r="P91" s="308">
        <v>1500</v>
      </c>
      <c r="Q91" s="3">
        <f t="shared" si="4"/>
        <v>0.23520556966788975</v>
      </c>
      <c r="R91" s="3">
        <f t="shared" si="5"/>
        <v>0.11761016151795516</v>
      </c>
    </row>
    <row r="92" spans="9:18" x14ac:dyDescent="0.25">
      <c r="I92" s="715" t="s">
        <v>58</v>
      </c>
      <c r="J92" s="715" t="s">
        <v>1422</v>
      </c>
      <c r="K92" s="3">
        <v>7135</v>
      </c>
      <c r="L92" s="716">
        <v>2000</v>
      </c>
      <c r="M92" s="306" t="s">
        <v>59</v>
      </c>
      <c r="N92" s="306" t="s">
        <v>1422</v>
      </c>
      <c r="O92" s="717">
        <v>6397</v>
      </c>
      <c r="P92" s="308">
        <v>1500</v>
      </c>
      <c r="Q92" s="3">
        <f t="shared" si="4"/>
        <v>0.28030833917309039</v>
      </c>
      <c r="R92" s="3">
        <f t="shared" si="5"/>
        <v>0.23448491480381428</v>
      </c>
    </row>
    <row r="93" spans="9:18" x14ac:dyDescent="0.25">
      <c r="I93" s="715" t="s">
        <v>58</v>
      </c>
      <c r="J93" s="715" t="s">
        <v>1422</v>
      </c>
      <c r="K93" s="3">
        <v>12706</v>
      </c>
      <c r="L93" s="716">
        <v>2500</v>
      </c>
      <c r="M93" s="306" t="s">
        <v>59</v>
      </c>
      <c r="N93" s="306" t="s">
        <v>1422</v>
      </c>
      <c r="O93" s="717">
        <v>4370.59</v>
      </c>
      <c r="P93" s="308">
        <v>2000</v>
      </c>
      <c r="Q93" s="3">
        <f t="shared" si="4"/>
        <v>0.19675743743113489</v>
      </c>
      <c r="R93" s="3">
        <f t="shared" si="5"/>
        <v>0.45760412209793183</v>
      </c>
    </row>
    <row r="94" spans="9:18" x14ac:dyDescent="0.25">
      <c r="I94" s="715" t="s">
        <v>58</v>
      </c>
      <c r="J94" s="715" t="s">
        <v>1422</v>
      </c>
      <c r="K94" s="3">
        <v>21936</v>
      </c>
      <c r="L94" s="716">
        <v>4000</v>
      </c>
      <c r="M94" s="306" t="s">
        <v>59</v>
      </c>
      <c r="N94" s="306" t="s">
        <v>1422</v>
      </c>
      <c r="O94" s="717">
        <v>4077.12</v>
      </c>
      <c r="P94" s="308">
        <v>2000</v>
      </c>
      <c r="Q94" s="3">
        <f t="shared" si="4"/>
        <v>0.18234865061998543</v>
      </c>
      <c r="R94" s="3">
        <f t="shared" si="5"/>
        <v>0.49054234361510085</v>
      </c>
    </row>
    <row r="95" spans="9:18" x14ac:dyDescent="0.25">
      <c r="I95" s="715" t="s">
        <v>58</v>
      </c>
      <c r="J95" s="715" t="s">
        <v>1422</v>
      </c>
      <c r="K95" s="3">
        <v>17550</v>
      </c>
      <c r="L95" s="716">
        <v>4000</v>
      </c>
      <c r="M95" s="306" t="s">
        <v>59</v>
      </c>
      <c r="N95" s="306" t="s">
        <v>1422</v>
      </c>
      <c r="O95" s="717">
        <v>7000</v>
      </c>
      <c r="P95" s="308">
        <v>2000</v>
      </c>
      <c r="Q95" s="3">
        <f t="shared" si="4"/>
        <v>0.22792022792022792</v>
      </c>
      <c r="R95" s="3">
        <f t="shared" si="5"/>
        <v>0.2857142857142857</v>
      </c>
    </row>
    <row r="96" spans="9:18" x14ac:dyDescent="0.25">
      <c r="I96" s="715" t="s">
        <v>58</v>
      </c>
      <c r="J96" s="715" t="s">
        <v>1422</v>
      </c>
      <c r="K96" s="3">
        <v>19568</v>
      </c>
      <c r="L96" s="716">
        <v>2500</v>
      </c>
      <c r="M96" s="306" t="s">
        <v>59</v>
      </c>
      <c r="N96" s="306" t="s">
        <v>1422</v>
      </c>
      <c r="O96" s="717">
        <v>4811.09</v>
      </c>
      <c r="P96" s="308">
        <v>1250</v>
      </c>
      <c r="Q96" s="3">
        <f t="shared" si="4"/>
        <v>0.12775960752248569</v>
      </c>
      <c r="R96" s="3">
        <f t="shared" si="5"/>
        <v>0.25981638256611289</v>
      </c>
    </row>
    <row r="97" spans="9:18" x14ac:dyDescent="0.25">
      <c r="I97" s="715" t="s">
        <v>58</v>
      </c>
      <c r="J97" s="715" t="s">
        <v>1422</v>
      </c>
      <c r="K97" s="3">
        <v>9335</v>
      </c>
      <c r="L97" s="716">
        <v>4000</v>
      </c>
      <c r="M97" s="306" t="s">
        <v>59</v>
      </c>
      <c r="N97" s="306" t="s">
        <v>1422</v>
      </c>
      <c r="O97" s="717">
        <v>30781</v>
      </c>
      <c r="P97" s="308">
        <v>2000</v>
      </c>
      <c r="Q97" s="3">
        <f t="shared" si="4"/>
        <v>0.42849491162292447</v>
      </c>
      <c r="R97" s="3">
        <f t="shared" si="5"/>
        <v>6.4975147006270106E-2</v>
      </c>
    </row>
    <row r="98" spans="9:18" x14ac:dyDescent="0.25">
      <c r="I98" s="715" t="s">
        <v>58</v>
      </c>
      <c r="J98" s="715" t="s">
        <v>1422</v>
      </c>
      <c r="K98" s="3">
        <v>32998.730000000003</v>
      </c>
      <c r="L98" s="716">
        <v>3000</v>
      </c>
      <c r="M98" s="306" t="s">
        <v>59</v>
      </c>
      <c r="N98" s="306" t="s">
        <v>1422</v>
      </c>
      <c r="O98" s="717">
        <v>4880</v>
      </c>
      <c r="P98" s="308">
        <v>2500</v>
      </c>
      <c r="Q98" s="3">
        <f t="shared" si="4"/>
        <v>9.0912589666329577E-2</v>
      </c>
      <c r="R98" s="3">
        <f t="shared" si="5"/>
        <v>0.51229508196721307</v>
      </c>
    </row>
    <row r="99" spans="9:18" x14ac:dyDescent="0.25">
      <c r="I99" s="715" t="s">
        <v>58</v>
      </c>
      <c r="J99" s="715" t="s">
        <v>1422</v>
      </c>
      <c r="K99" s="3">
        <v>15178</v>
      </c>
      <c r="L99" s="716">
        <v>3000</v>
      </c>
      <c r="M99" s="306" t="s">
        <v>59</v>
      </c>
      <c r="N99" s="306" t="s">
        <v>1422</v>
      </c>
      <c r="O99" s="717">
        <v>4761</v>
      </c>
      <c r="P99" s="308">
        <v>2000</v>
      </c>
      <c r="Q99" s="3">
        <f t="shared" si="4"/>
        <v>0.19765449993411516</v>
      </c>
      <c r="R99" s="3">
        <f t="shared" si="5"/>
        <v>0.42007981516488135</v>
      </c>
    </row>
    <row r="100" spans="9:18" x14ac:dyDescent="0.25">
      <c r="I100" s="715" t="s">
        <v>58</v>
      </c>
      <c r="J100" s="715" t="s">
        <v>1422</v>
      </c>
      <c r="K100" s="3">
        <v>9510</v>
      </c>
      <c r="L100" s="716">
        <v>3000</v>
      </c>
      <c r="M100" s="306" t="s">
        <v>59</v>
      </c>
      <c r="N100" s="306" t="s">
        <v>1422</v>
      </c>
      <c r="O100" s="717">
        <v>7549</v>
      </c>
      <c r="P100" s="308">
        <v>2500</v>
      </c>
      <c r="Q100" s="3">
        <f t="shared" si="4"/>
        <v>0.31545741324921134</v>
      </c>
      <c r="R100" s="3">
        <f t="shared" si="5"/>
        <v>0.33116969134984764</v>
      </c>
    </row>
    <row r="101" spans="9:18" x14ac:dyDescent="0.25">
      <c r="I101" s="715" t="s">
        <v>58</v>
      </c>
      <c r="J101" s="715" t="s">
        <v>1422</v>
      </c>
      <c r="K101" s="3">
        <v>8750</v>
      </c>
      <c r="L101" s="716">
        <v>3000</v>
      </c>
      <c r="M101" s="306" t="s">
        <v>59</v>
      </c>
      <c r="N101" s="306" t="s">
        <v>1422</v>
      </c>
      <c r="O101" s="717">
        <v>19094</v>
      </c>
      <c r="P101" s="308">
        <v>4000</v>
      </c>
      <c r="Q101" s="3">
        <f t="shared" si="4"/>
        <v>0.34285714285714286</v>
      </c>
      <c r="R101" s="3">
        <f t="shared" si="5"/>
        <v>0.20948989211270555</v>
      </c>
    </row>
    <row r="102" spans="9:18" x14ac:dyDescent="0.25">
      <c r="I102" s="715" t="s">
        <v>58</v>
      </c>
      <c r="J102" s="715" t="s">
        <v>1422</v>
      </c>
      <c r="K102" s="3">
        <v>12950</v>
      </c>
      <c r="L102" s="716">
        <v>4000</v>
      </c>
      <c r="M102" s="306" t="s">
        <v>59</v>
      </c>
      <c r="N102" s="306" t="s">
        <v>1422</v>
      </c>
      <c r="O102" s="717">
        <v>22059</v>
      </c>
      <c r="P102" s="308">
        <v>3500</v>
      </c>
      <c r="Q102" s="3">
        <f t="shared" si="4"/>
        <v>0.30888030888030887</v>
      </c>
      <c r="R102" s="3">
        <f t="shared" si="5"/>
        <v>0.15866539734348792</v>
      </c>
    </row>
    <row r="103" spans="9:18" x14ac:dyDescent="0.25">
      <c r="I103" s="715" t="s">
        <v>58</v>
      </c>
      <c r="J103" s="715" t="s">
        <v>1422</v>
      </c>
      <c r="K103" s="3">
        <v>18650</v>
      </c>
      <c r="L103" s="716">
        <v>3500</v>
      </c>
      <c r="M103" s="306" t="s">
        <v>59</v>
      </c>
      <c r="N103" s="306" t="s">
        <v>1422</v>
      </c>
      <c r="O103" s="717">
        <v>8815</v>
      </c>
      <c r="P103" s="308">
        <v>2000</v>
      </c>
      <c r="Q103" s="3">
        <f t="shared" ref="Q103:Q134" si="6">L103/K103</f>
        <v>0.1876675603217158</v>
      </c>
      <c r="R103" s="3">
        <f t="shared" si="5"/>
        <v>0.22688598979013047</v>
      </c>
    </row>
    <row r="104" spans="9:18" x14ac:dyDescent="0.25">
      <c r="I104" s="715" t="s">
        <v>58</v>
      </c>
      <c r="J104" s="715" t="s">
        <v>1422</v>
      </c>
      <c r="K104" s="3">
        <v>18885</v>
      </c>
      <c r="L104" s="716">
        <v>3000</v>
      </c>
      <c r="M104" s="306" t="s">
        <v>59</v>
      </c>
      <c r="N104" s="306" t="s">
        <v>1422</v>
      </c>
      <c r="O104" s="717">
        <v>8953</v>
      </c>
      <c r="P104" s="308">
        <v>2000</v>
      </c>
      <c r="Q104" s="3">
        <f t="shared" si="6"/>
        <v>0.15885623510722796</v>
      </c>
      <c r="R104" s="3">
        <f t="shared" si="5"/>
        <v>0.22338880822070814</v>
      </c>
    </row>
    <row r="105" spans="9:18" x14ac:dyDescent="0.25">
      <c r="I105" s="715" t="s">
        <v>58</v>
      </c>
      <c r="J105" s="715" t="s">
        <v>1422</v>
      </c>
      <c r="K105" s="3">
        <v>28109</v>
      </c>
      <c r="L105" s="716">
        <v>3000</v>
      </c>
      <c r="M105" s="306" t="s">
        <v>59</v>
      </c>
      <c r="N105" s="306" t="s">
        <v>1422</v>
      </c>
      <c r="O105" s="717">
        <v>14702</v>
      </c>
      <c r="P105" s="308">
        <v>4000</v>
      </c>
      <c r="Q105" s="3">
        <f t="shared" si="6"/>
        <v>0.10672738268881853</v>
      </c>
      <c r="R105" s="3">
        <f t="shared" si="5"/>
        <v>0.27207182696231808</v>
      </c>
    </row>
    <row r="106" spans="9:18" x14ac:dyDescent="0.25">
      <c r="I106" s="715" t="s">
        <v>58</v>
      </c>
      <c r="J106" s="715" t="s">
        <v>1422</v>
      </c>
      <c r="K106" s="3">
        <v>9665</v>
      </c>
      <c r="L106" s="716">
        <v>3500</v>
      </c>
      <c r="M106" s="306" t="s">
        <v>59</v>
      </c>
      <c r="N106" s="306" t="s">
        <v>1422</v>
      </c>
      <c r="O106" s="717">
        <v>14424</v>
      </c>
      <c r="P106" s="308">
        <v>3000</v>
      </c>
      <c r="Q106" s="3">
        <f t="shared" si="6"/>
        <v>0.36213140196585619</v>
      </c>
      <c r="R106" s="3">
        <f t="shared" si="5"/>
        <v>0.20798668885191349</v>
      </c>
    </row>
    <row r="107" spans="9:18" x14ac:dyDescent="0.25">
      <c r="I107" s="715" t="s">
        <v>58</v>
      </c>
      <c r="J107" s="715" t="s">
        <v>1422</v>
      </c>
      <c r="K107" s="3">
        <v>7305</v>
      </c>
      <c r="L107" s="716">
        <v>1500</v>
      </c>
      <c r="M107" s="306" t="s">
        <v>59</v>
      </c>
      <c r="N107" s="306" t="s">
        <v>1422</v>
      </c>
      <c r="O107" s="717">
        <v>22638</v>
      </c>
      <c r="P107" s="308">
        <v>3500</v>
      </c>
      <c r="Q107" s="3">
        <f t="shared" si="6"/>
        <v>0.20533880903490759</v>
      </c>
      <c r="R107" s="3">
        <f t="shared" si="5"/>
        <v>0.15460729746444032</v>
      </c>
    </row>
    <row r="108" spans="9:18" x14ac:dyDescent="0.25">
      <c r="I108" s="715" t="s">
        <v>58</v>
      </c>
      <c r="J108" s="715" t="s">
        <v>1422</v>
      </c>
      <c r="K108" s="3">
        <v>44540</v>
      </c>
      <c r="L108" s="716">
        <v>2500</v>
      </c>
      <c r="M108" s="306" t="s">
        <v>59</v>
      </c>
      <c r="N108" s="306" t="s">
        <v>1422</v>
      </c>
      <c r="O108" s="717">
        <v>7405</v>
      </c>
      <c r="P108" s="308">
        <v>2000</v>
      </c>
      <c r="Q108" s="3">
        <f t="shared" si="6"/>
        <v>5.6129321957790752E-2</v>
      </c>
      <c r="R108" s="3">
        <f t="shared" si="5"/>
        <v>0.27008777852802163</v>
      </c>
    </row>
    <row r="109" spans="9:18" x14ac:dyDescent="0.25">
      <c r="I109" s="715" t="s">
        <v>58</v>
      </c>
      <c r="J109" s="715" t="s">
        <v>1422</v>
      </c>
      <c r="K109" s="3">
        <v>9000</v>
      </c>
      <c r="L109" s="716">
        <v>3500</v>
      </c>
      <c r="M109" s="306" t="s">
        <v>59</v>
      </c>
      <c r="N109" s="306" t="s">
        <v>1422</v>
      </c>
      <c r="O109" s="717">
        <v>4471</v>
      </c>
      <c r="P109" s="308">
        <v>3500</v>
      </c>
      <c r="Q109" s="3">
        <f t="shared" si="6"/>
        <v>0.3888888888888889</v>
      </c>
      <c r="R109" s="3">
        <f t="shared" si="5"/>
        <v>0.78282263475732494</v>
      </c>
    </row>
    <row r="110" spans="9:18" x14ac:dyDescent="0.25">
      <c r="I110" s="715" t="s">
        <v>58</v>
      </c>
      <c r="J110" s="715" t="s">
        <v>1422</v>
      </c>
      <c r="K110" s="3">
        <v>27570</v>
      </c>
      <c r="L110" s="716">
        <v>2000</v>
      </c>
      <c r="M110" s="306" t="s">
        <v>59</v>
      </c>
      <c r="N110" s="306" t="s">
        <v>1422</v>
      </c>
      <c r="O110" s="717">
        <v>18330</v>
      </c>
      <c r="P110" s="308">
        <v>2500</v>
      </c>
      <c r="Q110" s="3">
        <f t="shared" si="6"/>
        <v>7.2542618788538266E-2</v>
      </c>
      <c r="R110" s="3">
        <f t="shared" si="5"/>
        <v>0.13638843426077468</v>
      </c>
    </row>
    <row r="111" spans="9:18" x14ac:dyDescent="0.25">
      <c r="I111" s="715" t="s">
        <v>58</v>
      </c>
      <c r="J111" s="715" t="s">
        <v>1422</v>
      </c>
      <c r="K111" s="3">
        <v>10822</v>
      </c>
      <c r="L111" s="716">
        <v>2000</v>
      </c>
      <c r="M111" s="306" t="s">
        <v>59</v>
      </c>
      <c r="N111" s="306" t="s">
        <v>1422</v>
      </c>
      <c r="O111" s="717">
        <v>17613</v>
      </c>
      <c r="P111" s="308">
        <v>3000</v>
      </c>
      <c r="Q111" s="3">
        <f t="shared" si="6"/>
        <v>0.18480872297172427</v>
      </c>
      <c r="R111" s="3">
        <f t="shared" si="5"/>
        <v>0.17032873445750299</v>
      </c>
    </row>
    <row r="112" spans="9:18" x14ac:dyDescent="0.25">
      <c r="I112" s="715" t="s">
        <v>58</v>
      </c>
      <c r="J112" s="715" t="s">
        <v>1422</v>
      </c>
      <c r="K112" s="3">
        <v>8903</v>
      </c>
      <c r="L112" s="716">
        <v>2000</v>
      </c>
      <c r="M112" s="306" t="s">
        <v>59</v>
      </c>
      <c r="N112" s="306" t="s">
        <v>1422</v>
      </c>
      <c r="O112" s="717">
        <v>24608</v>
      </c>
      <c r="P112" s="308">
        <v>3500</v>
      </c>
      <c r="Q112" s="3">
        <f t="shared" si="6"/>
        <v>0.2246433786364147</v>
      </c>
      <c r="R112" s="3">
        <f t="shared" si="5"/>
        <v>0.14223016905071523</v>
      </c>
    </row>
    <row r="113" spans="9:18" x14ac:dyDescent="0.25">
      <c r="I113" s="715" t="s">
        <v>58</v>
      </c>
      <c r="J113" s="715" t="s">
        <v>1422</v>
      </c>
      <c r="K113" s="3">
        <v>38264.949999999997</v>
      </c>
      <c r="L113" s="716">
        <v>4000</v>
      </c>
      <c r="M113" s="306" t="s">
        <v>59</v>
      </c>
      <c r="N113" s="306" t="s">
        <v>1422</v>
      </c>
      <c r="O113" s="717">
        <v>4819.97</v>
      </c>
      <c r="P113" s="308">
        <v>3000</v>
      </c>
      <c r="Q113" s="3">
        <f t="shared" si="6"/>
        <v>0.10453430619927637</v>
      </c>
      <c r="R113" s="3">
        <f t="shared" si="5"/>
        <v>0.62241051292850369</v>
      </c>
    </row>
    <row r="114" spans="9:18" x14ac:dyDescent="0.25">
      <c r="I114" s="715" t="s">
        <v>58</v>
      </c>
      <c r="J114" s="715" t="s">
        <v>1422</v>
      </c>
      <c r="K114" s="3">
        <v>19895</v>
      </c>
      <c r="L114" s="716">
        <v>4000</v>
      </c>
      <c r="M114" s="306" t="s">
        <v>59</v>
      </c>
      <c r="N114" s="306" t="s">
        <v>1422</v>
      </c>
      <c r="O114" s="717">
        <v>3247</v>
      </c>
      <c r="P114" s="308">
        <v>1250</v>
      </c>
      <c r="Q114" s="3">
        <f t="shared" si="6"/>
        <v>0.20105554159336517</v>
      </c>
      <c r="R114" s="3">
        <f t="shared" si="5"/>
        <v>0.38497074222359101</v>
      </c>
    </row>
    <row r="115" spans="9:18" x14ac:dyDescent="0.25">
      <c r="I115" s="715" t="s">
        <v>58</v>
      </c>
      <c r="J115" s="715" t="s">
        <v>1422</v>
      </c>
      <c r="K115" s="3">
        <v>10073</v>
      </c>
      <c r="L115" s="716">
        <v>2500</v>
      </c>
      <c r="M115" s="306" t="s">
        <v>59</v>
      </c>
      <c r="N115" s="306" t="s">
        <v>1491</v>
      </c>
      <c r="O115" s="717">
        <v>3972</v>
      </c>
      <c r="P115" s="308">
        <v>1000</v>
      </c>
      <c r="Q115" s="3">
        <f t="shared" si="6"/>
        <v>0.24818822595056089</v>
      </c>
      <c r="R115" s="3">
        <f t="shared" si="5"/>
        <v>0.25176233635448136</v>
      </c>
    </row>
    <row r="116" spans="9:18" x14ac:dyDescent="0.25">
      <c r="I116" s="715" t="s">
        <v>58</v>
      </c>
      <c r="J116" s="715" t="s">
        <v>1422</v>
      </c>
      <c r="K116" s="3">
        <v>10432</v>
      </c>
      <c r="L116" s="716">
        <v>2000</v>
      </c>
      <c r="M116" s="306" t="s">
        <v>59</v>
      </c>
      <c r="N116" s="306" t="s">
        <v>1491</v>
      </c>
      <c r="O116" s="717">
        <v>2802</v>
      </c>
      <c r="P116" s="718">
        <v>1000</v>
      </c>
      <c r="Q116" s="3">
        <f t="shared" si="6"/>
        <v>0.19171779141104295</v>
      </c>
      <c r="R116" s="3">
        <f t="shared" si="5"/>
        <v>0.35688793718772305</v>
      </c>
    </row>
    <row r="117" spans="9:18" x14ac:dyDescent="0.25">
      <c r="I117" s="715" t="s">
        <v>58</v>
      </c>
      <c r="J117" s="715" t="s">
        <v>1422</v>
      </c>
      <c r="K117" s="3">
        <v>23439</v>
      </c>
      <c r="L117" s="716">
        <v>3000</v>
      </c>
      <c r="M117" s="306" t="s">
        <v>59</v>
      </c>
      <c r="N117" s="306" t="s">
        <v>1491</v>
      </c>
      <c r="O117" s="717">
        <v>2000</v>
      </c>
      <c r="P117" s="308">
        <v>1000</v>
      </c>
      <c r="Q117" s="3">
        <f t="shared" si="6"/>
        <v>0.12799180852425446</v>
      </c>
      <c r="R117" s="3">
        <f t="shared" si="5"/>
        <v>0.5</v>
      </c>
    </row>
    <row r="118" spans="9:18" x14ac:dyDescent="0.25">
      <c r="I118" s="715" t="s">
        <v>58</v>
      </c>
      <c r="J118" s="715" t="s">
        <v>1422</v>
      </c>
      <c r="K118" s="3">
        <v>10485</v>
      </c>
      <c r="L118" s="716">
        <v>2000</v>
      </c>
      <c r="M118" s="306" t="s">
        <v>59</v>
      </c>
      <c r="N118" s="306" t="s">
        <v>1491</v>
      </c>
      <c r="O118" s="717">
        <v>4675</v>
      </c>
      <c r="P118" s="308">
        <v>1000</v>
      </c>
      <c r="Q118" s="3">
        <f t="shared" si="6"/>
        <v>0.19074868860276586</v>
      </c>
      <c r="R118" s="3">
        <f t="shared" si="5"/>
        <v>0.21390374331550802</v>
      </c>
    </row>
    <row r="119" spans="9:18" x14ac:dyDescent="0.25">
      <c r="I119" s="715" t="s">
        <v>58</v>
      </c>
      <c r="J119" s="715" t="s">
        <v>1422</v>
      </c>
      <c r="K119" s="3">
        <v>31937</v>
      </c>
      <c r="L119" s="716">
        <v>3000</v>
      </c>
      <c r="M119" s="306" t="s">
        <v>59</v>
      </c>
      <c r="N119" s="306" t="s">
        <v>1491</v>
      </c>
      <c r="O119" s="717">
        <v>2000</v>
      </c>
      <c r="P119" s="308">
        <v>1000</v>
      </c>
      <c r="Q119" s="3">
        <f t="shared" si="6"/>
        <v>9.3934934402104139E-2</v>
      </c>
      <c r="R119" s="3">
        <f t="shared" si="5"/>
        <v>0.5</v>
      </c>
    </row>
    <row r="120" spans="9:18" x14ac:dyDescent="0.25">
      <c r="I120" s="715" t="s">
        <v>58</v>
      </c>
      <c r="J120" s="715" t="s">
        <v>1422</v>
      </c>
      <c r="K120" s="3">
        <v>20445</v>
      </c>
      <c r="L120" s="716">
        <v>2000</v>
      </c>
      <c r="M120" s="306" t="s">
        <v>59</v>
      </c>
      <c r="N120" s="306" t="s">
        <v>1491</v>
      </c>
      <c r="O120" s="717">
        <v>2910</v>
      </c>
      <c r="P120" s="308">
        <v>1000</v>
      </c>
      <c r="Q120" s="3">
        <f t="shared" si="6"/>
        <v>9.782342871117633E-2</v>
      </c>
      <c r="R120" s="3">
        <f t="shared" si="5"/>
        <v>0.3436426116838488</v>
      </c>
    </row>
    <row r="121" spans="9:18" x14ac:dyDescent="0.25">
      <c r="I121" s="715" t="s">
        <v>58</v>
      </c>
      <c r="J121" s="715" t="s">
        <v>1422</v>
      </c>
      <c r="K121" s="3">
        <v>11101</v>
      </c>
      <c r="L121" s="716">
        <v>3500</v>
      </c>
      <c r="M121" s="306" t="s">
        <v>59</v>
      </c>
      <c r="N121" s="306" t="s">
        <v>1491</v>
      </c>
      <c r="O121" s="717">
        <v>3200</v>
      </c>
      <c r="P121" s="308">
        <v>1000</v>
      </c>
      <c r="Q121" s="3">
        <f t="shared" si="6"/>
        <v>0.31528691108909107</v>
      </c>
      <c r="R121" s="3">
        <f t="shared" ref="R121:R129" si="7">P121/O121</f>
        <v>0.3125</v>
      </c>
    </row>
    <row r="122" spans="9:18" x14ac:dyDescent="0.25">
      <c r="I122" s="715" t="s">
        <v>58</v>
      </c>
      <c r="J122" s="715" t="s">
        <v>1422</v>
      </c>
      <c r="K122" s="3">
        <v>51012</v>
      </c>
      <c r="L122" s="716">
        <v>4000</v>
      </c>
      <c r="M122" s="306" t="s">
        <v>59</v>
      </c>
      <c r="N122" s="306" t="s">
        <v>1491</v>
      </c>
      <c r="O122" s="717">
        <v>3633</v>
      </c>
      <c r="P122" s="308">
        <v>1000</v>
      </c>
      <c r="Q122" s="3">
        <f t="shared" si="6"/>
        <v>7.8412922449619699E-2</v>
      </c>
      <c r="R122" s="3">
        <f t="shared" si="7"/>
        <v>0.27525461051472611</v>
      </c>
    </row>
    <row r="123" spans="9:18" x14ac:dyDescent="0.25">
      <c r="I123" s="715" t="s">
        <v>58</v>
      </c>
      <c r="J123" s="715" t="s">
        <v>1422</v>
      </c>
      <c r="K123" s="3">
        <v>15283</v>
      </c>
      <c r="L123" s="716">
        <v>1500</v>
      </c>
      <c r="M123" s="306" t="s">
        <v>59</v>
      </c>
      <c r="N123" s="306" t="s">
        <v>1491</v>
      </c>
      <c r="O123" s="717">
        <v>1700</v>
      </c>
      <c r="P123" s="308">
        <v>1000</v>
      </c>
      <c r="Q123" s="3">
        <f t="shared" si="6"/>
        <v>9.8148269318851011E-2</v>
      </c>
      <c r="R123" s="3">
        <f t="shared" si="7"/>
        <v>0.58823529411764708</v>
      </c>
    </row>
    <row r="124" spans="9:18" x14ac:dyDescent="0.25">
      <c r="I124" s="715" t="s">
        <v>58</v>
      </c>
      <c r="J124" s="715" t="s">
        <v>1422</v>
      </c>
      <c r="K124" s="3">
        <v>25693</v>
      </c>
      <c r="L124" s="716">
        <v>3500</v>
      </c>
      <c r="M124" s="306" t="s">
        <v>59</v>
      </c>
      <c r="N124" s="306" t="s">
        <v>1491</v>
      </c>
      <c r="O124" s="717">
        <v>1700</v>
      </c>
      <c r="P124" s="308">
        <v>1000</v>
      </c>
      <c r="Q124" s="3">
        <f t="shared" si="6"/>
        <v>0.13622387420698245</v>
      </c>
      <c r="R124" s="3">
        <f t="shared" si="7"/>
        <v>0.58823529411764708</v>
      </c>
    </row>
    <row r="125" spans="9:18" x14ac:dyDescent="0.25">
      <c r="I125" s="715" t="s">
        <v>58</v>
      </c>
      <c r="J125" s="715" t="s">
        <v>1422</v>
      </c>
      <c r="K125" s="3">
        <v>6500</v>
      </c>
      <c r="L125" s="716">
        <v>2500</v>
      </c>
      <c r="M125" s="306" t="s">
        <v>59</v>
      </c>
      <c r="N125" s="306" t="s">
        <v>1491</v>
      </c>
      <c r="O125" s="717">
        <v>10750</v>
      </c>
      <c r="P125" s="308">
        <v>1000</v>
      </c>
      <c r="Q125" s="3">
        <f t="shared" si="6"/>
        <v>0.38461538461538464</v>
      </c>
      <c r="R125" s="3">
        <f t="shared" si="7"/>
        <v>9.3023255813953487E-2</v>
      </c>
    </row>
    <row r="126" spans="9:18" x14ac:dyDescent="0.25">
      <c r="I126" s="715" t="s">
        <v>58</v>
      </c>
      <c r="J126" s="715" t="s">
        <v>1422</v>
      </c>
      <c r="K126" s="3">
        <v>20633</v>
      </c>
      <c r="L126" s="716">
        <v>4000</v>
      </c>
      <c r="M126" s="306" t="s">
        <v>59</v>
      </c>
      <c r="N126" s="306" t="s">
        <v>1491</v>
      </c>
      <c r="O126" s="717">
        <v>1700</v>
      </c>
      <c r="P126" s="308">
        <v>1000</v>
      </c>
      <c r="Q126" s="3">
        <f t="shared" si="6"/>
        <v>0.19386419812921049</v>
      </c>
      <c r="R126" s="3">
        <f t="shared" si="7"/>
        <v>0.58823529411764708</v>
      </c>
    </row>
    <row r="127" spans="9:18" x14ac:dyDescent="0.25">
      <c r="I127" s="715" t="s">
        <v>58</v>
      </c>
      <c r="J127" s="715" t="s">
        <v>1422</v>
      </c>
      <c r="K127" s="3">
        <v>23353</v>
      </c>
      <c r="L127" s="716">
        <v>3500</v>
      </c>
      <c r="M127" s="306" t="s">
        <v>59</v>
      </c>
      <c r="N127" s="306" t="s">
        <v>1491</v>
      </c>
      <c r="O127" s="717">
        <v>4680</v>
      </c>
      <c r="P127" s="308">
        <v>1000</v>
      </c>
      <c r="Q127" s="3">
        <f t="shared" si="6"/>
        <v>0.14987367790005568</v>
      </c>
      <c r="R127" s="3">
        <f t="shared" si="7"/>
        <v>0.21367521367521367</v>
      </c>
    </row>
    <row r="128" spans="9:18" x14ac:dyDescent="0.25">
      <c r="I128" s="715" t="s">
        <v>58</v>
      </c>
      <c r="J128" s="715" t="s">
        <v>1422</v>
      </c>
      <c r="K128" s="3">
        <v>27552</v>
      </c>
      <c r="L128" s="716">
        <v>4000</v>
      </c>
      <c r="M128" s="306" t="s">
        <v>59</v>
      </c>
      <c r="N128" s="306" t="s">
        <v>1491</v>
      </c>
      <c r="O128" s="717">
        <v>4520</v>
      </c>
      <c r="P128" s="308">
        <v>1000</v>
      </c>
      <c r="Q128" s="3">
        <f t="shared" si="6"/>
        <v>0.14518002322880372</v>
      </c>
      <c r="R128" s="3">
        <f t="shared" si="7"/>
        <v>0.22123893805309736</v>
      </c>
    </row>
    <row r="129" spans="9:18" x14ac:dyDescent="0.25">
      <c r="I129" s="715" t="s">
        <v>58</v>
      </c>
      <c r="J129" s="715" t="s">
        <v>1422</v>
      </c>
      <c r="K129" s="3">
        <v>14148</v>
      </c>
      <c r="L129" s="716">
        <v>3000</v>
      </c>
      <c r="M129" s="306" t="s">
        <v>59</v>
      </c>
      <c r="N129" s="306" t="s">
        <v>1491</v>
      </c>
      <c r="O129" s="717">
        <v>1700</v>
      </c>
      <c r="P129" s="308">
        <v>1000</v>
      </c>
      <c r="Q129" s="3">
        <f t="shared" si="6"/>
        <v>0.21204410517387617</v>
      </c>
      <c r="R129" s="3">
        <f t="shared" si="7"/>
        <v>0.58823529411764708</v>
      </c>
    </row>
    <row r="130" spans="9:18" x14ac:dyDescent="0.25">
      <c r="I130" s="715" t="s">
        <v>58</v>
      </c>
      <c r="J130" s="715" t="s">
        <v>1422</v>
      </c>
      <c r="K130" s="3">
        <v>10900</v>
      </c>
      <c r="L130" s="716">
        <v>1500</v>
      </c>
      <c r="M130" s="269"/>
      <c r="N130" s="269"/>
      <c r="P130" s="270"/>
      <c r="Q130" s="3">
        <f t="shared" si="6"/>
        <v>0.13761467889908258</v>
      </c>
    </row>
    <row r="131" spans="9:18" x14ac:dyDescent="0.25">
      <c r="I131" s="715" t="s">
        <v>58</v>
      </c>
      <c r="J131" s="715" t="s">
        <v>1422</v>
      </c>
      <c r="K131" s="3">
        <v>10000</v>
      </c>
      <c r="L131" s="716">
        <v>4000</v>
      </c>
      <c r="M131" s="269"/>
      <c r="N131" s="269"/>
      <c r="P131" s="270"/>
      <c r="Q131" s="3">
        <f t="shared" si="6"/>
        <v>0.4</v>
      </c>
    </row>
    <row r="132" spans="9:18" x14ac:dyDescent="0.25">
      <c r="I132" s="715" t="s">
        <v>58</v>
      </c>
      <c r="J132" s="715" t="s">
        <v>1422</v>
      </c>
      <c r="K132" s="3">
        <v>12115</v>
      </c>
      <c r="L132" s="716">
        <v>2000</v>
      </c>
      <c r="M132" s="269"/>
      <c r="N132" s="269"/>
      <c r="P132" s="270"/>
      <c r="Q132" s="3">
        <f t="shared" si="6"/>
        <v>0.1650846058605035</v>
      </c>
    </row>
    <row r="133" spans="9:18" x14ac:dyDescent="0.25">
      <c r="I133" s="715" t="s">
        <v>58</v>
      </c>
      <c r="J133" s="715" t="s">
        <v>1422</v>
      </c>
      <c r="K133" s="3">
        <v>43256</v>
      </c>
      <c r="L133" s="716">
        <v>1500</v>
      </c>
      <c r="M133" s="269"/>
      <c r="N133" s="269"/>
      <c r="P133" s="270"/>
      <c r="Q133" s="3">
        <f t="shared" si="6"/>
        <v>3.4677270205289441E-2</v>
      </c>
    </row>
    <row r="134" spans="9:18" x14ac:dyDescent="0.25">
      <c r="I134" s="715" t="s">
        <v>58</v>
      </c>
      <c r="J134" s="715" t="s">
        <v>1422</v>
      </c>
      <c r="K134" s="3">
        <v>16718</v>
      </c>
      <c r="L134" s="716">
        <v>3000</v>
      </c>
      <c r="M134" s="269"/>
      <c r="N134" s="269"/>
      <c r="P134" s="270"/>
      <c r="Q134" s="3">
        <f t="shared" si="6"/>
        <v>0.17944730230888861</v>
      </c>
    </row>
    <row r="135" spans="9:18" x14ac:dyDescent="0.25">
      <c r="I135" s="715" t="s">
        <v>58</v>
      </c>
      <c r="J135" s="715" t="s">
        <v>1422</v>
      </c>
      <c r="K135" s="3">
        <v>22266</v>
      </c>
      <c r="L135" s="716">
        <v>2500</v>
      </c>
      <c r="M135" s="269"/>
      <c r="N135" s="269"/>
      <c r="P135" s="270"/>
      <c r="Q135" s="3">
        <f t="shared" ref="Q135:Q166" si="8">L135/K135</f>
        <v>0.11227881074283662</v>
      </c>
    </row>
    <row r="136" spans="9:18" x14ac:dyDescent="0.25">
      <c r="I136" s="715" t="s">
        <v>58</v>
      </c>
      <c r="J136" s="715" t="s">
        <v>1422</v>
      </c>
      <c r="K136" s="3">
        <v>8143.62</v>
      </c>
      <c r="L136" s="716">
        <v>3500</v>
      </c>
      <c r="M136" s="269"/>
      <c r="N136" s="269"/>
      <c r="P136" s="270"/>
      <c r="Q136" s="3">
        <f t="shared" si="8"/>
        <v>0.42978429740091018</v>
      </c>
    </row>
    <row r="137" spans="9:18" x14ac:dyDescent="0.25">
      <c r="I137" s="715" t="s">
        <v>58</v>
      </c>
      <c r="J137" s="715" t="s">
        <v>1422</v>
      </c>
      <c r="K137" s="3">
        <v>8000</v>
      </c>
      <c r="L137" s="716">
        <v>2000</v>
      </c>
      <c r="M137" s="269"/>
      <c r="N137" s="269"/>
      <c r="P137" s="270"/>
      <c r="Q137" s="3">
        <f t="shared" si="8"/>
        <v>0.25</v>
      </c>
    </row>
    <row r="138" spans="9:18" x14ac:dyDescent="0.25">
      <c r="I138" s="715" t="s">
        <v>58</v>
      </c>
      <c r="J138" s="715" t="s">
        <v>1422</v>
      </c>
      <c r="K138" s="3">
        <v>9833</v>
      </c>
      <c r="L138" s="716">
        <v>2500</v>
      </c>
      <c r="M138" s="269"/>
      <c r="N138" s="269"/>
      <c r="P138" s="270"/>
      <c r="Q138" s="3">
        <f t="shared" si="8"/>
        <v>0.25424590664090307</v>
      </c>
    </row>
    <row r="139" spans="9:18" x14ac:dyDescent="0.25">
      <c r="I139" s="715" t="s">
        <v>58</v>
      </c>
      <c r="J139" s="715" t="s">
        <v>1422</v>
      </c>
      <c r="K139" s="3">
        <v>11932</v>
      </c>
      <c r="L139" s="716">
        <v>4000</v>
      </c>
      <c r="M139" s="269"/>
      <c r="N139" s="269"/>
      <c r="P139" s="270"/>
      <c r="Q139" s="3">
        <f t="shared" si="8"/>
        <v>0.33523298692591352</v>
      </c>
    </row>
    <row r="140" spans="9:18" x14ac:dyDescent="0.25">
      <c r="I140" s="715" t="s">
        <v>58</v>
      </c>
      <c r="J140" s="715" t="s">
        <v>1422</v>
      </c>
      <c r="K140" s="3">
        <v>9186</v>
      </c>
      <c r="L140" s="716">
        <v>2000</v>
      </c>
      <c r="M140" s="269"/>
      <c r="N140" s="269"/>
      <c r="P140" s="270"/>
      <c r="Q140" s="3">
        <f t="shared" si="8"/>
        <v>0.21772262138036141</v>
      </c>
    </row>
    <row r="141" spans="9:18" x14ac:dyDescent="0.25">
      <c r="I141" s="715" t="s">
        <v>58</v>
      </c>
      <c r="J141" s="715" t="s">
        <v>1422</v>
      </c>
      <c r="K141" s="3">
        <v>21850</v>
      </c>
      <c r="L141" s="716">
        <v>2000</v>
      </c>
      <c r="M141" s="269"/>
      <c r="N141" s="269"/>
      <c r="P141" s="270"/>
      <c r="Q141" s="3">
        <f t="shared" si="8"/>
        <v>9.1533180778032033E-2</v>
      </c>
    </row>
    <row r="142" spans="9:18" x14ac:dyDescent="0.25">
      <c r="I142" s="715" t="s">
        <v>58</v>
      </c>
      <c r="J142" s="715" t="s">
        <v>1422</v>
      </c>
      <c r="K142" s="3">
        <v>17965</v>
      </c>
      <c r="L142" s="716">
        <v>3500</v>
      </c>
      <c r="M142" s="269"/>
      <c r="N142" s="269"/>
      <c r="P142" s="270"/>
      <c r="Q142" s="3">
        <f t="shared" si="8"/>
        <v>0.19482326746451434</v>
      </c>
    </row>
    <row r="143" spans="9:18" x14ac:dyDescent="0.25">
      <c r="I143" s="715" t="s">
        <v>58</v>
      </c>
      <c r="J143" s="715" t="s">
        <v>1422</v>
      </c>
      <c r="K143" s="3">
        <v>8532</v>
      </c>
      <c r="L143" s="716">
        <v>2500</v>
      </c>
      <c r="M143" s="269"/>
      <c r="N143" s="269"/>
      <c r="P143" s="270"/>
      <c r="Q143" s="3">
        <f t="shared" si="8"/>
        <v>0.29301453352086265</v>
      </c>
    </row>
    <row r="144" spans="9:18" x14ac:dyDescent="0.25">
      <c r="I144" s="715" t="s">
        <v>58</v>
      </c>
      <c r="J144" s="715" t="s">
        <v>1422</v>
      </c>
      <c r="K144" s="3">
        <v>5045</v>
      </c>
      <c r="L144" s="716">
        <v>2000</v>
      </c>
      <c r="M144" s="269"/>
      <c r="N144" s="269"/>
      <c r="P144" s="270"/>
      <c r="Q144" s="3">
        <f t="shared" si="8"/>
        <v>0.39643211100099107</v>
      </c>
    </row>
    <row r="145" spans="9:17" x14ac:dyDescent="0.25">
      <c r="I145" s="715" t="s">
        <v>58</v>
      </c>
      <c r="J145" s="715" t="s">
        <v>1422</v>
      </c>
      <c r="K145" s="3">
        <v>16095</v>
      </c>
      <c r="L145" s="716">
        <v>3500</v>
      </c>
      <c r="M145" s="269"/>
      <c r="N145" s="269"/>
      <c r="P145" s="270"/>
      <c r="Q145" s="3">
        <f t="shared" si="8"/>
        <v>0.21745883814849332</v>
      </c>
    </row>
    <row r="146" spans="9:17" x14ac:dyDescent="0.25">
      <c r="I146" s="715" t="s">
        <v>58</v>
      </c>
      <c r="J146" s="715" t="s">
        <v>1422</v>
      </c>
      <c r="K146" s="3">
        <v>11174</v>
      </c>
      <c r="L146" s="716">
        <v>4000</v>
      </c>
      <c r="M146" s="269"/>
      <c r="N146" s="269"/>
      <c r="P146" s="270"/>
      <c r="Q146" s="3">
        <f t="shared" si="8"/>
        <v>0.35797386790764274</v>
      </c>
    </row>
    <row r="147" spans="9:17" x14ac:dyDescent="0.25">
      <c r="I147" s="715" t="s">
        <v>58</v>
      </c>
      <c r="J147" s="715" t="s">
        <v>1422</v>
      </c>
      <c r="K147" s="3">
        <v>12250</v>
      </c>
      <c r="L147" s="716">
        <v>1500</v>
      </c>
      <c r="M147" s="269"/>
      <c r="N147" s="269"/>
      <c r="P147" s="270"/>
      <c r="Q147" s="3">
        <f t="shared" si="8"/>
        <v>0.12244897959183673</v>
      </c>
    </row>
    <row r="148" spans="9:17" x14ac:dyDescent="0.25">
      <c r="I148" s="715" t="s">
        <v>58</v>
      </c>
      <c r="J148" s="715" t="s">
        <v>1422</v>
      </c>
      <c r="K148" s="3">
        <v>24610</v>
      </c>
      <c r="L148" s="716">
        <v>4000</v>
      </c>
      <c r="M148" s="269"/>
      <c r="N148" s="269"/>
      <c r="P148" s="270"/>
      <c r="Q148" s="3">
        <f t="shared" si="8"/>
        <v>0.16253555465258024</v>
      </c>
    </row>
    <row r="149" spans="9:17" x14ac:dyDescent="0.25">
      <c r="I149" s="715" t="s">
        <v>58</v>
      </c>
      <c r="J149" s="715" t="s">
        <v>1422</v>
      </c>
      <c r="K149" s="3">
        <v>12400</v>
      </c>
      <c r="L149" s="716">
        <v>4000</v>
      </c>
      <c r="M149" s="269"/>
      <c r="N149" s="269"/>
      <c r="P149" s="270"/>
      <c r="Q149" s="3">
        <f t="shared" si="8"/>
        <v>0.32258064516129031</v>
      </c>
    </row>
    <row r="150" spans="9:17" x14ac:dyDescent="0.25">
      <c r="I150" s="715" t="s">
        <v>58</v>
      </c>
      <c r="J150" s="715" t="s">
        <v>1422</v>
      </c>
      <c r="K150" s="3">
        <v>13936</v>
      </c>
      <c r="L150" s="716">
        <v>1500</v>
      </c>
      <c r="M150" s="269"/>
      <c r="N150" s="269"/>
      <c r="P150" s="270"/>
      <c r="Q150" s="3">
        <f t="shared" si="8"/>
        <v>0.10763490241102182</v>
      </c>
    </row>
    <row r="151" spans="9:17" x14ac:dyDescent="0.25">
      <c r="I151" s="715" t="s">
        <v>58</v>
      </c>
      <c r="J151" s="715" t="s">
        <v>1422</v>
      </c>
      <c r="K151" s="3">
        <v>27538</v>
      </c>
      <c r="L151" s="716">
        <v>2000</v>
      </c>
      <c r="M151" s="269"/>
      <c r="N151" s="269"/>
      <c r="P151" s="270"/>
      <c r="Q151" s="3">
        <f t="shared" si="8"/>
        <v>7.2626915534897238E-2</v>
      </c>
    </row>
    <row r="152" spans="9:17" x14ac:dyDescent="0.25">
      <c r="I152" s="715" t="s">
        <v>58</v>
      </c>
      <c r="J152" s="715" t="s">
        <v>1422</v>
      </c>
      <c r="K152" s="3">
        <v>10165</v>
      </c>
      <c r="L152" s="716">
        <v>2000</v>
      </c>
      <c r="M152" s="269"/>
      <c r="N152" s="269"/>
      <c r="P152" s="270"/>
      <c r="Q152" s="3">
        <f t="shared" si="8"/>
        <v>0.19675356615838663</v>
      </c>
    </row>
    <row r="153" spans="9:17" x14ac:dyDescent="0.25">
      <c r="I153" s="715" t="s">
        <v>58</v>
      </c>
      <c r="J153" s="715" t="s">
        <v>1422</v>
      </c>
      <c r="K153" s="3">
        <v>16020</v>
      </c>
      <c r="L153" s="716">
        <v>3000</v>
      </c>
      <c r="M153" s="269"/>
      <c r="N153" s="269"/>
      <c r="P153" s="270"/>
      <c r="Q153" s="3">
        <f t="shared" si="8"/>
        <v>0.18726591760299627</v>
      </c>
    </row>
    <row r="154" spans="9:17" x14ac:dyDescent="0.25">
      <c r="I154" s="715" t="s">
        <v>58</v>
      </c>
      <c r="J154" s="715" t="s">
        <v>1422</v>
      </c>
      <c r="K154" s="3">
        <v>25502</v>
      </c>
      <c r="L154" s="716">
        <v>4000</v>
      </c>
      <c r="M154" s="269"/>
      <c r="N154" s="269"/>
      <c r="P154" s="270"/>
      <c r="Q154" s="3">
        <f t="shared" si="8"/>
        <v>0.15685044310250176</v>
      </c>
    </row>
    <row r="155" spans="9:17" x14ac:dyDescent="0.25">
      <c r="I155" s="715" t="s">
        <v>58</v>
      </c>
      <c r="J155" s="715" t="s">
        <v>1422</v>
      </c>
      <c r="K155" s="3">
        <v>10321</v>
      </c>
      <c r="L155" s="716">
        <v>4000</v>
      </c>
      <c r="M155" s="269"/>
      <c r="N155" s="269"/>
      <c r="P155" s="270"/>
      <c r="Q155" s="3">
        <f t="shared" si="8"/>
        <v>0.3875593450247069</v>
      </c>
    </row>
    <row r="156" spans="9:17" x14ac:dyDescent="0.25">
      <c r="I156" s="715" t="s">
        <v>58</v>
      </c>
      <c r="J156" s="715" t="s">
        <v>1422</v>
      </c>
      <c r="K156" s="3">
        <v>4055</v>
      </c>
      <c r="L156" s="716">
        <v>2500</v>
      </c>
      <c r="M156" s="269"/>
      <c r="N156" s="269"/>
      <c r="P156" s="270"/>
      <c r="Q156" s="3">
        <f t="shared" si="8"/>
        <v>0.61652281134401976</v>
      </c>
    </row>
    <row r="157" spans="9:17" x14ac:dyDescent="0.25">
      <c r="I157" s="715" t="s">
        <v>58</v>
      </c>
      <c r="J157" s="715" t="s">
        <v>1422</v>
      </c>
      <c r="K157" s="3">
        <v>17010</v>
      </c>
      <c r="L157" s="716">
        <v>3000</v>
      </c>
      <c r="M157" s="269"/>
      <c r="N157" s="269"/>
      <c r="P157" s="271"/>
      <c r="Q157" s="3">
        <f t="shared" si="8"/>
        <v>0.17636684303350969</v>
      </c>
    </row>
    <row r="158" spans="9:17" x14ac:dyDescent="0.25">
      <c r="I158" s="715" t="s">
        <v>58</v>
      </c>
      <c r="J158" s="715" t="s">
        <v>1422</v>
      </c>
      <c r="K158" s="3">
        <v>18375</v>
      </c>
      <c r="L158" s="716">
        <v>4000</v>
      </c>
      <c r="M158" s="269"/>
      <c r="N158" s="269"/>
      <c r="P158" s="270"/>
      <c r="Q158" s="3">
        <f t="shared" si="8"/>
        <v>0.21768707482993196</v>
      </c>
    </row>
    <row r="159" spans="9:17" x14ac:dyDescent="0.25">
      <c r="I159" s="715" t="s">
        <v>58</v>
      </c>
      <c r="J159" s="715" t="s">
        <v>1422</v>
      </c>
      <c r="K159" s="3">
        <v>7235</v>
      </c>
      <c r="L159" s="716">
        <v>1500</v>
      </c>
      <c r="M159" s="269"/>
      <c r="N159" s="269"/>
      <c r="P159" s="270"/>
      <c r="Q159" s="3">
        <f t="shared" si="8"/>
        <v>0.2073255010366275</v>
      </c>
    </row>
    <row r="160" spans="9:17" x14ac:dyDescent="0.25">
      <c r="I160" s="715" t="s">
        <v>58</v>
      </c>
      <c r="J160" s="715" t="s">
        <v>1422</v>
      </c>
      <c r="K160" s="3">
        <v>9765</v>
      </c>
      <c r="L160" s="716">
        <v>3000</v>
      </c>
      <c r="M160" s="269"/>
      <c r="N160" s="269"/>
      <c r="P160" s="270"/>
      <c r="Q160" s="3">
        <f t="shared" si="8"/>
        <v>0.30721966205837176</v>
      </c>
    </row>
    <row r="161" spans="9:17" x14ac:dyDescent="0.25">
      <c r="I161" s="715" t="s">
        <v>58</v>
      </c>
      <c r="J161" s="715" t="s">
        <v>1422</v>
      </c>
      <c r="K161" s="3">
        <v>33284</v>
      </c>
      <c r="L161" s="716">
        <v>2000</v>
      </c>
      <c r="M161" s="269"/>
      <c r="N161" s="269"/>
      <c r="P161" s="270"/>
      <c r="Q161" s="3">
        <f t="shared" si="8"/>
        <v>6.0088931618795818E-2</v>
      </c>
    </row>
    <row r="162" spans="9:17" x14ac:dyDescent="0.25">
      <c r="I162" s="715" t="s">
        <v>58</v>
      </c>
      <c r="J162" s="715" t="s">
        <v>1422</v>
      </c>
      <c r="K162" s="3">
        <v>14250</v>
      </c>
      <c r="L162" s="716">
        <v>3000</v>
      </c>
      <c r="M162" s="269"/>
      <c r="N162" s="269"/>
      <c r="P162" s="270"/>
      <c r="Q162" s="3">
        <f t="shared" si="8"/>
        <v>0.21052631578947367</v>
      </c>
    </row>
    <row r="163" spans="9:17" x14ac:dyDescent="0.25">
      <c r="I163" s="715" t="s">
        <v>58</v>
      </c>
      <c r="J163" s="715" t="s">
        <v>1422</v>
      </c>
      <c r="K163" s="3">
        <v>36035</v>
      </c>
      <c r="L163" s="716">
        <v>4000</v>
      </c>
      <c r="M163" s="269"/>
      <c r="N163" s="269"/>
      <c r="P163" s="270"/>
      <c r="Q163" s="3">
        <f t="shared" si="8"/>
        <v>0.11100319134175107</v>
      </c>
    </row>
    <row r="164" spans="9:17" x14ac:dyDescent="0.25">
      <c r="I164" s="715" t="s">
        <v>58</v>
      </c>
      <c r="J164" s="715" t="s">
        <v>1422</v>
      </c>
      <c r="K164" s="3">
        <v>21810</v>
      </c>
      <c r="L164" s="716">
        <v>2000</v>
      </c>
      <c r="M164" s="269"/>
      <c r="N164" s="269"/>
      <c r="P164" s="270"/>
      <c r="Q164" s="3">
        <f t="shared" si="8"/>
        <v>9.170105456212746E-2</v>
      </c>
    </row>
    <row r="165" spans="9:17" x14ac:dyDescent="0.25">
      <c r="I165" s="715" t="s">
        <v>58</v>
      </c>
      <c r="J165" s="715" t="s">
        <v>1422</v>
      </c>
      <c r="K165" s="3">
        <v>21592</v>
      </c>
      <c r="L165" s="716">
        <v>3000</v>
      </c>
      <c r="M165" s="269"/>
      <c r="N165" s="269"/>
      <c r="P165" s="270"/>
      <c r="Q165" s="3">
        <f t="shared" si="8"/>
        <v>0.13894034827713969</v>
      </c>
    </row>
    <row r="166" spans="9:17" x14ac:dyDescent="0.25">
      <c r="I166" s="715" t="s">
        <v>58</v>
      </c>
      <c r="J166" s="715" t="s">
        <v>1422</v>
      </c>
      <c r="K166" s="3">
        <v>11500</v>
      </c>
      <c r="L166" s="716">
        <v>2000</v>
      </c>
      <c r="M166" s="269"/>
      <c r="N166" s="269"/>
      <c r="P166" s="270"/>
      <c r="Q166" s="3">
        <f t="shared" si="8"/>
        <v>0.17391304347826086</v>
      </c>
    </row>
    <row r="167" spans="9:17" x14ac:dyDescent="0.25">
      <c r="I167" s="715" t="s">
        <v>58</v>
      </c>
      <c r="J167" s="715" t="s">
        <v>1422</v>
      </c>
      <c r="K167" s="3">
        <v>20637</v>
      </c>
      <c r="L167" s="716">
        <v>4000</v>
      </c>
      <c r="M167" s="269"/>
      <c r="N167" s="269"/>
      <c r="P167" s="270"/>
      <c r="Q167" s="3">
        <f t="shared" ref="Q167:Q198" si="9">L167/K167</f>
        <v>0.19382662208654358</v>
      </c>
    </row>
    <row r="168" spans="9:17" x14ac:dyDescent="0.25">
      <c r="I168" s="715" t="s">
        <v>58</v>
      </c>
      <c r="J168" s="715" t="s">
        <v>1422</v>
      </c>
      <c r="K168" s="3">
        <v>32039</v>
      </c>
      <c r="L168" s="716">
        <v>4000</v>
      </c>
      <c r="M168" s="269"/>
      <c r="N168" s="269"/>
      <c r="P168" s="270"/>
      <c r="Q168" s="3">
        <f t="shared" si="9"/>
        <v>0.12484784169293674</v>
      </c>
    </row>
    <row r="169" spans="9:17" x14ac:dyDescent="0.25">
      <c r="I169" s="715" t="s">
        <v>58</v>
      </c>
      <c r="J169" s="715" t="s">
        <v>1422</v>
      </c>
      <c r="K169" s="3">
        <v>2250</v>
      </c>
      <c r="L169" s="716">
        <v>2000</v>
      </c>
      <c r="M169" s="269"/>
      <c r="N169" s="269"/>
      <c r="P169" s="270"/>
      <c r="Q169" s="3">
        <f t="shared" si="9"/>
        <v>0.88888888888888884</v>
      </c>
    </row>
    <row r="170" spans="9:17" x14ac:dyDescent="0.25">
      <c r="I170" s="715" t="s">
        <v>58</v>
      </c>
      <c r="J170" s="715" t="s">
        <v>1422</v>
      </c>
      <c r="K170" s="3">
        <v>8214</v>
      </c>
      <c r="L170" s="716">
        <v>2500</v>
      </c>
      <c r="M170" s="269"/>
      <c r="N170" s="269"/>
      <c r="P170" s="270"/>
      <c r="Q170" s="3">
        <f t="shared" si="9"/>
        <v>0.30435841246652057</v>
      </c>
    </row>
    <row r="171" spans="9:17" x14ac:dyDescent="0.25">
      <c r="I171" s="715" t="s">
        <v>58</v>
      </c>
      <c r="J171" s="715" t="s">
        <v>1422</v>
      </c>
      <c r="K171" s="3">
        <v>7163</v>
      </c>
      <c r="L171" s="716">
        <v>4000</v>
      </c>
      <c r="M171" s="269"/>
      <c r="N171" s="269"/>
      <c r="P171" s="270"/>
      <c r="Q171" s="3">
        <f t="shared" si="9"/>
        <v>0.55842524082088507</v>
      </c>
    </row>
    <row r="172" spans="9:17" x14ac:dyDescent="0.25">
      <c r="I172" s="715" t="s">
        <v>58</v>
      </c>
      <c r="J172" s="715" t="s">
        <v>1422</v>
      </c>
      <c r="K172" s="3">
        <v>17737</v>
      </c>
      <c r="L172" s="716">
        <v>4000</v>
      </c>
      <c r="M172" s="269"/>
      <c r="N172" s="269"/>
      <c r="P172" s="270"/>
      <c r="Q172" s="3">
        <f t="shared" si="9"/>
        <v>0.22551728026160003</v>
      </c>
    </row>
    <row r="173" spans="9:17" x14ac:dyDescent="0.25">
      <c r="I173" s="715" t="s">
        <v>58</v>
      </c>
      <c r="J173" s="715" t="s">
        <v>1422</v>
      </c>
      <c r="K173" s="3">
        <v>14968</v>
      </c>
      <c r="L173" s="716">
        <v>2000</v>
      </c>
      <c r="M173" s="269"/>
      <c r="N173" s="269"/>
      <c r="P173" s="270"/>
      <c r="Q173" s="3">
        <f t="shared" si="9"/>
        <v>0.13361838588989844</v>
      </c>
    </row>
    <row r="174" spans="9:17" x14ac:dyDescent="0.25">
      <c r="I174" s="715" t="s">
        <v>58</v>
      </c>
      <c r="J174" s="715" t="s">
        <v>1422</v>
      </c>
      <c r="K174" s="3">
        <v>9159</v>
      </c>
      <c r="L174" s="716">
        <v>3000</v>
      </c>
      <c r="M174" s="269"/>
      <c r="N174" s="269"/>
      <c r="P174" s="270"/>
      <c r="Q174" s="3">
        <f t="shared" si="9"/>
        <v>0.32754667540124466</v>
      </c>
    </row>
    <row r="175" spans="9:17" x14ac:dyDescent="0.25">
      <c r="I175" s="715" t="s">
        <v>58</v>
      </c>
      <c r="J175" s="715" t="s">
        <v>1422</v>
      </c>
      <c r="K175" s="3">
        <v>37756</v>
      </c>
      <c r="L175" s="716">
        <v>4000</v>
      </c>
      <c r="M175" s="269"/>
      <c r="N175" s="269"/>
      <c r="P175" s="270"/>
      <c r="Q175" s="3">
        <f t="shared" si="9"/>
        <v>0.10594342621040365</v>
      </c>
    </row>
    <row r="176" spans="9:17" x14ac:dyDescent="0.25">
      <c r="I176" s="715" t="s">
        <v>58</v>
      </c>
      <c r="J176" s="715" t="s">
        <v>1422</v>
      </c>
      <c r="K176" s="3">
        <v>24940</v>
      </c>
      <c r="L176" s="716">
        <v>4000</v>
      </c>
      <c r="M176" s="269"/>
      <c r="N176" s="269"/>
      <c r="P176" s="270"/>
      <c r="Q176" s="3">
        <f t="shared" si="9"/>
        <v>0.16038492381716118</v>
      </c>
    </row>
    <row r="177" spans="9:17" x14ac:dyDescent="0.25">
      <c r="I177" s="715" t="s">
        <v>58</v>
      </c>
      <c r="J177" s="715" t="s">
        <v>1422</v>
      </c>
      <c r="K177" s="3">
        <v>16627</v>
      </c>
      <c r="L177" s="716">
        <v>2500</v>
      </c>
      <c r="M177" s="269"/>
      <c r="N177" s="269"/>
      <c r="P177" s="270"/>
      <c r="Q177" s="3">
        <f t="shared" si="9"/>
        <v>0.1503578516870151</v>
      </c>
    </row>
    <row r="178" spans="9:17" x14ac:dyDescent="0.25">
      <c r="I178" s="715" t="s">
        <v>58</v>
      </c>
      <c r="J178" s="715" t="s">
        <v>1422</v>
      </c>
      <c r="K178" s="3">
        <v>12154</v>
      </c>
      <c r="L178" s="716">
        <v>2000</v>
      </c>
      <c r="M178" s="269"/>
      <c r="N178" s="269"/>
      <c r="P178" s="270"/>
      <c r="Q178" s="3">
        <f t="shared" si="9"/>
        <v>0.1645548790521639</v>
      </c>
    </row>
    <row r="179" spans="9:17" x14ac:dyDescent="0.25">
      <c r="I179" s="715" t="s">
        <v>58</v>
      </c>
      <c r="J179" s="715" t="s">
        <v>1422</v>
      </c>
      <c r="K179" s="3">
        <v>10000</v>
      </c>
      <c r="L179" s="716">
        <v>2500</v>
      </c>
      <c r="M179" s="269"/>
      <c r="N179" s="269"/>
      <c r="P179" s="270"/>
      <c r="Q179" s="3">
        <f t="shared" si="9"/>
        <v>0.25</v>
      </c>
    </row>
    <row r="180" spans="9:17" x14ac:dyDescent="0.25">
      <c r="I180" s="715" t="s">
        <v>58</v>
      </c>
      <c r="J180" s="715" t="s">
        <v>1422</v>
      </c>
      <c r="K180" s="3">
        <v>35154</v>
      </c>
      <c r="L180" s="716">
        <v>2000</v>
      </c>
      <c r="M180" s="269"/>
      <c r="N180" s="269"/>
      <c r="P180" s="270"/>
      <c r="Q180" s="3">
        <f t="shared" si="9"/>
        <v>5.6892530010809579E-2</v>
      </c>
    </row>
    <row r="181" spans="9:17" x14ac:dyDescent="0.25">
      <c r="I181" s="715" t="s">
        <v>58</v>
      </c>
      <c r="J181" s="715" t="s">
        <v>1422</v>
      </c>
      <c r="K181" s="3">
        <v>17500</v>
      </c>
      <c r="L181" s="716">
        <v>4000</v>
      </c>
      <c r="M181" s="269"/>
      <c r="N181" s="269"/>
      <c r="P181" s="270"/>
      <c r="Q181" s="3">
        <f t="shared" si="9"/>
        <v>0.22857142857142856</v>
      </c>
    </row>
    <row r="182" spans="9:17" x14ac:dyDescent="0.25">
      <c r="I182" s="715" t="s">
        <v>58</v>
      </c>
      <c r="J182" s="715" t="s">
        <v>1422</v>
      </c>
      <c r="K182" s="3">
        <v>22899</v>
      </c>
      <c r="L182" s="716">
        <v>3000</v>
      </c>
      <c r="M182" s="269"/>
      <c r="N182" s="269"/>
      <c r="P182" s="270"/>
      <c r="Q182" s="3">
        <f t="shared" si="9"/>
        <v>0.13101008777675882</v>
      </c>
    </row>
    <row r="183" spans="9:17" x14ac:dyDescent="0.25">
      <c r="I183" s="715" t="s">
        <v>58</v>
      </c>
      <c r="J183" s="715" t="s">
        <v>1422</v>
      </c>
      <c r="K183" s="3">
        <v>6100</v>
      </c>
      <c r="L183" s="716">
        <v>1500</v>
      </c>
      <c r="M183" s="269"/>
      <c r="N183" s="269"/>
      <c r="P183" s="270"/>
      <c r="Q183" s="3">
        <f t="shared" si="9"/>
        <v>0.24590163934426229</v>
      </c>
    </row>
    <row r="184" spans="9:17" x14ac:dyDescent="0.25">
      <c r="I184" s="715" t="s">
        <v>58</v>
      </c>
      <c r="J184" s="715" t="s">
        <v>1422</v>
      </c>
      <c r="K184" s="3">
        <v>7201</v>
      </c>
      <c r="L184" s="716">
        <v>2000</v>
      </c>
      <c r="M184" s="269"/>
      <c r="N184" s="269"/>
      <c r="P184" s="270"/>
      <c r="Q184" s="3">
        <f t="shared" si="9"/>
        <v>0.27773920288848769</v>
      </c>
    </row>
    <row r="185" spans="9:17" x14ac:dyDescent="0.25">
      <c r="I185" s="715" t="s">
        <v>58</v>
      </c>
      <c r="J185" s="715" t="s">
        <v>1422</v>
      </c>
      <c r="K185" s="3">
        <v>6300</v>
      </c>
      <c r="L185" s="716">
        <v>3500</v>
      </c>
      <c r="M185" s="269"/>
      <c r="N185" s="269"/>
      <c r="P185" s="270"/>
      <c r="Q185" s="3">
        <f t="shared" si="9"/>
        <v>0.55555555555555558</v>
      </c>
    </row>
    <row r="186" spans="9:17" x14ac:dyDescent="0.25">
      <c r="I186" s="715" t="s">
        <v>58</v>
      </c>
      <c r="J186" s="715" t="s">
        <v>1422</v>
      </c>
      <c r="K186" s="3">
        <v>9400</v>
      </c>
      <c r="L186" s="716">
        <v>3000</v>
      </c>
      <c r="M186" s="269"/>
      <c r="N186" s="269"/>
      <c r="P186" s="270"/>
      <c r="Q186" s="3">
        <f t="shared" si="9"/>
        <v>0.31914893617021278</v>
      </c>
    </row>
    <row r="187" spans="9:17" x14ac:dyDescent="0.25">
      <c r="I187" s="715" t="s">
        <v>58</v>
      </c>
      <c r="J187" s="715" t="s">
        <v>1422</v>
      </c>
      <c r="K187" s="3">
        <v>29560</v>
      </c>
      <c r="L187" s="716">
        <v>4000</v>
      </c>
      <c r="M187" s="269"/>
      <c r="N187" s="269"/>
      <c r="P187" s="270"/>
      <c r="Q187" s="3">
        <f t="shared" si="9"/>
        <v>0.13531799729364005</v>
      </c>
    </row>
    <row r="188" spans="9:17" x14ac:dyDescent="0.25">
      <c r="I188" s="715" t="s">
        <v>58</v>
      </c>
      <c r="J188" s="715" t="s">
        <v>1422</v>
      </c>
      <c r="K188" s="3">
        <v>21308</v>
      </c>
      <c r="L188" s="716">
        <v>4000</v>
      </c>
      <c r="M188" s="269"/>
      <c r="N188" s="269"/>
      <c r="P188" s="270"/>
      <c r="Q188" s="3">
        <f t="shared" si="9"/>
        <v>0.18772292096865026</v>
      </c>
    </row>
    <row r="189" spans="9:17" x14ac:dyDescent="0.25">
      <c r="I189" s="715" t="s">
        <v>58</v>
      </c>
      <c r="J189" s="715" t="s">
        <v>1422</v>
      </c>
      <c r="K189" s="3">
        <v>7280</v>
      </c>
      <c r="L189" s="716">
        <v>2000</v>
      </c>
      <c r="M189" s="269"/>
      <c r="N189" s="269"/>
      <c r="P189" s="270"/>
      <c r="Q189" s="3">
        <f t="shared" si="9"/>
        <v>0.27472527472527475</v>
      </c>
    </row>
    <row r="190" spans="9:17" x14ac:dyDescent="0.25">
      <c r="I190" s="715" t="s">
        <v>58</v>
      </c>
      <c r="J190" s="715" t="s">
        <v>1422</v>
      </c>
      <c r="K190" s="3">
        <v>21705</v>
      </c>
      <c r="L190" s="716">
        <v>2500</v>
      </c>
      <c r="M190" s="269"/>
      <c r="N190" s="269"/>
      <c r="P190" s="270"/>
      <c r="Q190" s="3">
        <f t="shared" si="9"/>
        <v>0.1151808339092375</v>
      </c>
    </row>
    <row r="191" spans="9:17" x14ac:dyDescent="0.25">
      <c r="I191" s="715" t="s">
        <v>58</v>
      </c>
      <c r="J191" s="715" t="s">
        <v>1422</v>
      </c>
      <c r="K191" s="3">
        <v>13300</v>
      </c>
      <c r="L191" s="716">
        <v>2000</v>
      </c>
      <c r="M191" s="269"/>
      <c r="N191" s="269"/>
      <c r="P191" s="270"/>
      <c r="Q191" s="3">
        <f t="shared" si="9"/>
        <v>0.15037593984962405</v>
      </c>
    </row>
    <row r="192" spans="9:17" x14ac:dyDescent="0.25">
      <c r="I192" s="715" t="s">
        <v>58</v>
      </c>
      <c r="J192" s="715" t="s">
        <v>1422</v>
      </c>
      <c r="K192" s="3">
        <v>22960</v>
      </c>
      <c r="L192" s="716">
        <v>4000</v>
      </c>
      <c r="M192" s="269"/>
      <c r="N192" s="269"/>
      <c r="P192" s="270"/>
      <c r="Q192" s="3">
        <f t="shared" si="9"/>
        <v>0.17421602787456447</v>
      </c>
    </row>
    <row r="193" spans="9:17" x14ac:dyDescent="0.25">
      <c r="I193" s="715" t="s">
        <v>58</v>
      </c>
      <c r="J193" s="715" t="s">
        <v>1422</v>
      </c>
      <c r="K193" s="3">
        <v>25005</v>
      </c>
      <c r="L193" s="716">
        <v>2000</v>
      </c>
      <c r="M193" s="269"/>
      <c r="N193" s="269"/>
      <c r="P193" s="270"/>
      <c r="Q193" s="3">
        <f t="shared" si="9"/>
        <v>7.9984003199360124E-2</v>
      </c>
    </row>
    <row r="194" spans="9:17" x14ac:dyDescent="0.25">
      <c r="I194" s="715" t="s">
        <v>58</v>
      </c>
      <c r="J194" s="715" t="s">
        <v>1422</v>
      </c>
      <c r="K194" s="3">
        <v>11560.61</v>
      </c>
      <c r="L194" s="716">
        <v>3500</v>
      </c>
      <c r="M194" s="269"/>
      <c r="N194" s="269"/>
      <c r="P194" s="270"/>
      <c r="Q194" s="3">
        <f t="shared" si="9"/>
        <v>0.30275219041209761</v>
      </c>
    </row>
    <row r="195" spans="9:17" x14ac:dyDescent="0.25">
      <c r="I195" s="715" t="s">
        <v>58</v>
      </c>
      <c r="J195" s="715" t="s">
        <v>1422</v>
      </c>
      <c r="K195" s="3">
        <v>7779</v>
      </c>
      <c r="L195" s="716">
        <v>2500</v>
      </c>
      <c r="M195" s="269"/>
      <c r="N195" s="269"/>
      <c r="P195" s="270"/>
      <c r="Q195" s="3">
        <f t="shared" si="9"/>
        <v>0.3213780691605605</v>
      </c>
    </row>
    <row r="196" spans="9:17" x14ac:dyDescent="0.25">
      <c r="I196" s="715" t="s">
        <v>58</v>
      </c>
      <c r="J196" s="715" t="s">
        <v>1422</v>
      </c>
      <c r="K196" s="3">
        <v>31219</v>
      </c>
      <c r="L196" s="716">
        <v>4000</v>
      </c>
      <c r="M196" s="269"/>
      <c r="N196" s="269"/>
      <c r="P196" s="270"/>
      <c r="Q196" s="3">
        <f t="shared" si="9"/>
        <v>0.12812710208526859</v>
      </c>
    </row>
    <row r="197" spans="9:17" x14ac:dyDescent="0.25">
      <c r="I197" s="715" t="s">
        <v>58</v>
      </c>
      <c r="J197" s="715" t="s">
        <v>1422</v>
      </c>
      <c r="K197" s="3">
        <v>5745</v>
      </c>
      <c r="L197" s="716">
        <v>1500</v>
      </c>
      <c r="M197" s="269"/>
      <c r="N197" s="269"/>
      <c r="P197" s="270"/>
      <c r="Q197" s="3">
        <f t="shared" si="9"/>
        <v>0.26109660574412535</v>
      </c>
    </row>
    <row r="198" spans="9:17" x14ac:dyDescent="0.25">
      <c r="I198" s="715" t="s">
        <v>58</v>
      </c>
      <c r="J198" s="715" t="s">
        <v>1422</v>
      </c>
      <c r="K198" s="3">
        <v>2772</v>
      </c>
      <c r="L198" s="716">
        <v>1500</v>
      </c>
      <c r="M198" s="269"/>
      <c r="N198" s="269"/>
      <c r="P198" s="270"/>
      <c r="Q198" s="3">
        <f t="shared" si="9"/>
        <v>0.54112554112554112</v>
      </c>
    </row>
    <row r="199" spans="9:17" x14ac:dyDescent="0.25">
      <c r="I199" s="715" t="s">
        <v>58</v>
      </c>
      <c r="J199" s="715" t="s">
        <v>1422</v>
      </c>
      <c r="K199" s="3">
        <v>14000.01</v>
      </c>
      <c r="L199" s="716">
        <v>4000</v>
      </c>
      <c r="M199" s="269"/>
      <c r="N199" s="269"/>
      <c r="P199" s="270"/>
      <c r="Q199" s="3">
        <f t="shared" ref="Q199:Q230" si="10">L199/K199</f>
        <v>0.28571408163279882</v>
      </c>
    </row>
    <row r="200" spans="9:17" x14ac:dyDescent="0.25">
      <c r="I200" s="715" t="s">
        <v>58</v>
      </c>
      <c r="J200" s="715" t="s">
        <v>1422</v>
      </c>
      <c r="K200" s="3">
        <v>8279</v>
      </c>
      <c r="L200" s="716">
        <v>2500</v>
      </c>
      <c r="M200" s="269"/>
      <c r="N200" s="269"/>
      <c r="P200" s="270"/>
      <c r="Q200" s="3">
        <f t="shared" si="10"/>
        <v>0.30196883681604059</v>
      </c>
    </row>
    <row r="201" spans="9:17" x14ac:dyDescent="0.25">
      <c r="I201" s="715" t="s">
        <v>58</v>
      </c>
      <c r="J201" s="715" t="s">
        <v>1422</v>
      </c>
      <c r="K201" s="3">
        <v>19580</v>
      </c>
      <c r="L201" s="716">
        <v>3000</v>
      </c>
      <c r="M201" s="269"/>
      <c r="N201" s="269"/>
      <c r="P201" s="270"/>
      <c r="Q201" s="3">
        <f t="shared" si="10"/>
        <v>0.15321756894790603</v>
      </c>
    </row>
    <row r="202" spans="9:17" x14ac:dyDescent="0.25">
      <c r="I202" s="715" t="s">
        <v>58</v>
      </c>
      <c r="J202" s="715" t="s">
        <v>1422</v>
      </c>
      <c r="K202" s="3">
        <v>13155</v>
      </c>
      <c r="L202" s="716">
        <v>4000</v>
      </c>
      <c r="M202" s="269"/>
      <c r="N202" s="269"/>
      <c r="P202" s="270"/>
      <c r="Q202" s="3">
        <f t="shared" si="10"/>
        <v>0.30406689471683768</v>
      </c>
    </row>
    <row r="203" spans="9:17" x14ac:dyDescent="0.25">
      <c r="I203" s="715" t="s">
        <v>58</v>
      </c>
      <c r="J203" s="715" t="s">
        <v>1422</v>
      </c>
      <c r="K203" s="3">
        <v>9665</v>
      </c>
      <c r="L203" s="716">
        <v>3500</v>
      </c>
      <c r="M203" s="269"/>
      <c r="N203" s="269"/>
      <c r="P203" s="270"/>
      <c r="Q203" s="3">
        <f t="shared" si="10"/>
        <v>0.36213140196585619</v>
      </c>
    </row>
    <row r="204" spans="9:17" x14ac:dyDescent="0.25">
      <c r="I204" s="715" t="s">
        <v>58</v>
      </c>
      <c r="J204" s="715" t="s">
        <v>1422</v>
      </c>
      <c r="K204" s="3">
        <v>7700</v>
      </c>
      <c r="L204" s="716">
        <v>2000</v>
      </c>
      <c r="M204" s="269"/>
      <c r="N204" s="269"/>
      <c r="P204" s="270"/>
      <c r="Q204" s="3">
        <f t="shared" si="10"/>
        <v>0.25974025974025972</v>
      </c>
    </row>
    <row r="205" spans="9:17" x14ac:dyDescent="0.25">
      <c r="I205" s="715" t="s">
        <v>58</v>
      </c>
      <c r="J205" s="715" t="s">
        <v>1422</v>
      </c>
      <c r="K205" s="3">
        <v>19915</v>
      </c>
      <c r="L205" s="716">
        <v>4000</v>
      </c>
      <c r="M205" s="269"/>
      <c r="N205" s="269"/>
      <c r="P205" s="270"/>
      <c r="Q205" s="3">
        <f t="shared" si="10"/>
        <v>0.20085362791865427</v>
      </c>
    </row>
    <row r="206" spans="9:17" x14ac:dyDescent="0.25">
      <c r="I206" s="715" t="s">
        <v>58</v>
      </c>
      <c r="J206" s="715" t="s">
        <v>1422</v>
      </c>
      <c r="K206" s="3">
        <v>18148</v>
      </c>
      <c r="L206" s="716">
        <v>3000</v>
      </c>
      <c r="M206" s="269"/>
      <c r="N206" s="269"/>
      <c r="P206" s="271"/>
      <c r="Q206" s="3">
        <f t="shared" si="10"/>
        <v>0.16530747189772979</v>
      </c>
    </row>
    <row r="207" spans="9:17" x14ac:dyDescent="0.25">
      <c r="I207" s="715" t="s">
        <v>58</v>
      </c>
      <c r="J207" s="715" t="s">
        <v>1422</v>
      </c>
      <c r="K207" s="3">
        <v>18515.009999999998</v>
      </c>
      <c r="L207" s="716">
        <v>2500</v>
      </c>
      <c r="M207" s="269"/>
      <c r="N207" s="269"/>
      <c r="P207" s="270"/>
      <c r="Q207" s="3">
        <f t="shared" si="10"/>
        <v>0.13502558194675565</v>
      </c>
    </row>
    <row r="208" spans="9:17" x14ac:dyDescent="0.25">
      <c r="I208" s="715" t="s">
        <v>58</v>
      </c>
      <c r="J208" s="715" t="s">
        <v>1422</v>
      </c>
      <c r="K208" s="3">
        <v>14000</v>
      </c>
      <c r="L208" s="716">
        <v>4000</v>
      </c>
      <c r="M208" s="269"/>
      <c r="N208" s="269"/>
      <c r="P208" s="271"/>
      <c r="Q208" s="3">
        <f t="shared" si="10"/>
        <v>0.2857142857142857</v>
      </c>
    </row>
    <row r="209" spans="9:17" x14ac:dyDescent="0.25">
      <c r="I209" s="715" t="s">
        <v>58</v>
      </c>
      <c r="J209" s="715" t="s">
        <v>1422</v>
      </c>
      <c r="K209" s="3">
        <v>16116</v>
      </c>
      <c r="L209" s="716">
        <v>4000</v>
      </c>
      <c r="M209" s="269"/>
      <c r="N209" s="269"/>
      <c r="P209" s="271"/>
      <c r="Q209" s="3">
        <f t="shared" si="10"/>
        <v>0.24820054604120129</v>
      </c>
    </row>
    <row r="210" spans="9:17" x14ac:dyDescent="0.25">
      <c r="I210" s="715" t="s">
        <v>58</v>
      </c>
      <c r="J210" s="715" t="s">
        <v>1422</v>
      </c>
      <c r="K210" s="3">
        <v>7580</v>
      </c>
      <c r="L210" s="716">
        <v>2000</v>
      </c>
      <c r="M210" s="269"/>
      <c r="N210" s="269"/>
      <c r="P210" s="270"/>
      <c r="Q210" s="3">
        <f t="shared" si="10"/>
        <v>0.26385224274406333</v>
      </c>
    </row>
    <row r="211" spans="9:17" x14ac:dyDescent="0.25">
      <c r="I211" s="715" t="s">
        <v>58</v>
      </c>
      <c r="J211" s="715" t="s">
        <v>1422</v>
      </c>
      <c r="K211" s="3">
        <v>12633</v>
      </c>
      <c r="L211" s="716">
        <v>4000</v>
      </c>
      <c r="M211" s="269"/>
      <c r="N211" s="269"/>
      <c r="P211" s="270"/>
      <c r="Q211" s="3">
        <f t="shared" si="10"/>
        <v>0.31663104567402833</v>
      </c>
    </row>
    <row r="212" spans="9:17" x14ac:dyDescent="0.25">
      <c r="I212" s="715" t="s">
        <v>58</v>
      </c>
      <c r="J212" s="715" t="s">
        <v>1422</v>
      </c>
      <c r="K212" s="3">
        <v>18995</v>
      </c>
      <c r="L212" s="716">
        <v>2000</v>
      </c>
      <c r="M212" s="269"/>
      <c r="N212" s="269"/>
      <c r="P212" s="270"/>
      <c r="Q212" s="3">
        <f t="shared" si="10"/>
        <v>0.10529086601737299</v>
      </c>
    </row>
    <row r="213" spans="9:17" x14ac:dyDescent="0.25">
      <c r="I213" s="715" t="s">
        <v>58</v>
      </c>
      <c r="J213" s="715" t="s">
        <v>1422</v>
      </c>
      <c r="K213" s="3">
        <v>68091</v>
      </c>
      <c r="L213" s="716">
        <v>3000</v>
      </c>
      <c r="M213" s="269"/>
      <c r="N213" s="269"/>
      <c r="P213" s="270"/>
      <c r="Q213" s="3">
        <f t="shared" si="10"/>
        <v>4.4058686169978413E-2</v>
      </c>
    </row>
    <row r="214" spans="9:17" x14ac:dyDescent="0.25">
      <c r="I214" s="715" t="s">
        <v>58</v>
      </c>
      <c r="J214" s="715" t="s">
        <v>1422</v>
      </c>
      <c r="K214" s="3">
        <v>13500</v>
      </c>
      <c r="L214" s="716">
        <v>2500</v>
      </c>
      <c r="M214" s="269"/>
      <c r="N214" s="269"/>
      <c r="P214" s="270"/>
      <c r="Q214" s="3">
        <f t="shared" si="10"/>
        <v>0.18518518518518517</v>
      </c>
    </row>
    <row r="215" spans="9:17" x14ac:dyDescent="0.25">
      <c r="I215" s="715" t="s">
        <v>58</v>
      </c>
      <c r="J215" s="715" t="s">
        <v>1422</v>
      </c>
      <c r="K215" s="3">
        <v>21879</v>
      </c>
      <c r="L215" s="716">
        <v>2000</v>
      </c>
      <c r="M215" s="269"/>
      <c r="N215" s="269"/>
      <c r="P215" s="270"/>
      <c r="Q215" s="3">
        <f t="shared" si="10"/>
        <v>9.1411856117738471E-2</v>
      </c>
    </row>
    <row r="216" spans="9:17" x14ac:dyDescent="0.25">
      <c r="I216" s="715" t="s">
        <v>58</v>
      </c>
      <c r="J216" s="715" t="s">
        <v>1422</v>
      </c>
      <c r="K216" s="3">
        <v>41768</v>
      </c>
      <c r="L216" s="716">
        <v>2500</v>
      </c>
      <c r="M216" s="269"/>
      <c r="N216" s="269"/>
      <c r="P216" s="270"/>
      <c r="Q216" s="3">
        <f t="shared" si="10"/>
        <v>5.985443401647194E-2</v>
      </c>
    </row>
    <row r="217" spans="9:17" x14ac:dyDescent="0.25">
      <c r="I217" s="715" t="s">
        <v>58</v>
      </c>
      <c r="J217" s="715" t="s">
        <v>1422</v>
      </c>
      <c r="K217" s="3">
        <v>10828.84</v>
      </c>
      <c r="L217" s="716">
        <v>3000</v>
      </c>
      <c r="M217" s="269"/>
      <c r="N217" s="269"/>
      <c r="P217" s="270"/>
      <c r="Q217" s="3">
        <f t="shared" si="10"/>
        <v>0.27703798375449262</v>
      </c>
    </row>
    <row r="218" spans="9:17" x14ac:dyDescent="0.25">
      <c r="I218" s="715" t="s">
        <v>58</v>
      </c>
      <c r="J218" s="715" t="s">
        <v>1422</v>
      </c>
      <c r="K218" s="3">
        <v>9236</v>
      </c>
      <c r="L218" s="716">
        <v>3000</v>
      </c>
      <c r="M218" s="269"/>
      <c r="N218" s="269"/>
      <c r="P218" s="270"/>
      <c r="Q218" s="3">
        <f t="shared" si="10"/>
        <v>0.32481593763533995</v>
      </c>
    </row>
    <row r="219" spans="9:17" x14ac:dyDescent="0.25">
      <c r="I219" s="715" t="s">
        <v>58</v>
      </c>
      <c r="J219" s="715" t="s">
        <v>1422</v>
      </c>
      <c r="K219" s="3">
        <v>22000</v>
      </c>
      <c r="L219" s="716">
        <v>4000</v>
      </c>
      <c r="M219" s="269"/>
      <c r="N219" s="269"/>
      <c r="P219" s="270"/>
      <c r="Q219" s="3">
        <f t="shared" si="10"/>
        <v>0.18181818181818182</v>
      </c>
    </row>
    <row r="220" spans="9:17" x14ac:dyDescent="0.25">
      <c r="I220" s="715" t="s">
        <v>58</v>
      </c>
      <c r="J220" s="715" t="s">
        <v>1422</v>
      </c>
      <c r="K220" s="3">
        <v>21208</v>
      </c>
      <c r="L220" s="716">
        <v>2000</v>
      </c>
      <c r="M220" s="269"/>
      <c r="N220" s="269"/>
      <c r="P220" s="270"/>
      <c r="Q220" s="3">
        <f t="shared" si="10"/>
        <v>9.4304036212749909E-2</v>
      </c>
    </row>
    <row r="221" spans="9:17" x14ac:dyDescent="0.25">
      <c r="I221" s="715" t="s">
        <v>58</v>
      </c>
      <c r="J221" s="715" t="s">
        <v>1422</v>
      </c>
      <c r="K221" s="3">
        <v>6750</v>
      </c>
      <c r="L221" s="716">
        <v>2500</v>
      </c>
      <c r="M221" s="269"/>
      <c r="N221" s="269"/>
      <c r="P221" s="270"/>
      <c r="Q221" s="3">
        <f t="shared" si="10"/>
        <v>0.37037037037037035</v>
      </c>
    </row>
    <row r="222" spans="9:17" x14ac:dyDescent="0.25">
      <c r="I222" s="715" t="s">
        <v>58</v>
      </c>
      <c r="J222" s="715" t="s">
        <v>1422</v>
      </c>
      <c r="K222" s="3">
        <v>12490</v>
      </c>
      <c r="L222" s="716">
        <v>3000</v>
      </c>
      <c r="M222" s="269"/>
      <c r="N222" s="269"/>
      <c r="P222" s="270"/>
      <c r="Q222" s="3">
        <f t="shared" si="10"/>
        <v>0.24019215372297839</v>
      </c>
    </row>
    <row r="223" spans="9:17" x14ac:dyDescent="0.25">
      <c r="I223" s="715" t="s">
        <v>58</v>
      </c>
      <c r="J223" s="715" t="s">
        <v>1422</v>
      </c>
      <c r="K223" s="3">
        <v>11945</v>
      </c>
      <c r="L223" s="716">
        <v>2500</v>
      </c>
      <c r="M223" s="269"/>
      <c r="N223" s="269"/>
      <c r="P223" s="270"/>
      <c r="Q223" s="3">
        <f t="shared" si="10"/>
        <v>0.2092925910422771</v>
      </c>
    </row>
    <row r="224" spans="9:17" x14ac:dyDescent="0.25">
      <c r="I224" s="715" t="s">
        <v>58</v>
      </c>
      <c r="J224" s="715" t="s">
        <v>1422</v>
      </c>
      <c r="K224" s="3">
        <v>7901.8</v>
      </c>
      <c r="L224" s="716">
        <v>1500</v>
      </c>
      <c r="M224" s="269"/>
      <c r="N224" s="269"/>
      <c r="P224" s="270"/>
      <c r="Q224" s="3">
        <f t="shared" si="10"/>
        <v>0.18983016527879723</v>
      </c>
    </row>
    <row r="225" spans="9:17" x14ac:dyDescent="0.25">
      <c r="I225" s="715" t="s">
        <v>58</v>
      </c>
      <c r="J225" s="715" t="s">
        <v>1422</v>
      </c>
      <c r="K225" s="3">
        <v>30640</v>
      </c>
      <c r="L225" s="716">
        <v>2500</v>
      </c>
      <c r="M225" s="269"/>
      <c r="N225" s="269"/>
      <c r="P225" s="270"/>
      <c r="Q225" s="3">
        <f t="shared" si="10"/>
        <v>8.159268929503917E-2</v>
      </c>
    </row>
    <row r="226" spans="9:17" x14ac:dyDescent="0.25">
      <c r="I226" s="715" t="s">
        <v>58</v>
      </c>
      <c r="J226" s="715" t="s">
        <v>1422</v>
      </c>
      <c r="K226" s="3">
        <v>18339</v>
      </c>
      <c r="L226" s="716">
        <v>2000</v>
      </c>
      <c r="M226" s="269"/>
      <c r="N226" s="269"/>
      <c r="P226" s="270"/>
      <c r="Q226" s="3">
        <f t="shared" si="10"/>
        <v>0.10905720050166312</v>
      </c>
    </row>
    <row r="227" spans="9:17" x14ac:dyDescent="0.25">
      <c r="I227" s="715" t="s">
        <v>58</v>
      </c>
      <c r="J227" s="715" t="s">
        <v>1422</v>
      </c>
      <c r="K227" s="3">
        <v>13347</v>
      </c>
      <c r="L227" s="716">
        <v>2000</v>
      </c>
      <c r="M227" s="269"/>
      <c r="N227" s="269"/>
      <c r="P227" s="270"/>
      <c r="Q227" s="3">
        <f t="shared" si="10"/>
        <v>0.14984640743238181</v>
      </c>
    </row>
    <row r="228" spans="9:17" x14ac:dyDescent="0.25">
      <c r="I228" s="715" t="s">
        <v>58</v>
      </c>
      <c r="J228" s="715" t="s">
        <v>1422</v>
      </c>
      <c r="K228" s="3">
        <v>27921</v>
      </c>
      <c r="L228" s="716">
        <v>4000</v>
      </c>
      <c r="M228" s="269"/>
      <c r="N228" s="269"/>
      <c r="P228" s="270"/>
      <c r="Q228" s="3">
        <f t="shared" si="10"/>
        <v>0.14326134450771821</v>
      </c>
    </row>
    <row r="229" spans="9:17" x14ac:dyDescent="0.25">
      <c r="I229" s="715" t="s">
        <v>58</v>
      </c>
      <c r="J229" s="715" t="s">
        <v>1422</v>
      </c>
      <c r="K229" s="3">
        <v>16554.009999999998</v>
      </c>
      <c r="L229" s="716">
        <v>2500</v>
      </c>
      <c r="M229" s="269"/>
      <c r="N229" s="269"/>
      <c r="P229" s="270"/>
      <c r="Q229" s="3">
        <f t="shared" si="10"/>
        <v>0.15102081006354354</v>
      </c>
    </row>
    <row r="230" spans="9:17" x14ac:dyDescent="0.25">
      <c r="I230" s="715" t="s">
        <v>58</v>
      </c>
      <c r="J230" s="715" t="s">
        <v>1422</v>
      </c>
      <c r="K230" s="3">
        <v>22840.01</v>
      </c>
      <c r="L230" s="716">
        <v>3000</v>
      </c>
      <c r="M230" s="269"/>
      <c r="N230" s="269"/>
      <c r="P230" s="270"/>
      <c r="Q230" s="3">
        <f t="shared" si="10"/>
        <v>0.13134845387545804</v>
      </c>
    </row>
    <row r="231" spans="9:17" x14ac:dyDescent="0.25">
      <c r="I231" s="715" t="s">
        <v>58</v>
      </c>
      <c r="J231" s="715" t="s">
        <v>1422</v>
      </c>
      <c r="K231" s="3">
        <v>12706</v>
      </c>
      <c r="L231" s="716">
        <v>3000</v>
      </c>
      <c r="M231" s="269"/>
      <c r="N231" s="269"/>
      <c r="P231" s="270"/>
      <c r="Q231" s="3">
        <f t="shared" ref="Q231:Q262" si="11">L231/K231</f>
        <v>0.23610892491736188</v>
      </c>
    </row>
    <row r="232" spans="9:17" x14ac:dyDescent="0.25">
      <c r="I232" s="715" t="s">
        <v>58</v>
      </c>
      <c r="J232" s="715" t="s">
        <v>1422</v>
      </c>
      <c r="K232" s="3">
        <v>10770</v>
      </c>
      <c r="L232" s="716">
        <v>3000</v>
      </c>
      <c r="M232" s="269"/>
      <c r="N232" s="269"/>
      <c r="P232" s="270"/>
      <c r="Q232" s="3">
        <f t="shared" si="11"/>
        <v>0.2785515320334262</v>
      </c>
    </row>
    <row r="233" spans="9:17" x14ac:dyDescent="0.25">
      <c r="I233" s="715" t="s">
        <v>58</v>
      </c>
      <c r="J233" s="715" t="s">
        <v>1422</v>
      </c>
      <c r="K233" s="3">
        <v>10173</v>
      </c>
      <c r="L233" s="716">
        <v>2000</v>
      </c>
      <c r="M233" s="269"/>
      <c r="N233" s="269"/>
      <c r="P233" s="270"/>
      <c r="Q233" s="3">
        <f t="shared" si="11"/>
        <v>0.19659884006684361</v>
      </c>
    </row>
    <row r="234" spans="9:17" x14ac:dyDescent="0.25">
      <c r="I234" s="715" t="s">
        <v>58</v>
      </c>
      <c r="J234" s="715" t="s">
        <v>1422</v>
      </c>
      <c r="K234" s="3">
        <v>9776.51</v>
      </c>
      <c r="L234" s="716">
        <v>3500</v>
      </c>
      <c r="M234" s="269"/>
      <c r="N234" s="269"/>
      <c r="P234" s="270"/>
      <c r="Q234" s="3">
        <f t="shared" si="11"/>
        <v>0.35800096353402183</v>
      </c>
    </row>
    <row r="235" spans="9:17" x14ac:dyDescent="0.25">
      <c r="I235" s="715" t="s">
        <v>58</v>
      </c>
      <c r="J235" s="715" t="s">
        <v>1422</v>
      </c>
      <c r="K235" s="3">
        <v>16947</v>
      </c>
      <c r="L235" s="716">
        <v>3000</v>
      </c>
      <c r="M235" s="269"/>
      <c r="N235" s="269"/>
      <c r="P235" s="270"/>
      <c r="Q235" s="3">
        <f t="shared" si="11"/>
        <v>0.17702248185519562</v>
      </c>
    </row>
    <row r="236" spans="9:17" x14ac:dyDescent="0.25">
      <c r="I236" s="715" t="s">
        <v>58</v>
      </c>
      <c r="J236" s="715" t="s">
        <v>1422</v>
      </c>
      <c r="K236" s="3">
        <v>7992</v>
      </c>
      <c r="L236" s="716">
        <v>1500</v>
      </c>
      <c r="M236" s="269"/>
      <c r="N236" s="269"/>
      <c r="P236" s="270"/>
      <c r="Q236" s="3">
        <f t="shared" si="11"/>
        <v>0.18768768768768768</v>
      </c>
    </row>
    <row r="237" spans="9:17" x14ac:dyDescent="0.25">
      <c r="I237" s="715" t="s">
        <v>58</v>
      </c>
      <c r="J237" s="715" t="s">
        <v>1422</v>
      </c>
      <c r="K237" s="3">
        <v>17785</v>
      </c>
      <c r="L237" s="716">
        <v>4000</v>
      </c>
      <c r="M237" s="269"/>
      <c r="N237" s="269"/>
      <c r="P237" s="270"/>
      <c r="Q237" s="3">
        <f t="shared" si="11"/>
        <v>0.22490863086870957</v>
      </c>
    </row>
    <row r="238" spans="9:17" x14ac:dyDescent="0.25">
      <c r="I238" s="715" t="s">
        <v>58</v>
      </c>
      <c r="J238" s="715" t="s">
        <v>1422</v>
      </c>
      <c r="K238" s="3">
        <v>7275</v>
      </c>
      <c r="L238" s="716">
        <v>3500</v>
      </c>
      <c r="M238" s="269"/>
      <c r="N238" s="269"/>
      <c r="P238" s="270"/>
      <c r="Q238" s="3">
        <f t="shared" si="11"/>
        <v>0.48109965635738833</v>
      </c>
    </row>
    <row r="239" spans="9:17" x14ac:dyDescent="0.25">
      <c r="I239" s="715" t="s">
        <v>58</v>
      </c>
      <c r="J239" s="715" t="s">
        <v>1422</v>
      </c>
      <c r="K239" s="3">
        <v>19381</v>
      </c>
      <c r="L239" s="716">
        <v>2500</v>
      </c>
      <c r="M239" s="269"/>
      <c r="N239" s="269"/>
      <c r="P239" s="270"/>
      <c r="Q239" s="3">
        <f t="shared" si="11"/>
        <v>0.12899231205820133</v>
      </c>
    </row>
    <row r="240" spans="9:17" x14ac:dyDescent="0.25">
      <c r="I240" s="715" t="s">
        <v>58</v>
      </c>
      <c r="J240" s="715" t="s">
        <v>1422</v>
      </c>
      <c r="K240" s="3">
        <v>11780</v>
      </c>
      <c r="L240" s="716">
        <v>2000</v>
      </c>
      <c r="M240" s="269"/>
      <c r="N240" s="269"/>
      <c r="P240" s="270"/>
      <c r="Q240" s="3">
        <f t="shared" si="11"/>
        <v>0.1697792869269949</v>
      </c>
    </row>
    <row r="241" spans="9:17" x14ac:dyDescent="0.25">
      <c r="I241" s="715" t="s">
        <v>58</v>
      </c>
      <c r="J241" s="715" t="s">
        <v>1422</v>
      </c>
      <c r="K241" s="3">
        <v>18837</v>
      </c>
      <c r="L241" s="716">
        <v>3000</v>
      </c>
      <c r="M241" s="269"/>
      <c r="N241" s="269"/>
      <c r="P241" s="270"/>
      <c r="Q241" s="3">
        <f t="shared" si="11"/>
        <v>0.15926102882624621</v>
      </c>
    </row>
    <row r="242" spans="9:17" x14ac:dyDescent="0.25">
      <c r="I242" s="715" t="s">
        <v>58</v>
      </c>
      <c r="J242" s="715" t="s">
        <v>1422</v>
      </c>
      <c r="K242" s="3">
        <v>13149</v>
      </c>
      <c r="L242" s="716">
        <v>2000</v>
      </c>
      <c r="M242" s="269"/>
      <c r="N242" s="269"/>
      <c r="P242" s="270"/>
      <c r="Q242" s="3">
        <f t="shared" si="11"/>
        <v>0.15210282150733895</v>
      </c>
    </row>
    <row r="243" spans="9:17" x14ac:dyDescent="0.25">
      <c r="I243" s="715" t="s">
        <v>58</v>
      </c>
      <c r="J243" s="715" t="s">
        <v>1422</v>
      </c>
      <c r="K243" s="3">
        <v>11364</v>
      </c>
      <c r="L243" s="716">
        <v>4000</v>
      </c>
      <c r="M243" s="269"/>
      <c r="N243" s="269"/>
      <c r="P243" s="270"/>
      <c r="Q243" s="3">
        <f t="shared" si="11"/>
        <v>0.35198873636043648</v>
      </c>
    </row>
    <row r="244" spans="9:17" x14ac:dyDescent="0.25">
      <c r="I244" s="715" t="s">
        <v>58</v>
      </c>
      <c r="J244" s="715" t="s">
        <v>1422</v>
      </c>
      <c r="K244" s="3">
        <v>19350</v>
      </c>
      <c r="L244" s="716">
        <v>2000</v>
      </c>
      <c r="M244" s="269"/>
      <c r="N244" s="269"/>
      <c r="P244" s="270"/>
      <c r="Q244" s="3">
        <f t="shared" si="11"/>
        <v>0.10335917312661498</v>
      </c>
    </row>
    <row r="245" spans="9:17" x14ac:dyDescent="0.25">
      <c r="I245" s="715" t="s">
        <v>58</v>
      </c>
      <c r="J245" s="715" t="s">
        <v>1422</v>
      </c>
      <c r="K245" s="3">
        <v>11348</v>
      </c>
      <c r="L245" s="716">
        <v>2500</v>
      </c>
      <c r="M245" s="269"/>
      <c r="N245" s="269"/>
      <c r="P245" s="270"/>
      <c r="Q245" s="3">
        <f t="shared" si="11"/>
        <v>0.22030313711667254</v>
      </c>
    </row>
    <row r="246" spans="9:17" x14ac:dyDescent="0.25">
      <c r="I246" s="715" t="s">
        <v>58</v>
      </c>
      <c r="J246" s="715" t="s">
        <v>1422</v>
      </c>
      <c r="K246" s="3">
        <v>17325</v>
      </c>
      <c r="L246" s="716">
        <v>1500</v>
      </c>
      <c r="M246" s="269"/>
      <c r="N246" s="269"/>
      <c r="P246" s="270"/>
      <c r="Q246" s="3">
        <f t="shared" si="11"/>
        <v>8.6580086580086577E-2</v>
      </c>
    </row>
    <row r="247" spans="9:17" x14ac:dyDescent="0.25">
      <c r="I247" s="715" t="s">
        <v>58</v>
      </c>
      <c r="J247" s="715" t="s">
        <v>1422</v>
      </c>
      <c r="K247" s="3">
        <v>15579</v>
      </c>
      <c r="L247" s="716">
        <v>4000</v>
      </c>
      <c r="M247" s="269"/>
      <c r="N247" s="269"/>
      <c r="P247" s="270"/>
      <c r="Q247" s="3">
        <f t="shared" si="11"/>
        <v>0.2567558893382117</v>
      </c>
    </row>
    <row r="248" spans="9:17" x14ac:dyDescent="0.25">
      <c r="I248" s="715" t="s">
        <v>58</v>
      </c>
      <c r="J248" s="715" t="s">
        <v>1422</v>
      </c>
      <c r="K248" s="3">
        <v>50000</v>
      </c>
      <c r="L248" s="716">
        <v>4000</v>
      </c>
      <c r="M248" s="269"/>
      <c r="N248" s="269"/>
      <c r="P248" s="270"/>
      <c r="Q248" s="3">
        <f t="shared" si="11"/>
        <v>0.08</v>
      </c>
    </row>
    <row r="249" spans="9:17" x14ac:dyDescent="0.25">
      <c r="I249" s="715" t="s">
        <v>58</v>
      </c>
      <c r="J249" s="715" t="s">
        <v>1422</v>
      </c>
      <c r="K249" s="3">
        <v>7979</v>
      </c>
      <c r="L249" s="716">
        <v>4000</v>
      </c>
      <c r="M249" s="269"/>
      <c r="N249" s="269"/>
      <c r="P249" s="270"/>
      <c r="Q249" s="3">
        <f t="shared" si="11"/>
        <v>0.50131595438024812</v>
      </c>
    </row>
    <row r="250" spans="9:17" x14ac:dyDescent="0.25">
      <c r="I250" s="715" t="s">
        <v>58</v>
      </c>
      <c r="J250" s="715" t="s">
        <v>1422</v>
      </c>
      <c r="K250" s="3">
        <v>20605</v>
      </c>
      <c r="L250" s="716">
        <v>3000</v>
      </c>
      <c r="M250" s="269"/>
      <c r="N250" s="269"/>
      <c r="P250" s="271"/>
      <c r="Q250" s="3">
        <f t="shared" si="11"/>
        <v>0.14559572919194369</v>
      </c>
    </row>
    <row r="251" spans="9:17" x14ac:dyDescent="0.25">
      <c r="I251" s="715" t="s">
        <v>58</v>
      </c>
      <c r="J251" s="715" t="s">
        <v>1422</v>
      </c>
      <c r="K251" s="3">
        <v>19449</v>
      </c>
      <c r="L251" s="716">
        <v>2000</v>
      </c>
      <c r="M251" s="269"/>
      <c r="N251" s="269"/>
      <c r="P251" s="270"/>
      <c r="Q251" s="3">
        <f t="shared" si="11"/>
        <v>0.10283305054244433</v>
      </c>
    </row>
    <row r="252" spans="9:17" x14ac:dyDescent="0.25">
      <c r="I252" s="715" t="s">
        <v>58</v>
      </c>
      <c r="J252" s="715" t="s">
        <v>1422</v>
      </c>
      <c r="K252" s="3">
        <v>9700</v>
      </c>
      <c r="L252" s="716">
        <v>2500</v>
      </c>
      <c r="M252" s="269"/>
      <c r="N252" s="269"/>
      <c r="P252" s="270"/>
      <c r="Q252" s="3">
        <f t="shared" si="11"/>
        <v>0.25773195876288657</v>
      </c>
    </row>
    <row r="253" spans="9:17" x14ac:dyDescent="0.25">
      <c r="I253" s="715" t="s">
        <v>58</v>
      </c>
      <c r="J253" s="715" t="s">
        <v>1422</v>
      </c>
      <c r="K253" s="3">
        <v>10303</v>
      </c>
      <c r="L253" s="716">
        <v>4000</v>
      </c>
      <c r="M253" s="269"/>
      <c r="N253" s="269"/>
      <c r="P253" s="270"/>
      <c r="Q253" s="3">
        <f t="shared" si="11"/>
        <v>0.38823643598951763</v>
      </c>
    </row>
    <row r="254" spans="9:17" x14ac:dyDescent="0.25">
      <c r="I254" s="715" t="s">
        <v>58</v>
      </c>
      <c r="J254" s="715" t="s">
        <v>1422</v>
      </c>
      <c r="K254" s="3">
        <v>13260</v>
      </c>
      <c r="L254" s="716">
        <v>2500</v>
      </c>
      <c r="M254" s="269"/>
      <c r="N254" s="269"/>
      <c r="P254" s="270"/>
      <c r="Q254" s="3">
        <f t="shared" si="11"/>
        <v>0.18853695324283559</v>
      </c>
    </row>
    <row r="255" spans="9:17" x14ac:dyDescent="0.25">
      <c r="I255" s="715" t="s">
        <v>58</v>
      </c>
      <c r="J255" s="715" t="s">
        <v>1422</v>
      </c>
      <c r="K255" s="3">
        <v>6968</v>
      </c>
      <c r="L255" s="716">
        <v>4000</v>
      </c>
      <c r="M255" s="269"/>
      <c r="N255" s="269"/>
      <c r="P255" s="270"/>
      <c r="Q255" s="3">
        <f t="shared" si="11"/>
        <v>0.57405281285878296</v>
      </c>
    </row>
    <row r="256" spans="9:17" x14ac:dyDescent="0.25">
      <c r="I256" s="715" t="s">
        <v>58</v>
      </c>
      <c r="J256" s="715" t="s">
        <v>1422</v>
      </c>
      <c r="K256" s="3">
        <v>19546</v>
      </c>
      <c r="L256" s="716">
        <v>3000</v>
      </c>
      <c r="M256" s="269"/>
      <c r="N256" s="269"/>
      <c r="P256" s="270"/>
      <c r="Q256" s="3">
        <f t="shared" si="11"/>
        <v>0.15348408881612607</v>
      </c>
    </row>
    <row r="257" spans="9:17" x14ac:dyDescent="0.25">
      <c r="I257" s="715" t="s">
        <v>58</v>
      </c>
      <c r="J257" s="715" t="s">
        <v>1422</v>
      </c>
      <c r="K257" s="3">
        <v>15700</v>
      </c>
      <c r="L257" s="716">
        <v>3000</v>
      </c>
      <c r="M257" s="269"/>
      <c r="N257" s="269"/>
      <c r="P257" s="270"/>
      <c r="Q257" s="3">
        <f t="shared" si="11"/>
        <v>0.19108280254777071</v>
      </c>
    </row>
    <row r="258" spans="9:17" x14ac:dyDescent="0.25">
      <c r="I258" s="715" t="s">
        <v>58</v>
      </c>
      <c r="J258" s="715" t="s">
        <v>1422</v>
      </c>
      <c r="K258" s="3">
        <v>13187</v>
      </c>
      <c r="L258" s="716">
        <v>4000</v>
      </c>
      <c r="M258" s="269"/>
      <c r="N258" s="269"/>
      <c r="P258" s="270"/>
      <c r="Q258" s="3">
        <f t="shared" si="11"/>
        <v>0.30332903617198759</v>
      </c>
    </row>
    <row r="259" spans="9:17" x14ac:dyDescent="0.25">
      <c r="I259" s="715" t="s">
        <v>58</v>
      </c>
      <c r="J259" s="715" t="s">
        <v>1422</v>
      </c>
      <c r="K259" s="3">
        <v>7382</v>
      </c>
      <c r="L259" s="716">
        <v>3500</v>
      </c>
      <c r="M259" s="269"/>
      <c r="N259" s="269"/>
      <c r="P259" s="270"/>
      <c r="Q259" s="3">
        <f t="shared" si="11"/>
        <v>0.47412625304795447</v>
      </c>
    </row>
    <row r="260" spans="9:17" x14ac:dyDescent="0.25">
      <c r="I260" s="715" t="s">
        <v>58</v>
      </c>
      <c r="J260" s="715" t="s">
        <v>1422</v>
      </c>
      <c r="K260" s="3">
        <v>47853</v>
      </c>
      <c r="L260" s="716">
        <v>2000</v>
      </c>
      <c r="M260" s="269"/>
      <c r="N260" s="269"/>
      <c r="P260" s="270"/>
      <c r="Q260" s="3">
        <f t="shared" si="11"/>
        <v>4.1794662821557686E-2</v>
      </c>
    </row>
    <row r="261" spans="9:17" x14ac:dyDescent="0.25">
      <c r="I261" s="715" t="s">
        <v>58</v>
      </c>
      <c r="J261" s="715" t="s">
        <v>1422</v>
      </c>
      <c r="K261" s="3">
        <v>21616</v>
      </c>
      <c r="L261" s="716">
        <v>4000</v>
      </c>
      <c r="M261" s="269"/>
      <c r="N261" s="269"/>
      <c r="P261" s="270"/>
      <c r="Q261" s="3">
        <f t="shared" si="11"/>
        <v>0.1850481125092524</v>
      </c>
    </row>
    <row r="262" spans="9:17" x14ac:dyDescent="0.25">
      <c r="I262" s="715" t="s">
        <v>58</v>
      </c>
      <c r="J262" s="715" t="s">
        <v>1422</v>
      </c>
      <c r="K262" s="3">
        <v>11624</v>
      </c>
      <c r="L262" s="716">
        <v>3500</v>
      </c>
      <c r="M262" s="269"/>
      <c r="N262" s="269"/>
      <c r="P262" s="270"/>
      <c r="Q262" s="3">
        <f t="shared" si="11"/>
        <v>0.3011011699931177</v>
      </c>
    </row>
    <row r="263" spans="9:17" x14ac:dyDescent="0.25">
      <c r="I263" s="715" t="s">
        <v>58</v>
      </c>
      <c r="J263" s="715" t="s">
        <v>1422</v>
      </c>
      <c r="K263" s="3">
        <v>7765</v>
      </c>
      <c r="L263" s="716">
        <v>2000</v>
      </c>
      <c r="M263" s="269"/>
      <c r="N263" s="269"/>
      <c r="P263" s="270"/>
      <c r="Q263" s="3">
        <f t="shared" ref="Q263:Q269" si="12">L263/K263</f>
        <v>0.25756600128783003</v>
      </c>
    </row>
    <row r="264" spans="9:17" x14ac:dyDescent="0.25">
      <c r="I264" s="715" t="s">
        <v>58</v>
      </c>
      <c r="J264" s="715" t="s">
        <v>1422</v>
      </c>
      <c r="K264" s="3">
        <v>15118</v>
      </c>
      <c r="L264" s="716">
        <v>4000</v>
      </c>
      <c r="M264" s="269"/>
      <c r="N264" s="269"/>
      <c r="P264" s="270"/>
      <c r="Q264" s="3">
        <f t="shared" si="12"/>
        <v>0.26458526260087312</v>
      </c>
    </row>
    <row r="265" spans="9:17" x14ac:dyDescent="0.25">
      <c r="I265" s="715" t="s">
        <v>58</v>
      </c>
      <c r="J265" s="715" t="s">
        <v>1422</v>
      </c>
      <c r="K265" s="3">
        <v>12484</v>
      </c>
      <c r="L265" s="716">
        <v>2500</v>
      </c>
      <c r="M265" s="269"/>
      <c r="N265" s="269"/>
      <c r="P265" s="270"/>
      <c r="Q265" s="3">
        <f t="shared" si="12"/>
        <v>0.20025632809996796</v>
      </c>
    </row>
    <row r="266" spans="9:17" x14ac:dyDescent="0.25">
      <c r="I266" s="715" t="s">
        <v>58</v>
      </c>
      <c r="J266" s="715" t="s">
        <v>1422</v>
      </c>
      <c r="K266" s="3">
        <v>6797</v>
      </c>
      <c r="L266" s="716">
        <v>2500</v>
      </c>
      <c r="M266" s="269"/>
      <c r="N266" s="269"/>
      <c r="P266" s="270"/>
      <c r="Q266" s="3">
        <f t="shared" si="12"/>
        <v>0.36780932764454904</v>
      </c>
    </row>
    <row r="267" spans="9:17" x14ac:dyDescent="0.25">
      <c r="I267" s="715" t="s">
        <v>58</v>
      </c>
      <c r="J267" s="715" t="s">
        <v>1422</v>
      </c>
      <c r="K267" s="3">
        <v>12000</v>
      </c>
      <c r="L267" s="716">
        <v>4000</v>
      </c>
      <c r="M267" s="269"/>
      <c r="N267" s="269"/>
      <c r="P267" s="270"/>
      <c r="Q267" s="3">
        <f t="shared" si="12"/>
        <v>0.33333333333333331</v>
      </c>
    </row>
    <row r="268" spans="9:17" x14ac:dyDescent="0.25">
      <c r="I268" s="715" t="s">
        <v>58</v>
      </c>
      <c r="J268" s="715" t="s">
        <v>1422</v>
      </c>
      <c r="K268" s="3">
        <v>6630</v>
      </c>
      <c r="L268" s="716">
        <v>3500</v>
      </c>
      <c r="M268" s="269"/>
      <c r="N268" s="269"/>
      <c r="P268" s="270"/>
      <c r="Q268" s="3">
        <f t="shared" si="12"/>
        <v>0.52790346907993968</v>
      </c>
    </row>
    <row r="269" spans="9:17" x14ac:dyDescent="0.25">
      <c r="I269" s="715" t="s">
        <v>58</v>
      </c>
      <c r="J269" s="715" t="s">
        <v>1422</v>
      </c>
      <c r="K269" s="3">
        <v>57480</v>
      </c>
      <c r="L269" s="716">
        <v>4000</v>
      </c>
      <c r="M269" s="269"/>
      <c r="N269" s="269"/>
      <c r="P269" s="270"/>
      <c r="Q269" s="3">
        <f t="shared" si="12"/>
        <v>6.9589422407794019E-2</v>
      </c>
    </row>
    <row r="270" spans="9:17" x14ac:dyDescent="0.25">
      <c r="I270" s="715" t="s">
        <v>58</v>
      </c>
      <c r="J270" s="715" t="s">
        <v>1422</v>
      </c>
      <c r="L270" s="716"/>
      <c r="M270" s="269"/>
      <c r="N270" s="269"/>
      <c r="P270" s="270"/>
    </row>
    <row r="271" spans="9:17" x14ac:dyDescent="0.25">
      <c r="I271" s="715" t="s">
        <v>58</v>
      </c>
      <c r="J271" s="715" t="s">
        <v>1422</v>
      </c>
      <c r="K271" s="3">
        <v>19095</v>
      </c>
      <c r="L271" s="716">
        <v>4000</v>
      </c>
      <c r="M271" s="269"/>
      <c r="N271" s="269"/>
      <c r="P271" s="270"/>
      <c r="Q271" s="3">
        <f t="shared" ref="Q271:Q296" si="13">L271/K271</f>
        <v>0.20947892118355591</v>
      </c>
    </row>
    <row r="272" spans="9:17" x14ac:dyDescent="0.25">
      <c r="I272" s="715" t="s">
        <v>58</v>
      </c>
      <c r="J272" s="715" t="s">
        <v>1422</v>
      </c>
      <c r="K272" s="3">
        <v>7682</v>
      </c>
      <c r="L272" s="716">
        <v>2000</v>
      </c>
      <c r="M272" s="269"/>
      <c r="N272" s="269"/>
      <c r="P272" s="270"/>
      <c r="Q272" s="3">
        <f t="shared" si="13"/>
        <v>0.26034886748242647</v>
      </c>
    </row>
    <row r="273" spans="9:17" x14ac:dyDescent="0.25">
      <c r="I273" s="715" t="s">
        <v>58</v>
      </c>
      <c r="J273" s="715" t="s">
        <v>1422</v>
      </c>
      <c r="K273" s="3">
        <v>16100</v>
      </c>
      <c r="L273" s="716">
        <v>3000</v>
      </c>
      <c r="M273" s="269"/>
      <c r="N273" s="269"/>
      <c r="P273" s="270"/>
      <c r="Q273" s="3">
        <f t="shared" si="13"/>
        <v>0.18633540372670807</v>
      </c>
    </row>
    <row r="274" spans="9:17" x14ac:dyDescent="0.25">
      <c r="I274" s="715" t="s">
        <v>58</v>
      </c>
      <c r="J274" s="715" t="s">
        <v>1422</v>
      </c>
      <c r="K274" s="3">
        <v>26524</v>
      </c>
      <c r="L274" s="716">
        <v>2000</v>
      </c>
      <c r="M274" s="269"/>
      <c r="N274" s="269"/>
      <c r="P274" s="270"/>
      <c r="Q274" s="3">
        <f t="shared" si="13"/>
        <v>7.5403408234052186E-2</v>
      </c>
    </row>
    <row r="275" spans="9:17" x14ac:dyDescent="0.25">
      <c r="I275" s="715" t="s">
        <v>58</v>
      </c>
      <c r="J275" s="715" t="s">
        <v>1422</v>
      </c>
      <c r="K275" s="3">
        <v>10584</v>
      </c>
      <c r="L275" s="716">
        <v>3000</v>
      </c>
      <c r="M275" s="269"/>
      <c r="N275" s="269"/>
      <c r="P275" s="270"/>
      <c r="Q275" s="3">
        <f t="shared" si="13"/>
        <v>0.28344671201814059</v>
      </c>
    </row>
    <row r="276" spans="9:17" x14ac:dyDescent="0.25">
      <c r="I276" s="715" t="s">
        <v>58</v>
      </c>
      <c r="J276" s="715" t="s">
        <v>1422</v>
      </c>
      <c r="K276" s="3">
        <v>13552.01</v>
      </c>
      <c r="L276" s="716">
        <v>3000</v>
      </c>
      <c r="M276" s="269"/>
      <c r="N276" s="269"/>
      <c r="P276" s="270"/>
      <c r="Q276" s="3">
        <f t="shared" si="13"/>
        <v>0.2213693762032348</v>
      </c>
    </row>
    <row r="277" spans="9:17" x14ac:dyDescent="0.25">
      <c r="I277" s="715" t="s">
        <v>58</v>
      </c>
      <c r="J277" s="715" t="s">
        <v>1422</v>
      </c>
      <c r="K277" s="3">
        <v>6200</v>
      </c>
      <c r="L277" s="716">
        <v>2000</v>
      </c>
      <c r="M277" s="269"/>
      <c r="N277" s="269"/>
      <c r="P277" s="270"/>
      <c r="Q277" s="3">
        <f t="shared" si="13"/>
        <v>0.32258064516129031</v>
      </c>
    </row>
    <row r="278" spans="9:17" x14ac:dyDescent="0.25">
      <c r="I278" s="715" t="s">
        <v>58</v>
      </c>
      <c r="J278" s="715" t="s">
        <v>1422</v>
      </c>
      <c r="K278" s="3">
        <v>14055</v>
      </c>
      <c r="L278" s="716">
        <v>1500</v>
      </c>
      <c r="M278" s="269"/>
      <c r="N278" s="269"/>
      <c r="P278" s="270"/>
      <c r="Q278" s="3">
        <f t="shared" si="13"/>
        <v>0.10672358591248667</v>
      </c>
    </row>
    <row r="279" spans="9:17" x14ac:dyDescent="0.25">
      <c r="I279" s="715" t="s">
        <v>58</v>
      </c>
      <c r="J279" s="715" t="s">
        <v>1422</v>
      </c>
      <c r="K279" s="3">
        <v>9440</v>
      </c>
      <c r="L279" s="716">
        <v>3000</v>
      </c>
      <c r="M279" s="269"/>
      <c r="N279" s="269"/>
      <c r="P279" s="270"/>
      <c r="Q279" s="3">
        <f t="shared" si="13"/>
        <v>0.31779661016949151</v>
      </c>
    </row>
    <row r="280" spans="9:17" x14ac:dyDescent="0.25">
      <c r="I280" s="715" t="s">
        <v>58</v>
      </c>
      <c r="J280" s="715" t="s">
        <v>1422</v>
      </c>
      <c r="K280" s="3">
        <v>16637</v>
      </c>
      <c r="L280" s="716">
        <v>2000</v>
      </c>
      <c r="M280" s="269"/>
      <c r="N280" s="269"/>
      <c r="P280" s="270"/>
      <c r="Q280" s="3">
        <f t="shared" si="13"/>
        <v>0.12021398088597704</v>
      </c>
    </row>
    <row r="281" spans="9:17" x14ac:dyDescent="0.25">
      <c r="I281" s="715" t="s">
        <v>58</v>
      </c>
      <c r="J281" s="715" t="s">
        <v>1422</v>
      </c>
      <c r="K281" s="3">
        <v>7855</v>
      </c>
      <c r="L281" s="716">
        <v>3000</v>
      </c>
      <c r="M281" s="269"/>
      <c r="N281" s="269"/>
      <c r="P281" s="270"/>
      <c r="Q281" s="3">
        <f t="shared" si="13"/>
        <v>0.38192234245703371</v>
      </c>
    </row>
    <row r="282" spans="9:17" x14ac:dyDescent="0.25">
      <c r="I282" s="715" t="s">
        <v>58</v>
      </c>
      <c r="J282" s="715" t="s">
        <v>1422</v>
      </c>
      <c r="K282" s="3">
        <v>14250</v>
      </c>
      <c r="L282" s="716">
        <v>2000</v>
      </c>
      <c r="M282" s="269"/>
      <c r="N282" s="269"/>
      <c r="P282" s="270"/>
      <c r="Q282" s="3">
        <f t="shared" si="13"/>
        <v>0.14035087719298245</v>
      </c>
    </row>
    <row r="283" spans="9:17" x14ac:dyDescent="0.25">
      <c r="I283" s="715" t="s">
        <v>58</v>
      </c>
      <c r="J283" s="715" t="s">
        <v>1422</v>
      </c>
      <c r="K283" s="3">
        <v>6052</v>
      </c>
      <c r="L283" s="716">
        <v>3000</v>
      </c>
      <c r="M283" s="269"/>
      <c r="N283" s="269"/>
      <c r="P283" s="270"/>
      <c r="Q283" s="3">
        <f t="shared" si="13"/>
        <v>0.49570389953734301</v>
      </c>
    </row>
    <row r="284" spans="9:17" x14ac:dyDescent="0.25">
      <c r="I284" s="715" t="s">
        <v>58</v>
      </c>
      <c r="J284" s="715" t="s">
        <v>1422</v>
      </c>
      <c r="K284" s="3">
        <v>17699</v>
      </c>
      <c r="L284" s="716">
        <v>4000</v>
      </c>
      <c r="M284" s="269"/>
      <c r="N284" s="269"/>
      <c r="P284" s="270"/>
      <c r="Q284" s="3">
        <f t="shared" si="13"/>
        <v>0.22600146900954857</v>
      </c>
    </row>
    <row r="285" spans="9:17" x14ac:dyDescent="0.25">
      <c r="I285" s="715" t="s">
        <v>58</v>
      </c>
      <c r="J285" s="715" t="s">
        <v>1422</v>
      </c>
      <c r="K285" s="3">
        <v>19393</v>
      </c>
      <c r="L285" s="716">
        <v>4000</v>
      </c>
      <c r="M285" s="269"/>
      <c r="N285" s="269"/>
      <c r="P285" s="270"/>
      <c r="Q285" s="3">
        <f t="shared" si="13"/>
        <v>0.20625999071830042</v>
      </c>
    </row>
    <row r="286" spans="9:17" x14ac:dyDescent="0.25">
      <c r="I286" s="715" t="s">
        <v>58</v>
      </c>
      <c r="J286" s="715" t="s">
        <v>1422</v>
      </c>
      <c r="K286" s="3">
        <v>11053</v>
      </c>
      <c r="L286" s="716">
        <v>4000</v>
      </c>
      <c r="M286" s="269"/>
      <c r="N286" s="269"/>
      <c r="P286" s="270"/>
      <c r="Q286" s="3">
        <f t="shared" si="13"/>
        <v>0.36189269881480141</v>
      </c>
    </row>
    <row r="287" spans="9:17" x14ac:dyDescent="0.25">
      <c r="I287" s="715" t="s">
        <v>58</v>
      </c>
      <c r="J287" s="715" t="s">
        <v>1422</v>
      </c>
      <c r="K287" s="3">
        <v>10058</v>
      </c>
      <c r="L287" s="716">
        <v>3500</v>
      </c>
      <c r="M287" s="269"/>
      <c r="N287" s="269"/>
      <c r="P287" s="270"/>
      <c r="Q287" s="3">
        <f t="shared" si="13"/>
        <v>0.34798170610459334</v>
      </c>
    </row>
    <row r="288" spans="9:17" x14ac:dyDescent="0.25">
      <c r="I288" s="715" t="s">
        <v>58</v>
      </c>
      <c r="J288" s="715" t="s">
        <v>1422</v>
      </c>
      <c r="K288" s="3">
        <v>21042</v>
      </c>
      <c r="L288" s="716">
        <v>4000</v>
      </c>
      <c r="M288" s="269"/>
      <c r="N288" s="269"/>
      <c r="P288" s="270"/>
      <c r="Q288" s="3">
        <f t="shared" si="13"/>
        <v>0.190095998479232</v>
      </c>
    </row>
    <row r="289" spans="9:17" x14ac:dyDescent="0.25">
      <c r="I289" s="715" t="s">
        <v>58</v>
      </c>
      <c r="J289" s="715" t="s">
        <v>1422</v>
      </c>
      <c r="K289" s="3">
        <v>19836</v>
      </c>
      <c r="L289" s="716">
        <v>4000</v>
      </c>
      <c r="M289" s="269"/>
      <c r="N289" s="269"/>
      <c r="P289" s="270"/>
      <c r="Q289" s="3">
        <f t="shared" si="13"/>
        <v>0.20165355918531963</v>
      </c>
    </row>
    <row r="290" spans="9:17" x14ac:dyDescent="0.25">
      <c r="I290" s="715" t="s">
        <v>58</v>
      </c>
      <c r="J290" s="715" t="s">
        <v>1422</v>
      </c>
      <c r="K290" s="3">
        <v>5840</v>
      </c>
      <c r="L290" s="716">
        <v>2000</v>
      </c>
      <c r="M290" s="269"/>
      <c r="N290" s="269"/>
      <c r="P290" s="270"/>
      <c r="Q290" s="3">
        <f t="shared" si="13"/>
        <v>0.34246575342465752</v>
      </c>
    </row>
    <row r="291" spans="9:17" x14ac:dyDescent="0.25">
      <c r="I291" s="715" t="s">
        <v>58</v>
      </c>
      <c r="J291" s="715" t="s">
        <v>1422</v>
      </c>
      <c r="K291" s="3">
        <v>9625</v>
      </c>
      <c r="L291" s="716">
        <v>1500</v>
      </c>
      <c r="M291" s="269"/>
      <c r="N291" s="269"/>
      <c r="P291" s="270"/>
      <c r="Q291" s="3">
        <f t="shared" si="13"/>
        <v>0.15584415584415584</v>
      </c>
    </row>
    <row r="292" spans="9:17" x14ac:dyDescent="0.25">
      <c r="I292" s="715" t="s">
        <v>58</v>
      </c>
      <c r="J292" s="715" t="s">
        <v>1422</v>
      </c>
      <c r="K292" s="3">
        <v>14941</v>
      </c>
      <c r="L292" s="716">
        <v>2500</v>
      </c>
      <c r="M292" s="269"/>
      <c r="N292" s="269"/>
      <c r="P292" s="270"/>
      <c r="Q292" s="3">
        <f t="shared" si="13"/>
        <v>0.16732481092296367</v>
      </c>
    </row>
    <row r="293" spans="9:17" x14ac:dyDescent="0.25">
      <c r="I293" s="715" t="s">
        <v>58</v>
      </c>
      <c r="J293" s="715" t="s">
        <v>1422</v>
      </c>
      <c r="K293" s="3">
        <v>11634</v>
      </c>
      <c r="L293" s="716">
        <v>3000</v>
      </c>
      <c r="M293" s="269"/>
      <c r="N293" s="269"/>
      <c r="P293" s="270"/>
      <c r="Q293" s="3">
        <f t="shared" si="13"/>
        <v>0.25786487880350695</v>
      </c>
    </row>
    <row r="294" spans="9:17" x14ac:dyDescent="0.25">
      <c r="I294" s="715" t="s">
        <v>58</v>
      </c>
      <c r="J294" s="715" t="s">
        <v>1422</v>
      </c>
      <c r="K294" s="3">
        <v>4900</v>
      </c>
      <c r="L294" s="716">
        <v>1500</v>
      </c>
      <c r="M294" s="269"/>
      <c r="N294" s="269"/>
      <c r="P294" s="270"/>
      <c r="Q294" s="3">
        <f t="shared" si="13"/>
        <v>0.30612244897959184</v>
      </c>
    </row>
    <row r="295" spans="9:17" x14ac:dyDescent="0.25">
      <c r="I295" s="715" t="s">
        <v>58</v>
      </c>
      <c r="J295" s="715" t="s">
        <v>1422</v>
      </c>
      <c r="K295" s="3">
        <v>9437</v>
      </c>
      <c r="L295" s="716">
        <v>3000</v>
      </c>
      <c r="M295" s="269"/>
      <c r="N295" s="269"/>
      <c r="P295" s="270"/>
      <c r="Q295" s="3">
        <f t="shared" si="13"/>
        <v>0.31789763696089857</v>
      </c>
    </row>
    <row r="296" spans="9:17" x14ac:dyDescent="0.25">
      <c r="I296" s="715" t="s">
        <v>58</v>
      </c>
      <c r="J296" s="715" t="s">
        <v>1422</v>
      </c>
      <c r="K296" s="3">
        <v>10481</v>
      </c>
      <c r="L296" s="716">
        <v>2500</v>
      </c>
      <c r="M296" s="269"/>
      <c r="N296" s="269"/>
      <c r="P296" s="270"/>
      <c r="Q296" s="3">
        <f t="shared" si="13"/>
        <v>0.23852685812422478</v>
      </c>
    </row>
    <row r="297" spans="9:17" x14ac:dyDescent="0.25">
      <c r="I297" s="715" t="s">
        <v>58</v>
      </c>
      <c r="J297" s="715" t="s">
        <v>1422</v>
      </c>
      <c r="L297" s="716">
        <v>3500</v>
      </c>
      <c r="M297" s="269"/>
      <c r="N297" s="269"/>
      <c r="P297" s="270"/>
    </row>
    <row r="298" spans="9:17" x14ac:dyDescent="0.25">
      <c r="I298" s="715" t="s">
        <v>58</v>
      </c>
      <c r="J298" s="715" t="s">
        <v>1422</v>
      </c>
      <c r="K298" s="3">
        <v>12873</v>
      </c>
      <c r="L298" s="716">
        <v>3500</v>
      </c>
      <c r="M298" s="269"/>
      <c r="N298" s="269"/>
      <c r="P298" s="270"/>
      <c r="Q298" s="3">
        <f t="shared" ref="Q298:Q329" si="14">L298/K298</f>
        <v>0.27188689505165853</v>
      </c>
    </row>
    <row r="299" spans="9:17" x14ac:dyDescent="0.25">
      <c r="I299" s="715" t="s">
        <v>58</v>
      </c>
      <c r="J299" s="715" t="s">
        <v>1422</v>
      </c>
      <c r="K299" s="3">
        <v>8375</v>
      </c>
      <c r="L299" s="716">
        <v>2500</v>
      </c>
      <c r="M299" s="269"/>
      <c r="N299" s="269"/>
      <c r="P299" s="270"/>
      <c r="Q299" s="3">
        <f t="shared" si="14"/>
        <v>0.29850746268656714</v>
      </c>
    </row>
    <row r="300" spans="9:17" x14ac:dyDescent="0.25">
      <c r="I300" s="715" t="s">
        <v>58</v>
      </c>
      <c r="J300" s="715" t="s">
        <v>1422</v>
      </c>
      <c r="K300" s="3">
        <v>11863</v>
      </c>
      <c r="L300" s="716">
        <v>3000</v>
      </c>
      <c r="M300" s="269"/>
      <c r="N300" s="269"/>
      <c r="P300" s="270"/>
      <c r="Q300" s="3">
        <f t="shared" si="14"/>
        <v>0.25288712804518249</v>
      </c>
    </row>
    <row r="301" spans="9:17" x14ac:dyDescent="0.25">
      <c r="I301" s="715" t="s">
        <v>58</v>
      </c>
      <c r="J301" s="715" t="s">
        <v>1422</v>
      </c>
      <c r="K301" s="3">
        <v>6575</v>
      </c>
      <c r="L301" s="716">
        <v>2000</v>
      </c>
      <c r="M301" s="269"/>
      <c r="N301" s="269"/>
      <c r="P301" s="270"/>
      <c r="Q301" s="3">
        <f t="shared" si="14"/>
        <v>0.30418250950570341</v>
      </c>
    </row>
    <row r="302" spans="9:17" x14ac:dyDescent="0.25">
      <c r="I302" s="715" t="s">
        <v>58</v>
      </c>
      <c r="J302" s="715" t="s">
        <v>1422</v>
      </c>
      <c r="K302" s="3">
        <v>6647</v>
      </c>
      <c r="L302" s="716">
        <v>2500</v>
      </c>
      <c r="M302" s="269"/>
      <c r="N302" s="269"/>
      <c r="P302" s="270"/>
      <c r="Q302" s="3">
        <f t="shared" si="14"/>
        <v>0.37610952309312473</v>
      </c>
    </row>
    <row r="303" spans="9:17" x14ac:dyDescent="0.25">
      <c r="I303" s="715" t="s">
        <v>58</v>
      </c>
      <c r="J303" s="715" t="s">
        <v>1422</v>
      </c>
      <c r="K303" s="3">
        <v>18055</v>
      </c>
      <c r="L303" s="716">
        <v>2500</v>
      </c>
      <c r="M303" s="269"/>
      <c r="N303" s="269"/>
      <c r="P303" s="270"/>
      <c r="Q303" s="3">
        <f t="shared" si="14"/>
        <v>0.13846579894765992</v>
      </c>
    </row>
    <row r="304" spans="9:17" x14ac:dyDescent="0.25">
      <c r="I304" s="715" t="s">
        <v>58</v>
      </c>
      <c r="J304" s="715" t="s">
        <v>1422</v>
      </c>
      <c r="K304" s="3">
        <v>12927</v>
      </c>
      <c r="L304" s="716">
        <v>1500</v>
      </c>
      <c r="M304" s="269"/>
      <c r="N304" s="269"/>
      <c r="P304" s="270"/>
      <c r="Q304" s="3">
        <f t="shared" si="14"/>
        <v>0.11603620329542817</v>
      </c>
    </row>
    <row r="305" spans="9:17" x14ac:dyDescent="0.25">
      <c r="I305" s="715" t="s">
        <v>58</v>
      </c>
      <c r="J305" s="715" t="s">
        <v>1422</v>
      </c>
      <c r="K305" s="3">
        <v>14896</v>
      </c>
      <c r="L305" s="716">
        <v>2000</v>
      </c>
      <c r="M305" s="269"/>
      <c r="N305" s="269"/>
      <c r="P305" s="270"/>
      <c r="Q305" s="3">
        <f t="shared" si="14"/>
        <v>0.13426423200859292</v>
      </c>
    </row>
    <row r="306" spans="9:17" x14ac:dyDescent="0.25">
      <c r="I306" s="715" t="s">
        <v>58</v>
      </c>
      <c r="J306" s="715" t="s">
        <v>1422</v>
      </c>
      <c r="K306" s="3">
        <v>11937</v>
      </c>
      <c r="L306" s="716">
        <v>4000</v>
      </c>
      <c r="M306" s="269"/>
      <c r="N306" s="269"/>
      <c r="P306" s="271"/>
      <c r="Q306" s="3">
        <f t="shared" si="14"/>
        <v>0.33509256932227527</v>
      </c>
    </row>
    <row r="307" spans="9:17" x14ac:dyDescent="0.25">
      <c r="I307" s="715" t="s">
        <v>58</v>
      </c>
      <c r="J307" s="715" t="s">
        <v>1422</v>
      </c>
      <c r="K307" s="3">
        <v>9790.4</v>
      </c>
      <c r="L307" s="716">
        <v>3000</v>
      </c>
      <c r="M307" s="269"/>
      <c r="N307" s="269"/>
      <c r="P307" s="270"/>
      <c r="Q307" s="3">
        <f t="shared" si="14"/>
        <v>0.30642261807484883</v>
      </c>
    </row>
    <row r="308" spans="9:17" x14ac:dyDescent="0.25">
      <c r="I308" s="715" t="s">
        <v>58</v>
      </c>
      <c r="J308" s="715" t="s">
        <v>1422</v>
      </c>
      <c r="K308" s="3">
        <v>12492</v>
      </c>
      <c r="L308" s="716">
        <v>4000</v>
      </c>
      <c r="M308" s="269"/>
      <c r="N308" s="269"/>
      <c r="P308" s="270"/>
      <c r="Q308" s="3">
        <f t="shared" si="14"/>
        <v>0.32020493115593979</v>
      </c>
    </row>
    <row r="309" spans="9:17" x14ac:dyDescent="0.25">
      <c r="I309" s="715" t="s">
        <v>58</v>
      </c>
      <c r="J309" s="715" t="s">
        <v>1422</v>
      </c>
      <c r="K309" s="3">
        <v>25564</v>
      </c>
      <c r="L309" s="716">
        <v>2000</v>
      </c>
      <c r="M309" s="266"/>
      <c r="N309" s="266"/>
      <c r="O309" s="267"/>
      <c r="P309" s="268"/>
      <c r="Q309" s="3">
        <f t="shared" si="14"/>
        <v>7.8235017994054135E-2</v>
      </c>
    </row>
    <row r="310" spans="9:17" x14ac:dyDescent="0.25">
      <c r="I310" s="715" t="s">
        <v>58</v>
      </c>
      <c r="J310" s="715" t="s">
        <v>1422</v>
      </c>
      <c r="K310" s="3">
        <v>7900</v>
      </c>
      <c r="L310" s="716">
        <v>2000</v>
      </c>
      <c r="Q310" s="3">
        <f t="shared" si="14"/>
        <v>0.25316455696202533</v>
      </c>
    </row>
    <row r="311" spans="9:17" x14ac:dyDescent="0.25">
      <c r="I311" s="715" t="s">
        <v>58</v>
      </c>
      <c r="J311" s="715" t="s">
        <v>1422</v>
      </c>
      <c r="K311" s="3">
        <v>12506</v>
      </c>
      <c r="L311" s="716">
        <v>3500</v>
      </c>
      <c r="Q311" s="3">
        <f t="shared" si="14"/>
        <v>0.2798656644810491</v>
      </c>
    </row>
    <row r="312" spans="9:17" x14ac:dyDescent="0.25">
      <c r="I312" s="715" t="s">
        <v>58</v>
      </c>
      <c r="J312" s="715" t="s">
        <v>1422</v>
      </c>
      <c r="K312" s="3">
        <v>47246</v>
      </c>
      <c r="L312" s="716">
        <v>1500</v>
      </c>
      <c r="Q312" s="3">
        <f t="shared" si="14"/>
        <v>3.1748719468314777E-2</v>
      </c>
    </row>
    <row r="313" spans="9:17" x14ac:dyDescent="0.25">
      <c r="I313" s="715" t="s">
        <v>58</v>
      </c>
      <c r="J313" s="715" t="s">
        <v>1422</v>
      </c>
      <c r="K313" s="3">
        <v>8414</v>
      </c>
      <c r="L313" s="716">
        <v>2500</v>
      </c>
      <c r="Q313" s="3">
        <f t="shared" si="14"/>
        <v>0.29712384121701924</v>
      </c>
    </row>
    <row r="314" spans="9:17" x14ac:dyDescent="0.25">
      <c r="I314" s="715" t="s">
        <v>58</v>
      </c>
      <c r="J314" s="715" t="s">
        <v>1422</v>
      </c>
      <c r="K314" s="3">
        <v>12631</v>
      </c>
      <c r="L314" s="716">
        <v>2000</v>
      </c>
      <c r="Q314" s="3">
        <f t="shared" si="14"/>
        <v>0.15834059061040298</v>
      </c>
    </row>
    <row r="315" spans="9:17" x14ac:dyDescent="0.25">
      <c r="I315" s="715" t="s">
        <v>58</v>
      </c>
      <c r="J315" s="715" t="s">
        <v>1422</v>
      </c>
      <c r="K315" s="3">
        <v>30072</v>
      </c>
      <c r="L315" s="716">
        <v>4000</v>
      </c>
      <c r="Q315" s="3">
        <f t="shared" si="14"/>
        <v>0.13301409949454643</v>
      </c>
    </row>
    <row r="316" spans="9:17" x14ac:dyDescent="0.25">
      <c r="I316" s="715" t="s">
        <v>58</v>
      </c>
      <c r="J316" s="715" t="s">
        <v>1422</v>
      </c>
      <c r="K316" s="3">
        <v>13829</v>
      </c>
      <c r="L316" s="716">
        <v>3000</v>
      </c>
      <c r="Q316" s="3">
        <f t="shared" si="14"/>
        <v>0.21693542555499312</v>
      </c>
    </row>
    <row r="317" spans="9:17" x14ac:dyDescent="0.25">
      <c r="I317" s="715" t="s">
        <v>58</v>
      </c>
      <c r="J317" s="715" t="s">
        <v>1422</v>
      </c>
      <c r="K317" s="3">
        <v>10000</v>
      </c>
      <c r="L317" s="716">
        <v>4000</v>
      </c>
      <c r="Q317" s="3">
        <f t="shared" si="14"/>
        <v>0.4</v>
      </c>
    </row>
    <row r="318" spans="9:17" x14ac:dyDescent="0.25">
      <c r="I318" s="715" t="s">
        <v>58</v>
      </c>
      <c r="J318" s="715" t="s">
        <v>1422</v>
      </c>
      <c r="K318" s="3">
        <v>20500</v>
      </c>
      <c r="L318" s="716">
        <v>4000</v>
      </c>
      <c r="Q318" s="3">
        <f t="shared" si="14"/>
        <v>0.1951219512195122</v>
      </c>
    </row>
    <row r="319" spans="9:17" x14ac:dyDescent="0.25">
      <c r="I319" s="715" t="s">
        <v>58</v>
      </c>
      <c r="J319" s="715" t="s">
        <v>1422</v>
      </c>
      <c r="K319" s="3">
        <v>12000</v>
      </c>
      <c r="L319" s="716">
        <v>4000</v>
      </c>
      <c r="Q319" s="3">
        <f t="shared" si="14"/>
        <v>0.33333333333333331</v>
      </c>
    </row>
    <row r="320" spans="9:17" x14ac:dyDescent="0.25">
      <c r="I320" s="715" t="s">
        <v>58</v>
      </c>
      <c r="J320" s="715" t="s">
        <v>1422</v>
      </c>
      <c r="K320" s="3">
        <v>24365</v>
      </c>
      <c r="L320" s="716">
        <v>3500</v>
      </c>
      <c r="Q320" s="3">
        <f t="shared" si="14"/>
        <v>0.14364867638005335</v>
      </c>
    </row>
    <row r="321" spans="9:17" x14ac:dyDescent="0.25">
      <c r="I321" s="715" t="s">
        <v>58</v>
      </c>
      <c r="J321" s="715" t="s">
        <v>1422</v>
      </c>
      <c r="K321" s="3">
        <v>23373</v>
      </c>
      <c r="L321" s="716">
        <v>3000</v>
      </c>
      <c r="Q321" s="3">
        <f t="shared" si="14"/>
        <v>0.12835322808368629</v>
      </c>
    </row>
    <row r="322" spans="9:17" x14ac:dyDescent="0.25">
      <c r="I322" s="715" t="s">
        <v>58</v>
      </c>
      <c r="J322" s="715" t="s">
        <v>1422</v>
      </c>
      <c r="K322" s="3">
        <v>16394</v>
      </c>
      <c r="L322" s="716">
        <v>2000</v>
      </c>
      <c r="Q322" s="3">
        <f t="shared" si="14"/>
        <v>0.12199585214102721</v>
      </c>
    </row>
    <row r="323" spans="9:17" x14ac:dyDescent="0.25">
      <c r="I323" s="715" t="s">
        <v>58</v>
      </c>
      <c r="J323" s="715" t="s">
        <v>1422</v>
      </c>
      <c r="K323" s="3">
        <v>31564</v>
      </c>
      <c r="L323" s="716">
        <v>2000</v>
      </c>
      <c r="Q323" s="3">
        <f t="shared" si="14"/>
        <v>6.3363325307312132E-2</v>
      </c>
    </row>
    <row r="324" spans="9:17" x14ac:dyDescent="0.25">
      <c r="I324" s="715" t="s">
        <v>58</v>
      </c>
      <c r="J324" s="715" t="s">
        <v>1422</v>
      </c>
      <c r="K324" s="3">
        <v>21023</v>
      </c>
      <c r="L324" s="716">
        <v>4000</v>
      </c>
      <c r="Q324" s="3">
        <f t="shared" si="14"/>
        <v>0.1902678019312182</v>
      </c>
    </row>
    <row r="325" spans="9:17" x14ac:dyDescent="0.25">
      <c r="I325" s="715" t="s">
        <v>58</v>
      </c>
      <c r="J325" s="715" t="s">
        <v>1422</v>
      </c>
      <c r="K325" s="3">
        <v>9785</v>
      </c>
      <c r="L325" s="716">
        <v>2000</v>
      </c>
      <c r="Q325" s="3">
        <f t="shared" si="14"/>
        <v>0.20439448134900357</v>
      </c>
    </row>
    <row r="326" spans="9:17" x14ac:dyDescent="0.25">
      <c r="I326" s="715" t="s">
        <v>58</v>
      </c>
      <c r="J326" s="715" t="s">
        <v>1422</v>
      </c>
      <c r="K326" s="3">
        <v>12560.01</v>
      </c>
      <c r="L326" s="716">
        <v>2000</v>
      </c>
      <c r="Q326" s="3">
        <f t="shared" si="14"/>
        <v>0.15923554200991877</v>
      </c>
    </row>
    <row r="327" spans="9:17" x14ac:dyDescent="0.25">
      <c r="I327" s="715" t="s">
        <v>58</v>
      </c>
      <c r="J327" s="715" t="s">
        <v>1422</v>
      </c>
      <c r="K327" s="3">
        <v>10310</v>
      </c>
      <c r="L327" s="716">
        <v>2000</v>
      </c>
      <c r="Q327" s="3">
        <f t="shared" si="14"/>
        <v>0.19398642095053345</v>
      </c>
    </row>
    <row r="328" spans="9:17" x14ac:dyDescent="0.25">
      <c r="I328" s="715" t="s">
        <v>58</v>
      </c>
      <c r="J328" s="715" t="s">
        <v>1422</v>
      </c>
      <c r="K328" s="3">
        <v>10000</v>
      </c>
      <c r="L328" s="716">
        <v>4000</v>
      </c>
      <c r="Q328" s="3">
        <f t="shared" si="14"/>
        <v>0.4</v>
      </c>
    </row>
    <row r="329" spans="9:17" x14ac:dyDescent="0.25">
      <c r="I329" s="715" t="s">
        <v>58</v>
      </c>
      <c r="J329" s="715" t="s">
        <v>1422</v>
      </c>
      <c r="K329" s="3">
        <v>17000</v>
      </c>
      <c r="L329" s="716">
        <v>3500</v>
      </c>
      <c r="Q329" s="3">
        <f t="shared" si="14"/>
        <v>0.20588235294117646</v>
      </c>
    </row>
    <row r="330" spans="9:17" x14ac:dyDescent="0.25">
      <c r="I330" s="715" t="s">
        <v>58</v>
      </c>
      <c r="J330" s="715" t="s">
        <v>1422</v>
      </c>
      <c r="K330" s="3">
        <v>10400</v>
      </c>
      <c r="L330" s="716">
        <v>3000</v>
      </c>
      <c r="Q330" s="3">
        <f t="shared" ref="Q330:Q361" si="15">L330/K330</f>
        <v>0.28846153846153844</v>
      </c>
    </row>
    <row r="331" spans="9:17" x14ac:dyDescent="0.25">
      <c r="I331" s="715" t="s">
        <v>58</v>
      </c>
      <c r="J331" s="715" t="s">
        <v>1422</v>
      </c>
      <c r="K331" s="3">
        <v>14450</v>
      </c>
      <c r="L331" s="716">
        <v>2500</v>
      </c>
      <c r="Q331" s="3">
        <f t="shared" si="15"/>
        <v>0.17301038062283736</v>
      </c>
    </row>
    <row r="332" spans="9:17" x14ac:dyDescent="0.25">
      <c r="I332" s="715" t="s">
        <v>58</v>
      </c>
      <c r="J332" s="715" t="s">
        <v>1422</v>
      </c>
      <c r="K332" s="3">
        <v>18500</v>
      </c>
      <c r="L332" s="716">
        <v>1500</v>
      </c>
      <c r="Q332" s="3">
        <f t="shared" si="15"/>
        <v>8.1081081081081086E-2</v>
      </c>
    </row>
    <row r="333" spans="9:17" x14ac:dyDescent="0.25">
      <c r="I333" s="715" t="s">
        <v>58</v>
      </c>
      <c r="J333" s="715" t="s">
        <v>1422</v>
      </c>
      <c r="K333" s="3">
        <v>25475</v>
      </c>
      <c r="L333" s="716">
        <v>3000</v>
      </c>
      <c r="Q333" s="3">
        <f t="shared" si="15"/>
        <v>0.11776251226692837</v>
      </c>
    </row>
    <row r="334" spans="9:17" x14ac:dyDescent="0.25">
      <c r="I334" s="715" t="s">
        <v>58</v>
      </c>
      <c r="J334" s="715" t="s">
        <v>1422</v>
      </c>
      <c r="K334" s="3">
        <v>9100</v>
      </c>
      <c r="L334" s="716">
        <v>4000</v>
      </c>
      <c r="Q334" s="3">
        <f t="shared" si="15"/>
        <v>0.43956043956043955</v>
      </c>
    </row>
    <row r="335" spans="9:17" x14ac:dyDescent="0.25">
      <c r="I335" s="715" t="s">
        <v>58</v>
      </c>
      <c r="J335" s="715" t="s">
        <v>1422</v>
      </c>
      <c r="K335" s="3">
        <v>12767</v>
      </c>
      <c r="L335" s="716">
        <v>2500</v>
      </c>
      <c r="Q335" s="3">
        <f t="shared" si="15"/>
        <v>0.19581734158377065</v>
      </c>
    </row>
    <row r="336" spans="9:17" x14ac:dyDescent="0.25">
      <c r="I336" s="715" t="s">
        <v>58</v>
      </c>
      <c r="J336" s="715" t="s">
        <v>1422</v>
      </c>
      <c r="K336" s="3">
        <v>32504</v>
      </c>
      <c r="L336" s="716">
        <v>2500</v>
      </c>
      <c r="Q336" s="3">
        <f t="shared" si="15"/>
        <v>7.691361063253753E-2</v>
      </c>
    </row>
    <row r="337" spans="9:17" x14ac:dyDescent="0.25">
      <c r="I337" s="715" t="s">
        <v>58</v>
      </c>
      <c r="J337" s="715" t="s">
        <v>1422</v>
      </c>
      <c r="K337" s="3">
        <v>6991</v>
      </c>
      <c r="L337" s="716">
        <v>1500</v>
      </c>
      <c r="Q337" s="3">
        <f t="shared" si="15"/>
        <v>0.21456157917322272</v>
      </c>
    </row>
    <row r="338" spans="9:17" x14ac:dyDescent="0.25">
      <c r="I338" s="715" t="s">
        <v>58</v>
      </c>
      <c r="J338" s="715" t="s">
        <v>1422</v>
      </c>
      <c r="K338" s="3">
        <v>23806</v>
      </c>
      <c r="L338" s="716">
        <v>3000</v>
      </c>
      <c r="Q338" s="3">
        <f t="shared" si="15"/>
        <v>0.12601865076031252</v>
      </c>
    </row>
    <row r="339" spans="9:17" x14ac:dyDescent="0.25">
      <c r="I339" s="715" t="s">
        <v>58</v>
      </c>
      <c r="J339" s="715" t="s">
        <v>1422</v>
      </c>
      <c r="K339" s="3">
        <v>22928.01</v>
      </c>
      <c r="L339" s="716">
        <v>1500</v>
      </c>
      <c r="Q339" s="3">
        <f t="shared" si="15"/>
        <v>6.542216267351593E-2</v>
      </c>
    </row>
    <row r="340" spans="9:17" x14ac:dyDescent="0.25">
      <c r="I340" s="715" t="s">
        <v>58</v>
      </c>
      <c r="J340" s="715" t="s">
        <v>1422</v>
      </c>
      <c r="K340" s="3">
        <v>17558</v>
      </c>
      <c r="L340" s="716">
        <v>4000</v>
      </c>
      <c r="Q340" s="3">
        <f t="shared" si="15"/>
        <v>0.22781637999772184</v>
      </c>
    </row>
    <row r="341" spans="9:17" x14ac:dyDescent="0.25">
      <c r="I341" s="715" t="s">
        <v>58</v>
      </c>
      <c r="J341" s="715" t="s">
        <v>1422</v>
      </c>
      <c r="K341" s="3">
        <v>9430</v>
      </c>
      <c r="L341" s="716">
        <v>2000</v>
      </c>
      <c r="Q341" s="3">
        <f t="shared" si="15"/>
        <v>0.21208907741251326</v>
      </c>
    </row>
    <row r="342" spans="9:17" x14ac:dyDescent="0.25">
      <c r="I342" s="715" t="s">
        <v>58</v>
      </c>
      <c r="J342" s="715" t="s">
        <v>1422</v>
      </c>
      <c r="K342" s="3">
        <v>19072</v>
      </c>
      <c r="L342" s="716">
        <v>4000</v>
      </c>
      <c r="Q342" s="3">
        <f t="shared" si="15"/>
        <v>0.20973154362416108</v>
      </c>
    </row>
    <row r="343" spans="9:17" x14ac:dyDescent="0.25">
      <c r="I343" s="715" t="s">
        <v>58</v>
      </c>
      <c r="J343" s="715" t="s">
        <v>1422</v>
      </c>
      <c r="K343" s="3">
        <v>23699.01</v>
      </c>
      <c r="L343" s="716">
        <v>3500</v>
      </c>
      <c r="Q343" s="3">
        <f t="shared" si="15"/>
        <v>0.14768549403540487</v>
      </c>
    </row>
    <row r="344" spans="9:17" x14ac:dyDescent="0.25">
      <c r="I344" s="715" t="s">
        <v>58</v>
      </c>
      <c r="J344" s="715" t="s">
        <v>1422</v>
      </c>
      <c r="K344" s="3">
        <v>23849</v>
      </c>
      <c r="L344" s="716">
        <v>3500</v>
      </c>
      <c r="Q344" s="3">
        <f t="shared" si="15"/>
        <v>0.14675667742882301</v>
      </c>
    </row>
    <row r="345" spans="9:17" x14ac:dyDescent="0.25">
      <c r="I345" s="715" t="s">
        <v>58</v>
      </c>
      <c r="J345" s="715" t="s">
        <v>1422</v>
      </c>
      <c r="K345" s="3">
        <v>7575</v>
      </c>
      <c r="L345" s="716">
        <v>2500</v>
      </c>
      <c r="Q345" s="3">
        <f t="shared" si="15"/>
        <v>0.33003300330033003</v>
      </c>
    </row>
    <row r="346" spans="9:17" x14ac:dyDescent="0.25">
      <c r="I346" s="715" t="s">
        <v>58</v>
      </c>
      <c r="J346" s="715" t="s">
        <v>1422</v>
      </c>
      <c r="K346" s="3">
        <v>2000</v>
      </c>
      <c r="L346" s="716">
        <v>1500</v>
      </c>
      <c r="Q346" s="3">
        <f t="shared" si="15"/>
        <v>0.75</v>
      </c>
    </row>
    <row r="347" spans="9:17" x14ac:dyDescent="0.25">
      <c r="I347" s="715" t="s">
        <v>58</v>
      </c>
      <c r="J347" s="715" t="s">
        <v>1422</v>
      </c>
      <c r="K347" s="3">
        <v>18081</v>
      </c>
      <c r="L347" s="716">
        <v>2000</v>
      </c>
      <c r="Q347" s="3">
        <f t="shared" si="15"/>
        <v>0.11061335103146949</v>
      </c>
    </row>
    <row r="348" spans="9:17" x14ac:dyDescent="0.25">
      <c r="I348" s="715" t="s">
        <v>58</v>
      </c>
      <c r="J348" s="715" t="s">
        <v>1422</v>
      </c>
      <c r="K348" s="3">
        <v>5700</v>
      </c>
      <c r="L348" s="716">
        <v>2000</v>
      </c>
      <c r="Q348" s="3">
        <f t="shared" si="15"/>
        <v>0.35087719298245612</v>
      </c>
    </row>
    <row r="349" spans="9:17" x14ac:dyDescent="0.25">
      <c r="I349" s="715" t="s">
        <v>58</v>
      </c>
      <c r="J349" s="715" t="s">
        <v>1422</v>
      </c>
      <c r="K349" s="3">
        <v>6395</v>
      </c>
      <c r="L349" s="716">
        <v>2500</v>
      </c>
      <c r="Q349" s="3">
        <f t="shared" si="15"/>
        <v>0.39093041438623927</v>
      </c>
    </row>
    <row r="350" spans="9:17" x14ac:dyDescent="0.25">
      <c r="I350" s="715" t="s">
        <v>58</v>
      </c>
      <c r="J350" s="715" t="s">
        <v>1422</v>
      </c>
      <c r="K350" s="3">
        <v>8695</v>
      </c>
      <c r="L350" s="716">
        <v>1500</v>
      </c>
      <c r="Q350" s="3">
        <f t="shared" si="15"/>
        <v>0.17251293847038529</v>
      </c>
    </row>
    <row r="351" spans="9:17" x14ac:dyDescent="0.25">
      <c r="I351" s="715" t="s">
        <v>58</v>
      </c>
      <c r="J351" s="715" t="s">
        <v>1422</v>
      </c>
      <c r="K351" s="3">
        <v>16946</v>
      </c>
      <c r="L351" s="716">
        <v>4000</v>
      </c>
      <c r="Q351" s="3">
        <f t="shared" si="15"/>
        <v>0.23604390416617491</v>
      </c>
    </row>
    <row r="352" spans="9:17" x14ac:dyDescent="0.25">
      <c r="I352" s="715" t="s">
        <v>58</v>
      </c>
      <c r="J352" s="715" t="s">
        <v>1422</v>
      </c>
      <c r="K352" s="3">
        <v>10471</v>
      </c>
      <c r="L352" s="716">
        <v>1500</v>
      </c>
      <c r="Q352" s="3">
        <f t="shared" si="15"/>
        <v>0.14325279342947186</v>
      </c>
    </row>
    <row r="353" spans="9:17" x14ac:dyDescent="0.25">
      <c r="I353" s="715" t="s">
        <v>58</v>
      </c>
      <c r="J353" s="715" t="s">
        <v>1422</v>
      </c>
      <c r="K353" s="3">
        <v>3500</v>
      </c>
      <c r="L353" s="716">
        <v>2000</v>
      </c>
      <c r="Q353" s="3">
        <f t="shared" si="15"/>
        <v>0.5714285714285714</v>
      </c>
    </row>
    <row r="354" spans="9:17" x14ac:dyDescent="0.25">
      <c r="I354" s="715" t="s">
        <v>58</v>
      </c>
      <c r="J354" s="715" t="s">
        <v>1422</v>
      </c>
      <c r="K354" s="3">
        <v>13984</v>
      </c>
      <c r="L354" s="716">
        <v>1500</v>
      </c>
      <c r="Q354" s="3">
        <f t="shared" si="15"/>
        <v>0.10726544622425629</v>
      </c>
    </row>
    <row r="355" spans="9:17" x14ac:dyDescent="0.25">
      <c r="I355" s="715" t="s">
        <v>58</v>
      </c>
      <c r="J355" s="715" t="s">
        <v>1422</v>
      </c>
      <c r="K355" s="3">
        <v>11143</v>
      </c>
      <c r="L355" s="716">
        <v>2500</v>
      </c>
      <c r="Q355" s="3">
        <f t="shared" si="15"/>
        <v>0.22435609799874359</v>
      </c>
    </row>
    <row r="356" spans="9:17" x14ac:dyDescent="0.25">
      <c r="I356" s="715" t="s">
        <v>58</v>
      </c>
      <c r="J356" s="715" t="s">
        <v>1422</v>
      </c>
      <c r="K356" s="3">
        <v>11428</v>
      </c>
      <c r="L356" s="716">
        <v>2500</v>
      </c>
      <c r="Q356" s="3">
        <f t="shared" si="15"/>
        <v>0.21876093804690233</v>
      </c>
    </row>
    <row r="357" spans="9:17" x14ac:dyDescent="0.25">
      <c r="I357" s="715" t="s">
        <v>58</v>
      </c>
      <c r="J357" s="715" t="s">
        <v>1422</v>
      </c>
      <c r="K357" s="3">
        <v>5640</v>
      </c>
      <c r="L357" s="716">
        <v>2500</v>
      </c>
      <c r="Q357" s="3">
        <f t="shared" si="15"/>
        <v>0.4432624113475177</v>
      </c>
    </row>
    <row r="358" spans="9:17" x14ac:dyDescent="0.25">
      <c r="I358" s="715" t="s">
        <v>58</v>
      </c>
      <c r="J358" s="715" t="s">
        <v>1422</v>
      </c>
      <c r="K358" s="3">
        <v>13450</v>
      </c>
      <c r="L358" s="716">
        <v>2000</v>
      </c>
      <c r="Q358" s="3">
        <f t="shared" si="15"/>
        <v>0.14869888475836432</v>
      </c>
    </row>
    <row r="359" spans="9:17" x14ac:dyDescent="0.25">
      <c r="I359" s="715" t="s">
        <v>58</v>
      </c>
      <c r="J359" s="715" t="s">
        <v>1422</v>
      </c>
      <c r="K359" s="3">
        <v>18063</v>
      </c>
      <c r="L359" s="716">
        <v>2000</v>
      </c>
      <c r="Q359" s="3">
        <f t="shared" si="15"/>
        <v>0.1107235785860599</v>
      </c>
    </row>
    <row r="360" spans="9:17" x14ac:dyDescent="0.25">
      <c r="I360" s="715" t="s">
        <v>58</v>
      </c>
      <c r="J360" s="715" t="s">
        <v>1422</v>
      </c>
      <c r="K360" s="3">
        <v>19475</v>
      </c>
      <c r="L360" s="716">
        <v>2000</v>
      </c>
      <c r="Q360" s="3">
        <f t="shared" si="15"/>
        <v>0.10269576379974327</v>
      </c>
    </row>
    <row r="361" spans="9:17" x14ac:dyDescent="0.25">
      <c r="I361" s="715" t="s">
        <v>58</v>
      </c>
      <c r="J361" s="715" t="s">
        <v>1422</v>
      </c>
      <c r="K361" s="3">
        <v>8175</v>
      </c>
      <c r="L361" s="716">
        <v>1500</v>
      </c>
      <c r="Q361" s="3">
        <f t="shared" si="15"/>
        <v>0.1834862385321101</v>
      </c>
    </row>
    <row r="362" spans="9:17" x14ac:dyDescent="0.25">
      <c r="I362" s="715" t="s">
        <v>58</v>
      </c>
      <c r="J362" s="715" t="s">
        <v>1422</v>
      </c>
      <c r="K362" s="3">
        <v>22128</v>
      </c>
      <c r="L362" s="716">
        <v>4000</v>
      </c>
      <c r="Q362" s="3">
        <f t="shared" ref="Q362:Q397" si="16">L362/K362</f>
        <v>0.18076644974692696</v>
      </c>
    </row>
    <row r="363" spans="9:17" x14ac:dyDescent="0.25">
      <c r="I363" s="715" t="s">
        <v>58</v>
      </c>
      <c r="J363" s="715" t="s">
        <v>1422</v>
      </c>
      <c r="K363" s="3">
        <v>8463</v>
      </c>
      <c r="L363" s="716">
        <v>4000</v>
      </c>
      <c r="Q363" s="3">
        <f t="shared" si="16"/>
        <v>0.47264563393595654</v>
      </c>
    </row>
    <row r="364" spans="9:17" x14ac:dyDescent="0.25">
      <c r="I364" s="715" t="s">
        <v>58</v>
      </c>
      <c r="J364" s="715" t="s">
        <v>1422</v>
      </c>
      <c r="K364" s="3">
        <v>21050</v>
      </c>
      <c r="L364" s="716">
        <v>4000</v>
      </c>
      <c r="Q364" s="3">
        <f t="shared" si="16"/>
        <v>0.19002375296912113</v>
      </c>
    </row>
    <row r="365" spans="9:17" x14ac:dyDescent="0.25">
      <c r="I365" s="715" t="s">
        <v>58</v>
      </c>
      <c r="J365" s="715" t="s">
        <v>1422</v>
      </c>
      <c r="K365" s="3">
        <v>18240</v>
      </c>
      <c r="L365" s="716">
        <v>4000</v>
      </c>
      <c r="Q365" s="3">
        <f t="shared" si="16"/>
        <v>0.21929824561403508</v>
      </c>
    </row>
    <row r="366" spans="9:17" x14ac:dyDescent="0.25">
      <c r="I366" s="715" t="s">
        <v>58</v>
      </c>
      <c r="J366" s="715" t="s">
        <v>1422</v>
      </c>
      <c r="K366" s="3">
        <v>19497</v>
      </c>
      <c r="L366" s="716">
        <v>3000</v>
      </c>
      <c r="Q366" s="3">
        <f t="shared" si="16"/>
        <v>0.15386982612709649</v>
      </c>
    </row>
    <row r="367" spans="9:17" x14ac:dyDescent="0.25">
      <c r="I367" s="715" t="s">
        <v>58</v>
      </c>
      <c r="J367" s="715" t="s">
        <v>1422</v>
      </c>
      <c r="K367" s="3">
        <v>5020</v>
      </c>
      <c r="L367" s="716">
        <v>1500</v>
      </c>
      <c r="Q367" s="3">
        <f t="shared" si="16"/>
        <v>0.29880478087649404</v>
      </c>
    </row>
    <row r="368" spans="9:17" x14ac:dyDescent="0.25">
      <c r="I368" s="715" t="s">
        <v>58</v>
      </c>
      <c r="J368" s="715" t="s">
        <v>1422</v>
      </c>
      <c r="K368" s="3">
        <v>25108</v>
      </c>
      <c r="L368" s="716">
        <v>2500</v>
      </c>
      <c r="Q368" s="3">
        <f t="shared" si="16"/>
        <v>9.95698582125219E-2</v>
      </c>
    </row>
    <row r="369" spans="9:17" x14ac:dyDescent="0.25">
      <c r="I369" s="715" t="s">
        <v>58</v>
      </c>
      <c r="J369" s="715" t="s">
        <v>1422</v>
      </c>
      <c r="K369" s="3">
        <v>10020</v>
      </c>
      <c r="L369" s="716">
        <v>3000</v>
      </c>
      <c r="Q369" s="3">
        <f t="shared" si="16"/>
        <v>0.29940119760479039</v>
      </c>
    </row>
    <row r="370" spans="9:17" x14ac:dyDescent="0.25">
      <c r="I370" s="715" t="s">
        <v>58</v>
      </c>
      <c r="J370" s="715" t="s">
        <v>1422</v>
      </c>
      <c r="K370" s="3">
        <v>10934</v>
      </c>
      <c r="L370" s="716">
        <v>4000</v>
      </c>
      <c r="Q370" s="3">
        <f t="shared" si="16"/>
        <v>0.36583135174684472</v>
      </c>
    </row>
    <row r="371" spans="9:17" x14ac:dyDescent="0.25">
      <c r="I371" s="715" t="s">
        <v>58</v>
      </c>
      <c r="J371" s="715" t="s">
        <v>1422</v>
      </c>
      <c r="K371" s="3">
        <v>10150</v>
      </c>
      <c r="L371" s="716">
        <v>3000</v>
      </c>
      <c r="Q371" s="3">
        <f t="shared" si="16"/>
        <v>0.29556650246305421</v>
      </c>
    </row>
    <row r="372" spans="9:17" x14ac:dyDescent="0.25">
      <c r="I372" s="715" t="s">
        <v>58</v>
      </c>
      <c r="J372" s="715" t="s">
        <v>1422</v>
      </c>
      <c r="K372" s="3">
        <v>17847</v>
      </c>
      <c r="L372" s="716">
        <v>3000</v>
      </c>
      <c r="Q372" s="3">
        <f t="shared" si="16"/>
        <v>0.16809547823163556</v>
      </c>
    </row>
    <row r="373" spans="9:17" x14ac:dyDescent="0.25">
      <c r="I373" s="715" t="s">
        <v>58</v>
      </c>
      <c r="J373" s="715" t="s">
        <v>1422</v>
      </c>
      <c r="K373" s="3">
        <v>7565</v>
      </c>
      <c r="L373" s="716">
        <v>2500</v>
      </c>
      <c r="Q373" s="3">
        <f t="shared" si="16"/>
        <v>0.33046926635822871</v>
      </c>
    </row>
    <row r="374" spans="9:17" x14ac:dyDescent="0.25">
      <c r="I374" s="715" t="s">
        <v>58</v>
      </c>
      <c r="J374" s="715" t="s">
        <v>1422</v>
      </c>
      <c r="K374" s="3">
        <v>23026</v>
      </c>
      <c r="L374" s="716">
        <v>2500</v>
      </c>
      <c r="Q374" s="3">
        <f t="shared" si="16"/>
        <v>0.10857291757144098</v>
      </c>
    </row>
    <row r="375" spans="9:17" x14ac:dyDescent="0.25">
      <c r="I375" s="715" t="s">
        <v>58</v>
      </c>
      <c r="J375" s="715" t="s">
        <v>1422</v>
      </c>
      <c r="K375" s="3">
        <v>13651</v>
      </c>
      <c r="L375" s="716">
        <v>4000</v>
      </c>
      <c r="Q375" s="3">
        <f t="shared" si="16"/>
        <v>0.29301882645960003</v>
      </c>
    </row>
    <row r="376" spans="9:17" x14ac:dyDescent="0.25">
      <c r="I376" s="715" t="s">
        <v>58</v>
      </c>
      <c r="J376" s="715" t="s">
        <v>1422</v>
      </c>
      <c r="K376" s="3">
        <v>22107</v>
      </c>
      <c r="L376" s="716">
        <v>4000</v>
      </c>
      <c r="Q376" s="3">
        <f t="shared" si="16"/>
        <v>0.18093816438232235</v>
      </c>
    </row>
    <row r="377" spans="9:17" x14ac:dyDescent="0.25">
      <c r="I377" s="715" t="s">
        <v>58</v>
      </c>
      <c r="J377" s="715" t="s">
        <v>1422</v>
      </c>
      <c r="K377" s="3">
        <v>17036</v>
      </c>
      <c r="L377" s="716">
        <v>3000</v>
      </c>
      <c r="Q377" s="3">
        <f t="shared" si="16"/>
        <v>0.17609767551068325</v>
      </c>
    </row>
    <row r="378" spans="9:17" x14ac:dyDescent="0.25">
      <c r="I378" s="715" t="s">
        <v>58</v>
      </c>
      <c r="J378" s="715" t="s">
        <v>1422</v>
      </c>
      <c r="K378" s="3">
        <v>9136</v>
      </c>
      <c r="L378" s="716">
        <v>1500</v>
      </c>
      <c r="Q378" s="3">
        <f t="shared" si="16"/>
        <v>0.16418563922942206</v>
      </c>
    </row>
    <row r="379" spans="9:17" x14ac:dyDescent="0.25">
      <c r="I379" s="715" t="s">
        <v>58</v>
      </c>
      <c r="J379" s="715" t="s">
        <v>1422</v>
      </c>
      <c r="K379" s="3">
        <v>21432</v>
      </c>
      <c r="L379" s="716">
        <v>2000</v>
      </c>
      <c r="Q379" s="3">
        <f t="shared" si="16"/>
        <v>9.3318402388951102E-2</v>
      </c>
    </row>
    <row r="380" spans="9:17" x14ac:dyDescent="0.25">
      <c r="I380" s="715" t="s">
        <v>58</v>
      </c>
      <c r="J380" s="715" t="s">
        <v>1422</v>
      </c>
      <c r="K380" s="3">
        <v>8939</v>
      </c>
      <c r="L380" s="716">
        <v>3500</v>
      </c>
      <c r="Q380" s="3">
        <f t="shared" si="16"/>
        <v>0.39154267815191857</v>
      </c>
    </row>
    <row r="381" spans="9:17" x14ac:dyDescent="0.25">
      <c r="I381" s="715" t="s">
        <v>58</v>
      </c>
      <c r="J381" s="715" t="s">
        <v>1422</v>
      </c>
      <c r="K381" s="3">
        <v>36241</v>
      </c>
      <c r="L381" s="716">
        <v>3500</v>
      </c>
      <c r="Q381" s="3">
        <f t="shared" si="16"/>
        <v>9.6575701553489143E-2</v>
      </c>
    </row>
    <row r="382" spans="9:17" x14ac:dyDescent="0.25">
      <c r="I382" s="715" t="s">
        <v>58</v>
      </c>
      <c r="J382" s="715" t="s">
        <v>1422</v>
      </c>
      <c r="K382" s="3">
        <v>10447</v>
      </c>
      <c r="L382" s="716">
        <v>2500</v>
      </c>
      <c r="Q382" s="3">
        <f t="shared" si="16"/>
        <v>0.23930314922944387</v>
      </c>
    </row>
    <row r="383" spans="9:17" x14ac:dyDescent="0.25">
      <c r="I383" s="715" t="s">
        <v>58</v>
      </c>
      <c r="J383" s="715" t="s">
        <v>1422</v>
      </c>
      <c r="K383" s="3">
        <v>41740</v>
      </c>
      <c r="L383" s="716">
        <v>1500</v>
      </c>
      <c r="Q383" s="3">
        <f t="shared" si="16"/>
        <v>3.5936751317680884E-2</v>
      </c>
    </row>
    <row r="384" spans="9:17" x14ac:dyDescent="0.25">
      <c r="I384" s="715" t="s">
        <v>58</v>
      </c>
      <c r="J384" s="715" t="s">
        <v>1422</v>
      </c>
      <c r="K384" s="3">
        <v>16598</v>
      </c>
      <c r="L384" s="716">
        <v>3000</v>
      </c>
      <c r="Q384" s="3">
        <f t="shared" si="16"/>
        <v>0.18074466803229305</v>
      </c>
    </row>
    <row r="385" spans="9:17" x14ac:dyDescent="0.25">
      <c r="I385" s="715" t="s">
        <v>58</v>
      </c>
      <c r="J385" s="715" t="s">
        <v>1422</v>
      </c>
      <c r="K385" s="3">
        <v>18672</v>
      </c>
      <c r="L385" s="716">
        <v>3000</v>
      </c>
      <c r="Q385" s="3">
        <f t="shared" si="16"/>
        <v>0.16066838046272494</v>
      </c>
    </row>
    <row r="386" spans="9:17" x14ac:dyDescent="0.25">
      <c r="I386" s="715" t="s">
        <v>58</v>
      </c>
      <c r="J386" s="715" t="s">
        <v>1422</v>
      </c>
      <c r="K386" s="3">
        <v>23833</v>
      </c>
      <c r="L386" s="716">
        <v>2000</v>
      </c>
      <c r="Q386" s="3">
        <f t="shared" si="16"/>
        <v>8.3917257584022159E-2</v>
      </c>
    </row>
    <row r="387" spans="9:17" x14ac:dyDescent="0.25">
      <c r="I387" s="715" t="s">
        <v>58</v>
      </c>
      <c r="J387" s="715" t="s">
        <v>1422</v>
      </c>
      <c r="K387" s="3">
        <v>11013</v>
      </c>
      <c r="L387" s="716">
        <v>3000</v>
      </c>
      <c r="Q387" s="3">
        <f t="shared" si="16"/>
        <v>0.27240533914464726</v>
      </c>
    </row>
    <row r="388" spans="9:17" x14ac:dyDescent="0.25">
      <c r="I388" s="715" t="s">
        <v>58</v>
      </c>
      <c r="J388" s="715" t="s">
        <v>1422</v>
      </c>
      <c r="K388" s="3">
        <v>19558</v>
      </c>
      <c r="L388" s="716">
        <v>3000</v>
      </c>
      <c r="Q388" s="3">
        <f t="shared" si="16"/>
        <v>0.15338991716944472</v>
      </c>
    </row>
    <row r="389" spans="9:17" x14ac:dyDescent="0.25">
      <c r="I389" s="715" t="s">
        <v>58</v>
      </c>
      <c r="J389" s="715" t="s">
        <v>1422</v>
      </c>
      <c r="K389" s="3">
        <v>12246</v>
      </c>
      <c r="L389" s="716">
        <v>1500</v>
      </c>
      <c r="Q389" s="3">
        <f t="shared" si="16"/>
        <v>0.1224889759921607</v>
      </c>
    </row>
    <row r="390" spans="9:17" x14ac:dyDescent="0.25">
      <c r="I390" s="715" t="s">
        <v>58</v>
      </c>
      <c r="J390" s="715" t="s">
        <v>1422</v>
      </c>
      <c r="K390" s="3">
        <v>30918</v>
      </c>
      <c r="L390" s="716">
        <v>3000</v>
      </c>
      <c r="Q390" s="3">
        <f t="shared" si="16"/>
        <v>9.7030855812148264E-2</v>
      </c>
    </row>
    <row r="391" spans="9:17" x14ac:dyDescent="0.25">
      <c r="I391" s="715" t="s">
        <v>58</v>
      </c>
      <c r="J391" s="715" t="s">
        <v>1422</v>
      </c>
      <c r="K391" s="3">
        <v>36073</v>
      </c>
      <c r="L391" s="716">
        <v>3500</v>
      </c>
      <c r="Q391" s="3">
        <f t="shared" si="16"/>
        <v>9.7025476117872086E-2</v>
      </c>
    </row>
    <row r="392" spans="9:17" x14ac:dyDescent="0.25">
      <c r="I392" s="715" t="s">
        <v>58</v>
      </c>
      <c r="J392" s="715" t="s">
        <v>1422</v>
      </c>
      <c r="K392" s="3">
        <v>36325</v>
      </c>
      <c r="L392" s="716">
        <v>2000</v>
      </c>
      <c r="Q392" s="3">
        <f t="shared" si="16"/>
        <v>5.5058499655884378E-2</v>
      </c>
    </row>
    <row r="393" spans="9:17" x14ac:dyDescent="0.25">
      <c r="I393" s="715" t="s">
        <v>58</v>
      </c>
      <c r="J393" s="715" t="s">
        <v>1422</v>
      </c>
      <c r="K393" s="3">
        <v>6582</v>
      </c>
      <c r="L393" s="716">
        <v>2500</v>
      </c>
      <c r="Q393" s="3">
        <f t="shared" si="16"/>
        <v>0.37982376177453664</v>
      </c>
    </row>
    <row r="394" spans="9:17" x14ac:dyDescent="0.25">
      <c r="I394" s="715" t="s">
        <v>58</v>
      </c>
      <c r="J394" s="715" t="s">
        <v>1422</v>
      </c>
      <c r="K394" s="3">
        <v>5707</v>
      </c>
      <c r="L394" s="716">
        <v>2000</v>
      </c>
      <c r="Q394" s="3">
        <f t="shared" si="16"/>
        <v>0.35044681969511127</v>
      </c>
    </row>
    <row r="395" spans="9:17" x14ac:dyDescent="0.25">
      <c r="I395" s="715" t="s">
        <v>58</v>
      </c>
      <c r="J395" s="715" t="s">
        <v>1422</v>
      </c>
      <c r="K395" s="3">
        <v>5760</v>
      </c>
      <c r="L395" s="716">
        <v>3500</v>
      </c>
      <c r="Q395" s="3">
        <f t="shared" si="16"/>
        <v>0.60763888888888884</v>
      </c>
    </row>
    <row r="396" spans="9:17" x14ac:dyDescent="0.25">
      <c r="I396" s="715" t="s">
        <v>58</v>
      </c>
      <c r="J396" s="715" t="s">
        <v>1422</v>
      </c>
      <c r="K396" s="3">
        <v>12115</v>
      </c>
      <c r="L396" s="716">
        <v>1500</v>
      </c>
      <c r="Q396" s="3">
        <f t="shared" si="16"/>
        <v>0.12381345439537764</v>
      </c>
    </row>
    <row r="397" spans="9:17" x14ac:dyDescent="0.25">
      <c r="I397" s="715" t="s">
        <v>58</v>
      </c>
      <c r="J397" s="715" t="s">
        <v>1422</v>
      </c>
      <c r="K397" s="3">
        <v>6775</v>
      </c>
      <c r="L397" s="716">
        <v>1500</v>
      </c>
      <c r="Q397" s="3">
        <f t="shared" si="16"/>
        <v>0.22140221402214022</v>
      </c>
    </row>
  </sheetData>
  <customSheetViews>
    <customSheetView guid="{679A3195-3DEA-4AC2-A535-82AAF5B552BC}" state="hidden">
      <selection activeCell="A7" sqref="A7"/>
      <pageMargins left="0.7" right="0.7" top="0.75" bottom="0.75" header="0.3" footer="0.3"/>
      <pageSetup orientation="landscape" horizontalDpi="4294967293" verticalDpi="4294967293" r:id="rId1"/>
    </customSheetView>
    <customSheetView guid="{7378B641-E8D1-4C14-8151-CF4CE159D121}" showAutoFilter="1">
      <selection activeCell="A5" sqref="A5"/>
      <pageMargins left="0.7" right="0.7" top="0.75" bottom="0.75" header="0.3" footer="0.3"/>
      <pageSetup orientation="landscape" horizontalDpi="4294967293" verticalDpi="4294967293" r:id="rId2"/>
      <autoFilter ref="Q8:Q397"/>
    </customSheetView>
    <customSheetView guid="{6D63B10B-E1E6-452A-80EB-4B2C7D61CF66}" state="hidden">
      <selection activeCell="A7" sqref="A7"/>
      <pageMargins left="0.7" right="0.7" top="0.75" bottom="0.75" header="0.3" footer="0.3"/>
      <pageSetup orientation="landscape" horizontalDpi="4294967293" verticalDpi="4294967293" r:id="rId3"/>
    </customSheetView>
  </customSheetViews>
  <mergeCells count="2">
    <mergeCell ref="B6:G6"/>
    <mergeCell ref="B7:G7"/>
  </mergeCells>
  <pageMargins left="0.7" right="0.7" top="0.75" bottom="0.75" header="0.3" footer="0.3"/>
  <pageSetup orientation="landscape" horizontalDpi="4294967293" verticalDpi="4294967293"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Q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7" width="9.140625" style="3"/>
  </cols>
  <sheetData>
    <row r="1" spans="1:17" x14ac:dyDescent="0.25">
      <c r="A1" s="3" t="s">
        <v>26</v>
      </c>
      <c r="B1" s="4" t="s">
        <v>3335</v>
      </c>
      <c r="C1" s="535" t="s">
        <v>3058</v>
      </c>
      <c r="D1" s="37" t="str">
        <f>B1</f>
        <v>Distribution of Job Costs for Advanced and Basic jobs</v>
      </c>
    </row>
    <row r="2" spans="1:17" x14ac:dyDescent="0.25">
      <c r="A2" s="3" t="s">
        <v>20</v>
      </c>
      <c r="B2" s="4" t="s">
        <v>60</v>
      </c>
      <c r="C2" s="536" t="s">
        <v>3059</v>
      </c>
    </row>
    <row r="3" spans="1:17" x14ac:dyDescent="0.25">
      <c r="A3" s="3" t="s">
        <v>1184</v>
      </c>
      <c r="B3" s="4" t="s">
        <v>3147</v>
      </c>
      <c r="C3" s="536" t="s">
        <v>1193</v>
      </c>
      <c r="D3" s="733"/>
      <c r="E3" s="733"/>
      <c r="F3" s="733"/>
      <c r="G3" s="733"/>
      <c r="H3" s="733"/>
      <c r="I3" s="733"/>
      <c r="J3" s="733"/>
      <c r="K3" s="733"/>
      <c r="L3" s="733"/>
      <c r="M3" s="733"/>
      <c r="N3" s="733"/>
      <c r="O3" s="733"/>
    </row>
    <row r="4" spans="1:17" ht="45" x14ac:dyDescent="0.25">
      <c r="A4" s="3" t="s">
        <v>3136</v>
      </c>
      <c r="B4" s="4" t="s">
        <v>3347</v>
      </c>
      <c r="C4" s="4"/>
      <c r="D4" s="3" t="s">
        <v>61</v>
      </c>
      <c r="P4" s="730"/>
      <c r="Q4" s="48"/>
    </row>
    <row r="5" spans="1:17" x14ac:dyDescent="0.25">
      <c r="B5" s="4"/>
      <c r="C5" s="4"/>
      <c r="P5" s="730"/>
    </row>
    <row r="6" spans="1:17" x14ac:dyDescent="0.25">
      <c r="B6" s="73"/>
      <c r="C6" s="73"/>
      <c r="P6" s="730"/>
    </row>
    <row r="7" spans="1:17" x14ac:dyDescent="0.25">
      <c r="P7" s="730"/>
    </row>
    <row r="8" spans="1:17" x14ac:dyDescent="0.25">
      <c r="P8" s="730"/>
    </row>
    <row r="9" spans="1:17" x14ac:dyDescent="0.25">
      <c r="P9" s="730"/>
    </row>
    <row r="10" spans="1:17" x14ac:dyDescent="0.25">
      <c r="P10" s="730"/>
    </row>
    <row r="11" spans="1:17" x14ac:dyDescent="0.25">
      <c r="P11" s="730"/>
    </row>
    <row r="12" spans="1:17" x14ac:dyDescent="0.25">
      <c r="P12" s="730"/>
    </row>
    <row r="13" spans="1:17" x14ac:dyDescent="0.25">
      <c r="P13" s="730"/>
    </row>
    <row r="14" spans="1:17" x14ac:dyDescent="0.25">
      <c r="P14" s="730"/>
    </row>
    <row r="15" spans="1:17" x14ac:dyDescent="0.25">
      <c r="P15" s="730"/>
    </row>
    <row r="16" spans="1:17" x14ac:dyDescent="0.25">
      <c r="P16" s="730"/>
    </row>
    <row r="17" spans="16:16" x14ac:dyDescent="0.25">
      <c r="P17" s="730"/>
    </row>
    <row r="18" spans="16:16" x14ac:dyDescent="0.25">
      <c r="P18" s="730"/>
    </row>
    <row r="19" spans="16:16" x14ac:dyDescent="0.25">
      <c r="P19" s="730"/>
    </row>
    <row r="20" spans="16:16" x14ac:dyDescent="0.25">
      <c r="P20" s="730"/>
    </row>
    <row r="21" spans="16:16" x14ac:dyDescent="0.25">
      <c r="P21" s="730"/>
    </row>
    <row r="22" spans="16:16" x14ac:dyDescent="0.25">
      <c r="P22" s="730"/>
    </row>
    <row r="23" spans="16:16" x14ac:dyDescent="0.25">
      <c r="P23" s="730"/>
    </row>
    <row r="24" spans="16:16" x14ac:dyDescent="0.25">
      <c r="P24" s="730"/>
    </row>
    <row r="25" spans="16:16" x14ac:dyDescent="0.25">
      <c r="P25" s="730"/>
    </row>
    <row r="26" spans="16:16" x14ac:dyDescent="0.25">
      <c r="P26" s="730"/>
    </row>
    <row r="27" spans="16:16" x14ac:dyDescent="0.25">
      <c r="P27" s="730"/>
    </row>
    <row r="28" spans="16:16" x14ac:dyDescent="0.25">
      <c r="P28" s="730"/>
    </row>
    <row r="29" spans="16:16" x14ac:dyDescent="0.25">
      <c r="P29" s="730"/>
    </row>
    <row r="30" spans="16:16" x14ac:dyDescent="0.25">
      <c r="P30" s="730"/>
    </row>
    <row r="31" spans="16:16" x14ac:dyDescent="0.25">
      <c r="P31" s="730"/>
    </row>
    <row r="32" spans="16:16" ht="2.25" customHeight="1" x14ac:dyDescent="0.25"/>
    <row r="33" spans="4:15" ht="101.25" customHeight="1" x14ac:dyDescent="0.25">
      <c r="D33" s="731" t="s">
        <v>3160</v>
      </c>
      <c r="E33" s="731"/>
      <c r="F33" s="731"/>
      <c r="G33" s="731"/>
      <c r="H33" s="731"/>
      <c r="I33" s="731"/>
      <c r="J33" s="731"/>
      <c r="K33" s="731"/>
      <c r="L33" s="731"/>
      <c r="M33" s="731"/>
      <c r="N33" s="731"/>
      <c r="O33" s="731"/>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7">
      <selection activeCell="D1" sqref="D1"/>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mergeCells count="3">
    <mergeCell ref="D3:O3"/>
    <mergeCell ref="P4:P31"/>
    <mergeCell ref="D33:O33"/>
  </mergeCells>
  <dataValidations disablePrompts="1"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X398"/>
  <sheetViews>
    <sheetView workbookViewId="0">
      <selection activeCell="A7" sqref="A7"/>
    </sheetView>
  </sheetViews>
  <sheetFormatPr defaultRowHeight="15" x14ac:dyDescent="0.25"/>
  <cols>
    <col min="1" max="1" width="15.85546875" style="3" customWidth="1"/>
    <col min="2" max="7" width="10.7109375" style="3" customWidth="1"/>
    <col min="8" max="8" width="9.140625" style="3"/>
    <col min="9" max="16" width="16.7109375" style="3" customWidth="1"/>
    <col min="17" max="22" width="12.7109375" style="3" customWidth="1"/>
    <col min="23" max="16384" width="9.140625" style="3"/>
  </cols>
  <sheetData>
    <row r="1" spans="1:24" s="74" customFormat="1" x14ac:dyDescent="0.25">
      <c r="A1" s="74" t="s">
        <v>1378</v>
      </c>
      <c r="B1" s="74" t="s">
        <v>1360</v>
      </c>
      <c r="C1" s="74" t="s">
        <v>1375</v>
      </c>
      <c r="D1" s="74" t="s">
        <v>1361</v>
      </c>
      <c r="E1" s="74" t="s">
        <v>1362</v>
      </c>
      <c r="F1" s="74" t="s">
        <v>1376</v>
      </c>
      <c r="G1" s="74" t="s">
        <v>1371</v>
      </c>
      <c r="I1" s="77" t="s">
        <v>1374</v>
      </c>
      <c r="J1" s="78"/>
      <c r="K1" s="78"/>
      <c r="L1" s="78"/>
      <c r="M1" s="78"/>
      <c r="N1" s="78"/>
    </row>
    <row r="2" spans="1:24" s="37" customFormat="1" x14ac:dyDescent="0.25">
      <c r="A2" s="75"/>
      <c r="B2" s="74" t="str">
        <f>B1</f>
        <v>Median</v>
      </c>
      <c r="C2" s="74"/>
      <c r="D2" s="74"/>
      <c r="E2" s="74"/>
      <c r="F2" s="74"/>
      <c r="G2" s="74" t="str">
        <f>G1</f>
        <v>Mean</v>
      </c>
      <c r="I2" s="77" t="s">
        <v>1373</v>
      </c>
      <c r="J2" s="79"/>
      <c r="K2" s="79"/>
      <c r="L2" s="79"/>
      <c r="M2" s="79"/>
      <c r="N2" s="79"/>
    </row>
    <row r="3" spans="1:24" x14ac:dyDescent="0.25">
      <c r="A3" s="74" t="s">
        <v>3351</v>
      </c>
      <c r="B3" s="273">
        <f>MEDIAN($K$10:$K$398)</f>
        <v>13347</v>
      </c>
      <c r="C3" s="273">
        <f>QUARTILE($K$10:$K$398,1)</f>
        <v>9585</v>
      </c>
      <c r="D3" s="273">
        <f>MIN($K$10:$K$398)</f>
        <v>2000</v>
      </c>
      <c r="E3" s="273">
        <f>MAX($K$10:$K$398)</f>
        <v>68091</v>
      </c>
      <c r="F3" s="273">
        <f>QUARTILE($K$10:$K$398,3)</f>
        <v>20546.5</v>
      </c>
      <c r="G3" s="273">
        <f>AVERAGE($K$10:$K$398)</f>
        <v>16055.952351421185</v>
      </c>
    </row>
    <row r="4" spans="1:24" x14ac:dyDescent="0.25">
      <c r="A4" s="74" t="s">
        <v>3329</v>
      </c>
      <c r="B4" s="273">
        <f>MEDIAN($S$10:$S$115)</f>
        <v>10762</v>
      </c>
      <c r="C4" s="273">
        <f>QUARTILE($S$10:$S$115,1)</f>
        <v>5728.75</v>
      </c>
      <c r="D4" s="273">
        <f>MIN($S$10:$S$115)</f>
        <v>2000</v>
      </c>
      <c r="E4" s="273">
        <f>MAX($S$10:$S$115)</f>
        <v>58111.02</v>
      </c>
      <c r="F4" s="273">
        <f>QUARTILE($S$10:$S$115,3)</f>
        <v>18256.75</v>
      </c>
      <c r="G4" s="273">
        <f>AVERAGE($S$10:$S$115)</f>
        <v>13375.418773584908</v>
      </c>
    </row>
    <row r="5" spans="1:24" x14ac:dyDescent="0.25">
      <c r="A5" s="74" t="s">
        <v>3330</v>
      </c>
      <c r="B5" s="273">
        <f>MEDIAN($S$116:$S$130)</f>
        <v>2910</v>
      </c>
      <c r="C5" s="273">
        <f>QUARTILE($S$116:$S$130,1)</f>
        <v>1850</v>
      </c>
      <c r="D5" s="273">
        <f>MIN($S$116:$S$130)</f>
        <v>1700</v>
      </c>
      <c r="E5" s="273">
        <f>MAX($S$116:$S$130)</f>
        <v>10750</v>
      </c>
      <c r="F5" s="273">
        <f>QUARTILE($S$116:$S$130,3)</f>
        <v>4246</v>
      </c>
      <c r="G5" s="273">
        <f>AVERAGE($S$116:$S$130)</f>
        <v>3462.8</v>
      </c>
    </row>
    <row r="7" spans="1:24" ht="35.1" customHeight="1" x14ac:dyDescent="0.25">
      <c r="B7" s="732" t="s">
        <v>1372</v>
      </c>
      <c r="C7" s="732"/>
      <c r="D7" s="732"/>
      <c r="E7" s="732"/>
      <c r="F7" s="732"/>
      <c r="G7" s="732"/>
    </row>
    <row r="8" spans="1:24" ht="35.1" customHeight="1" x14ac:dyDescent="0.25">
      <c r="B8" s="732" t="s">
        <v>1377</v>
      </c>
      <c r="C8" s="732"/>
      <c r="D8" s="732"/>
      <c r="E8" s="732"/>
      <c r="F8" s="732"/>
      <c r="G8" s="732"/>
      <c r="K8" s="3">
        <v>1</v>
      </c>
      <c r="O8" s="3">
        <v>1</v>
      </c>
    </row>
    <row r="9" spans="1:24" x14ac:dyDescent="0.25">
      <c r="A9" s="260" t="s">
        <v>1492</v>
      </c>
      <c r="B9" s="260" t="s">
        <v>1414</v>
      </c>
      <c r="C9" s="260" t="s">
        <v>1497</v>
      </c>
      <c r="D9" s="260" t="s">
        <v>2215</v>
      </c>
      <c r="E9" s="260" t="s">
        <v>1585</v>
      </c>
      <c r="I9" s="701" t="s">
        <v>1895</v>
      </c>
      <c r="J9" s="701" t="s">
        <v>2221</v>
      </c>
      <c r="K9" s="701" t="s">
        <v>2222</v>
      </c>
      <c r="L9" s="701" t="s">
        <v>176</v>
      </c>
      <c r="M9" s="701" t="s">
        <v>191</v>
      </c>
      <c r="Q9" s="305" t="s">
        <v>1895</v>
      </c>
      <c r="R9" s="305" t="s">
        <v>2224</v>
      </c>
      <c r="S9" s="305" t="s">
        <v>2218</v>
      </c>
      <c r="T9" s="305" t="s">
        <v>2225</v>
      </c>
      <c r="U9" s="305" t="s">
        <v>2390</v>
      </c>
      <c r="V9" s="305" t="s">
        <v>2391</v>
      </c>
      <c r="W9" s="274"/>
      <c r="X9" s="274"/>
    </row>
    <row r="10" spans="1:24" ht="45" customHeight="1" x14ac:dyDescent="0.25">
      <c r="A10" s="263" t="s">
        <v>58</v>
      </c>
      <c r="B10" s="263" t="s">
        <v>1482</v>
      </c>
      <c r="C10" s="264"/>
      <c r="D10" s="264">
        <v>1</v>
      </c>
      <c r="E10" s="112">
        <v>4055</v>
      </c>
      <c r="I10" s="703" t="s">
        <v>58</v>
      </c>
      <c r="J10" s="703" t="s">
        <v>1422</v>
      </c>
      <c r="K10" s="712">
        <v>25400</v>
      </c>
      <c r="L10" s="702">
        <v>2500</v>
      </c>
      <c r="M10" s="703" t="s">
        <v>114</v>
      </c>
      <c r="Q10" s="306" t="s">
        <v>59</v>
      </c>
      <c r="R10" s="306" t="s">
        <v>1422</v>
      </c>
      <c r="S10" s="307">
        <v>6197</v>
      </c>
      <c r="T10" s="308">
        <v>1250</v>
      </c>
      <c r="U10" s="306" t="s">
        <v>2392</v>
      </c>
      <c r="V10" s="309">
        <v>40708</v>
      </c>
      <c r="W10" s="272"/>
      <c r="X10" s="275"/>
    </row>
    <row r="11" spans="1:24" ht="45" customHeight="1" x14ac:dyDescent="0.25">
      <c r="A11" s="263" t="s">
        <v>58</v>
      </c>
      <c r="B11" s="263" t="s">
        <v>1450</v>
      </c>
      <c r="C11" s="264"/>
      <c r="D11" s="264">
        <v>1</v>
      </c>
      <c r="E11" s="112">
        <v>5500</v>
      </c>
      <c r="I11" s="703" t="s">
        <v>58</v>
      </c>
      <c r="J11" s="703" t="s">
        <v>1422</v>
      </c>
      <c r="K11" s="712">
        <v>21320</v>
      </c>
      <c r="L11" s="702">
        <v>1500</v>
      </c>
      <c r="M11" s="703" t="s">
        <v>114</v>
      </c>
      <c r="Q11" s="306" t="s">
        <v>59</v>
      </c>
      <c r="R11" s="306" t="s">
        <v>1422</v>
      </c>
      <c r="S11" s="307">
        <v>4249.82</v>
      </c>
      <c r="T11" s="308">
        <v>1500</v>
      </c>
      <c r="U11" s="306" t="s">
        <v>2392</v>
      </c>
      <c r="V11" s="309">
        <v>40751</v>
      </c>
      <c r="W11" s="272"/>
      <c r="X11" s="275"/>
    </row>
    <row r="12" spans="1:24" ht="45" customHeight="1" x14ac:dyDescent="0.25">
      <c r="A12" s="263" t="s">
        <v>58</v>
      </c>
      <c r="B12" s="263" t="s">
        <v>1450</v>
      </c>
      <c r="C12" s="264"/>
      <c r="D12" s="264">
        <v>1</v>
      </c>
      <c r="E12" s="112">
        <v>5500</v>
      </c>
      <c r="I12" s="703" t="s">
        <v>58</v>
      </c>
      <c r="J12" s="703" t="s">
        <v>1422</v>
      </c>
      <c r="K12" s="712">
        <v>9370</v>
      </c>
      <c r="L12" s="702">
        <v>2500</v>
      </c>
      <c r="M12" s="703" t="s">
        <v>114</v>
      </c>
      <c r="Q12" s="306" t="s">
        <v>59</v>
      </c>
      <c r="R12" s="306" t="s">
        <v>1422</v>
      </c>
      <c r="S12" s="307">
        <v>24197</v>
      </c>
      <c r="T12" s="308">
        <v>4000</v>
      </c>
      <c r="U12" s="306" t="s">
        <v>2392</v>
      </c>
      <c r="V12" s="309">
        <v>40749</v>
      </c>
      <c r="W12" s="272"/>
      <c r="X12" s="275"/>
    </row>
    <row r="13" spans="1:24" ht="45" customHeight="1" x14ac:dyDescent="0.25">
      <c r="A13" s="263" t="s">
        <v>58</v>
      </c>
      <c r="B13" s="263" t="s">
        <v>1465</v>
      </c>
      <c r="C13" s="264"/>
      <c r="D13" s="264">
        <v>1</v>
      </c>
      <c r="E13" s="112">
        <v>6200</v>
      </c>
      <c r="I13" s="703" t="s">
        <v>58</v>
      </c>
      <c r="J13" s="703" t="s">
        <v>1422</v>
      </c>
      <c r="K13" s="712">
        <v>30636</v>
      </c>
      <c r="L13" s="702">
        <v>2000</v>
      </c>
      <c r="M13" s="703" t="s">
        <v>114</v>
      </c>
      <c r="Q13" s="306" t="s">
        <v>59</v>
      </c>
      <c r="R13" s="306" t="s">
        <v>1422</v>
      </c>
      <c r="S13" s="307">
        <v>19358</v>
      </c>
      <c r="T13" s="308">
        <v>3500</v>
      </c>
      <c r="U13" s="306" t="s">
        <v>2392</v>
      </c>
      <c r="V13" s="309">
        <v>40737</v>
      </c>
      <c r="W13" s="272"/>
      <c r="X13" s="275"/>
    </row>
    <row r="14" spans="1:24" ht="45" customHeight="1" x14ac:dyDescent="0.25">
      <c r="A14" s="263" t="s">
        <v>58</v>
      </c>
      <c r="B14" s="263" t="s">
        <v>1446</v>
      </c>
      <c r="C14" s="264"/>
      <c r="D14" s="264">
        <v>1</v>
      </c>
      <c r="E14" s="112">
        <v>19497</v>
      </c>
      <c r="I14" s="703" t="s">
        <v>58</v>
      </c>
      <c r="J14" s="703" t="s">
        <v>1422</v>
      </c>
      <c r="K14" s="712">
        <v>5180.01</v>
      </c>
      <c r="L14" s="702">
        <v>4000</v>
      </c>
      <c r="M14" s="703" t="s">
        <v>114</v>
      </c>
      <c r="Q14" s="306" t="s">
        <v>59</v>
      </c>
      <c r="R14" s="306" t="s">
        <v>1422</v>
      </c>
      <c r="S14" s="307">
        <v>24504</v>
      </c>
      <c r="T14" s="308">
        <v>4000</v>
      </c>
      <c r="U14" s="306" t="s">
        <v>2392</v>
      </c>
      <c r="V14" s="309">
        <v>40736</v>
      </c>
      <c r="W14" s="272"/>
      <c r="X14" s="275"/>
    </row>
    <row r="15" spans="1:24" ht="45" customHeight="1" x14ac:dyDescent="0.25">
      <c r="A15" s="263" t="s">
        <v>58</v>
      </c>
      <c r="B15" s="263" t="s">
        <v>1468</v>
      </c>
      <c r="C15" s="264"/>
      <c r="D15" s="264">
        <v>1</v>
      </c>
      <c r="E15" s="112">
        <v>6100</v>
      </c>
      <c r="I15" s="703" t="s">
        <v>58</v>
      </c>
      <c r="J15" s="703" t="s">
        <v>1422</v>
      </c>
      <c r="K15" s="712">
        <v>10827</v>
      </c>
      <c r="L15" s="702">
        <v>4000</v>
      </c>
      <c r="M15" s="703" t="s">
        <v>114</v>
      </c>
      <c r="Q15" s="306" t="s">
        <v>59</v>
      </c>
      <c r="R15" s="306" t="s">
        <v>1422</v>
      </c>
      <c r="S15" s="307">
        <v>21405</v>
      </c>
      <c r="T15" s="308">
        <v>3500</v>
      </c>
      <c r="U15" s="306" t="s">
        <v>2392</v>
      </c>
      <c r="V15" s="309">
        <v>40736</v>
      </c>
      <c r="W15" s="272"/>
      <c r="X15" s="275"/>
    </row>
    <row r="16" spans="1:24" ht="45" customHeight="1" x14ac:dyDescent="0.25">
      <c r="A16" s="263" t="s">
        <v>59</v>
      </c>
      <c r="B16" s="262">
        <v>1</v>
      </c>
      <c r="C16" s="261" t="s">
        <v>1432</v>
      </c>
      <c r="D16" s="261"/>
      <c r="E16" s="265">
        <v>9763</v>
      </c>
      <c r="I16" s="703" t="s">
        <v>58</v>
      </c>
      <c r="J16" s="703" t="s">
        <v>1422</v>
      </c>
      <c r="K16" s="712">
        <v>7700</v>
      </c>
      <c r="L16" s="702">
        <v>2000</v>
      </c>
      <c r="M16" s="703" t="s">
        <v>114</v>
      </c>
      <c r="Q16" s="306" t="s">
        <v>59</v>
      </c>
      <c r="R16" s="306" t="s">
        <v>1422</v>
      </c>
      <c r="S16" s="307">
        <v>11636</v>
      </c>
      <c r="T16" s="308">
        <v>3500</v>
      </c>
      <c r="U16" s="306" t="s">
        <v>2392</v>
      </c>
      <c r="V16" s="309">
        <v>40735</v>
      </c>
      <c r="W16" s="272"/>
      <c r="X16" s="275"/>
    </row>
    <row r="17" spans="1:24" ht="45" customHeight="1" x14ac:dyDescent="0.25">
      <c r="A17" s="263" t="s">
        <v>59</v>
      </c>
      <c r="B17" s="262">
        <v>1</v>
      </c>
      <c r="C17" s="261" t="s">
        <v>1430</v>
      </c>
      <c r="D17" s="261"/>
      <c r="E17" s="276">
        <v>9441</v>
      </c>
      <c r="I17" s="703" t="s">
        <v>58</v>
      </c>
      <c r="J17" s="703" t="s">
        <v>1422</v>
      </c>
      <c r="K17" s="712">
        <v>37776</v>
      </c>
      <c r="L17" s="702">
        <v>2500</v>
      </c>
      <c r="M17" s="703" t="s">
        <v>114</v>
      </c>
      <c r="Q17" s="306" t="s">
        <v>59</v>
      </c>
      <c r="R17" s="306" t="s">
        <v>1422</v>
      </c>
      <c r="S17" s="307">
        <v>9763</v>
      </c>
      <c r="T17" s="308">
        <v>1250</v>
      </c>
      <c r="U17" s="306" t="s">
        <v>2392</v>
      </c>
      <c r="V17" s="309">
        <v>40738</v>
      </c>
      <c r="W17" s="272"/>
      <c r="X17" s="275"/>
    </row>
    <row r="18" spans="1:24" ht="45" customHeight="1" x14ac:dyDescent="0.25">
      <c r="E18" s="53">
        <f>AVERAGE(E10:E17)</f>
        <v>8257</v>
      </c>
      <c r="I18" s="703" t="s">
        <v>58</v>
      </c>
      <c r="J18" s="703" t="s">
        <v>1422</v>
      </c>
      <c r="K18" s="712">
        <v>7995</v>
      </c>
      <c r="L18" s="702">
        <v>2500</v>
      </c>
      <c r="M18" s="703" t="s">
        <v>114</v>
      </c>
      <c r="Q18" s="306" t="s">
        <v>59</v>
      </c>
      <c r="R18" s="306" t="s">
        <v>1422</v>
      </c>
      <c r="S18" s="307">
        <v>11845</v>
      </c>
      <c r="T18" s="308">
        <v>2000</v>
      </c>
      <c r="U18" s="306" t="s">
        <v>2392</v>
      </c>
      <c r="V18" s="309">
        <v>40736</v>
      </c>
      <c r="W18" s="272"/>
      <c r="X18" s="275"/>
    </row>
    <row r="19" spans="1:24" ht="45" customHeight="1" x14ac:dyDescent="0.25">
      <c r="I19" s="703" t="s">
        <v>58</v>
      </c>
      <c r="J19" s="703" t="s">
        <v>1422</v>
      </c>
      <c r="K19" s="712">
        <v>15733</v>
      </c>
      <c r="L19" s="702">
        <v>2500</v>
      </c>
      <c r="M19" s="703" t="s">
        <v>114</v>
      </c>
      <c r="Q19" s="306" t="s">
        <v>59</v>
      </c>
      <c r="R19" s="306" t="s">
        <v>1422</v>
      </c>
      <c r="S19" s="307">
        <v>58111.02</v>
      </c>
      <c r="T19" s="308">
        <v>3000</v>
      </c>
      <c r="U19" s="306" t="s">
        <v>2392</v>
      </c>
      <c r="V19" s="309">
        <v>40718</v>
      </c>
      <c r="W19" s="272"/>
      <c r="X19" s="275"/>
    </row>
    <row r="20" spans="1:24" ht="45" customHeight="1" x14ac:dyDescent="0.25">
      <c r="I20" s="703" t="s">
        <v>58</v>
      </c>
      <c r="J20" s="703" t="s">
        <v>1422</v>
      </c>
      <c r="K20" s="712">
        <v>14597</v>
      </c>
      <c r="L20" s="702">
        <v>3000</v>
      </c>
      <c r="M20" s="703" t="s">
        <v>114</v>
      </c>
      <c r="Q20" s="306" t="s">
        <v>59</v>
      </c>
      <c r="R20" s="306" t="s">
        <v>1422</v>
      </c>
      <c r="S20" s="307">
        <v>4522</v>
      </c>
      <c r="T20" s="308">
        <v>1250</v>
      </c>
      <c r="U20" s="306" t="s">
        <v>2392</v>
      </c>
      <c r="V20" s="309">
        <v>40710</v>
      </c>
      <c r="W20" s="272"/>
      <c r="X20" s="275"/>
    </row>
    <row r="21" spans="1:24" ht="45" customHeight="1" x14ac:dyDescent="0.25">
      <c r="I21" s="703" t="s">
        <v>58</v>
      </c>
      <c r="J21" s="703" t="s">
        <v>1422</v>
      </c>
      <c r="K21" s="712">
        <v>13304</v>
      </c>
      <c r="L21" s="702">
        <v>3500</v>
      </c>
      <c r="M21" s="703" t="s">
        <v>114</v>
      </c>
      <c r="Q21" s="306" t="s">
        <v>59</v>
      </c>
      <c r="R21" s="306" t="s">
        <v>1422</v>
      </c>
      <c r="S21" s="307">
        <v>18037</v>
      </c>
      <c r="T21" s="308">
        <v>4000</v>
      </c>
      <c r="U21" s="306" t="s">
        <v>2392</v>
      </c>
      <c r="V21" s="309">
        <v>40673</v>
      </c>
      <c r="W21" s="272"/>
      <c r="X21" s="275"/>
    </row>
    <row r="22" spans="1:24" ht="45" customHeight="1" x14ac:dyDescent="0.25">
      <c r="I22" s="703" t="s">
        <v>58</v>
      </c>
      <c r="J22" s="703" t="s">
        <v>1422</v>
      </c>
      <c r="K22" s="712">
        <v>15030</v>
      </c>
      <c r="L22" s="702">
        <v>4000</v>
      </c>
      <c r="M22" s="703" t="s">
        <v>114</v>
      </c>
      <c r="Q22" s="306" t="s">
        <v>59</v>
      </c>
      <c r="R22" s="306" t="s">
        <v>1422</v>
      </c>
      <c r="S22" s="307">
        <v>13616</v>
      </c>
      <c r="T22" s="308">
        <v>2500</v>
      </c>
      <c r="U22" s="306" t="s">
        <v>2392</v>
      </c>
      <c r="V22" s="309">
        <v>40708</v>
      </c>
      <c r="W22" s="272"/>
      <c r="X22" s="275"/>
    </row>
    <row r="23" spans="1:24" ht="45" customHeight="1" x14ac:dyDescent="0.25">
      <c r="I23" s="703" t="s">
        <v>58</v>
      </c>
      <c r="J23" s="703" t="s">
        <v>1422</v>
      </c>
      <c r="K23" s="712">
        <v>8354</v>
      </c>
      <c r="L23" s="702">
        <v>3000</v>
      </c>
      <c r="M23" s="703" t="s">
        <v>114</v>
      </c>
      <c r="Q23" s="306" t="s">
        <v>59</v>
      </c>
      <c r="R23" s="306" t="s">
        <v>1422</v>
      </c>
      <c r="S23" s="307">
        <v>14257</v>
      </c>
      <c r="T23" s="308">
        <v>2000</v>
      </c>
      <c r="U23" s="306" t="s">
        <v>2392</v>
      </c>
      <c r="V23" s="309">
        <v>40764</v>
      </c>
      <c r="W23" s="272"/>
      <c r="X23" s="275"/>
    </row>
    <row r="24" spans="1:24" ht="45" customHeight="1" x14ac:dyDescent="0.25">
      <c r="I24" s="703" t="s">
        <v>58</v>
      </c>
      <c r="J24" s="703" t="s">
        <v>1422</v>
      </c>
      <c r="K24" s="712">
        <v>4093</v>
      </c>
      <c r="L24" s="702">
        <v>1500</v>
      </c>
      <c r="M24" s="703" t="s">
        <v>114</v>
      </c>
      <c r="Q24" s="306" t="s">
        <v>59</v>
      </c>
      <c r="R24" s="306" t="s">
        <v>1422</v>
      </c>
      <c r="S24" s="307">
        <v>6235</v>
      </c>
      <c r="T24" s="308">
        <v>2500</v>
      </c>
      <c r="U24" s="306" t="s">
        <v>2392</v>
      </c>
      <c r="V24" s="309">
        <v>40710</v>
      </c>
      <c r="W24" s="272"/>
      <c r="X24" s="275"/>
    </row>
    <row r="25" spans="1:24" ht="45" customHeight="1" x14ac:dyDescent="0.25">
      <c r="I25" s="703" t="s">
        <v>58</v>
      </c>
      <c r="J25" s="703" t="s">
        <v>1422</v>
      </c>
      <c r="K25" s="712">
        <v>10388</v>
      </c>
      <c r="L25" s="702">
        <v>2000</v>
      </c>
      <c r="M25" s="703" t="s">
        <v>114</v>
      </c>
      <c r="Q25" s="306" t="s">
        <v>59</v>
      </c>
      <c r="R25" s="306" t="s">
        <v>1422</v>
      </c>
      <c r="S25" s="307">
        <v>12176.93</v>
      </c>
      <c r="T25" s="308">
        <v>2500</v>
      </c>
      <c r="U25" s="306" t="s">
        <v>2392</v>
      </c>
      <c r="V25" s="309">
        <v>40700</v>
      </c>
      <c r="W25" s="272"/>
      <c r="X25" s="275"/>
    </row>
    <row r="26" spans="1:24" ht="45" customHeight="1" x14ac:dyDescent="0.25">
      <c r="I26" s="703" t="s">
        <v>58</v>
      </c>
      <c r="J26" s="703" t="s">
        <v>1422</v>
      </c>
      <c r="K26" s="712">
        <v>21000</v>
      </c>
      <c r="L26" s="702">
        <v>2500</v>
      </c>
      <c r="M26" s="703" t="s">
        <v>114</v>
      </c>
      <c r="Q26" s="306" t="s">
        <v>59</v>
      </c>
      <c r="R26" s="306" t="s">
        <v>1422</v>
      </c>
      <c r="S26" s="307">
        <v>10700</v>
      </c>
      <c r="T26" s="308">
        <v>2500</v>
      </c>
      <c r="U26" s="306" t="s">
        <v>2392</v>
      </c>
      <c r="V26" s="309">
        <v>40703</v>
      </c>
      <c r="X26" s="270"/>
    </row>
    <row r="27" spans="1:24" ht="45" customHeight="1" x14ac:dyDescent="0.25">
      <c r="I27" s="703" t="s">
        <v>58</v>
      </c>
      <c r="J27" s="703" t="s">
        <v>1422</v>
      </c>
      <c r="K27" s="712">
        <v>9394</v>
      </c>
      <c r="L27" s="702">
        <v>3000</v>
      </c>
      <c r="M27" s="703" t="s">
        <v>114</v>
      </c>
      <c r="Q27" s="306" t="s">
        <v>59</v>
      </c>
      <c r="R27" s="306" t="s">
        <v>1422</v>
      </c>
      <c r="S27" s="307">
        <v>16482</v>
      </c>
      <c r="T27" s="308">
        <v>3000</v>
      </c>
      <c r="U27" s="306" t="s">
        <v>2392</v>
      </c>
      <c r="V27" s="309">
        <v>40710</v>
      </c>
      <c r="X27" s="270"/>
    </row>
    <row r="28" spans="1:24" ht="45" customHeight="1" x14ac:dyDescent="0.25">
      <c r="I28" s="703" t="s">
        <v>58</v>
      </c>
      <c r="J28" s="703" t="s">
        <v>1422</v>
      </c>
      <c r="K28" s="712">
        <v>21460</v>
      </c>
      <c r="L28" s="702">
        <v>2500</v>
      </c>
      <c r="M28" s="703" t="s">
        <v>114</v>
      </c>
      <c r="Q28" s="306" t="s">
        <v>59</v>
      </c>
      <c r="R28" s="306" t="s">
        <v>1422</v>
      </c>
      <c r="S28" s="307">
        <v>25333</v>
      </c>
      <c r="T28" s="308">
        <v>3000</v>
      </c>
      <c r="U28" s="306" t="s">
        <v>2392</v>
      </c>
      <c r="V28" s="309">
        <v>40696</v>
      </c>
      <c r="X28" s="270"/>
    </row>
    <row r="29" spans="1:24" ht="45" customHeight="1" x14ac:dyDescent="0.25">
      <c r="I29" s="703" t="s">
        <v>58</v>
      </c>
      <c r="J29" s="703" t="s">
        <v>1422</v>
      </c>
      <c r="K29" s="712">
        <v>17837</v>
      </c>
      <c r="L29" s="702">
        <v>3000</v>
      </c>
      <c r="M29" s="703" t="s">
        <v>114</v>
      </c>
      <c r="Q29" s="306" t="s">
        <v>59</v>
      </c>
      <c r="R29" s="306" t="s">
        <v>1422</v>
      </c>
      <c r="S29" s="307">
        <v>15000</v>
      </c>
      <c r="T29" s="308">
        <v>4000</v>
      </c>
      <c r="U29" s="306" t="s">
        <v>2392</v>
      </c>
      <c r="V29" s="309">
        <v>40528</v>
      </c>
      <c r="X29" s="270"/>
    </row>
    <row r="30" spans="1:24" ht="45" customHeight="1" x14ac:dyDescent="0.25">
      <c r="I30" s="703" t="s">
        <v>58</v>
      </c>
      <c r="J30" s="703" t="s">
        <v>1422</v>
      </c>
      <c r="K30" s="712">
        <v>11443</v>
      </c>
      <c r="L30" s="702">
        <v>2000</v>
      </c>
      <c r="M30" s="703" t="s">
        <v>114</v>
      </c>
      <c r="Q30" s="306" t="s">
        <v>59</v>
      </c>
      <c r="R30" s="306" t="s">
        <v>1422</v>
      </c>
      <c r="S30" s="307">
        <v>3283</v>
      </c>
      <c r="T30" s="308">
        <v>1500</v>
      </c>
      <c r="U30" s="306" t="s">
        <v>2392</v>
      </c>
      <c r="V30" s="309">
        <v>40689</v>
      </c>
      <c r="X30" s="270"/>
    </row>
    <row r="31" spans="1:24" ht="45" customHeight="1" x14ac:dyDescent="0.25">
      <c r="I31" s="703" t="s">
        <v>58</v>
      </c>
      <c r="J31" s="703" t="s">
        <v>1422</v>
      </c>
      <c r="K31" s="712">
        <v>23526</v>
      </c>
      <c r="L31" s="702">
        <v>3500</v>
      </c>
      <c r="M31" s="703" t="s">
        <v>114</v>
      </c>
      <c r="Q31" s="306" t="s">
        <v>59</v>
      </c>
      <c r="R31" s="306" t="s">
        <v>1422</v>
      </c>
      <c r="S31" s="307">
        <v>9972</v>
      </c>
      <c r="T31" s="308">
        <v>2000</v>
      </c>
      <c r="U31" s="306" t="s">
        <v>2392</v>
      </c>
      <c r="V31" s="309">
        <v>40701</v>
      </c>
      <c r="X31" s="270"/>
    </row>
    <row r="32" spans="1:24" ht="45" customHeight="1" x14ac:dyDescent="0.25">
      <c r="I32" s="703" t="s">
        <v>58</v>
      </c>
      <c r="J32" s="703" t="s">
        <v>1422</v>
      </c>
      <c r="K32" s="712">
        <v>12650</v>
      </c>
      <c r="L32" s="702">
        <v>2000</v>
      </c>
      <c r="M32" s="703" t="s">
        <v>114</v>
      </c>
      <c r="Q32" s="306" t="s">
        <v>59</v>
      </c>
      <c r="R32" s="306" t="s">
        <v>1422</v>
      </c>
      <c r="S32" s="307">
        <v>3818.08</v>
      </c>
      <c r="T32" s="308">
        <v>1250</v>
      </c>
      <c r="U32" s="306" t="s">
        <v>2392</v>
      </c>
      <c r="V32" s="309">
        <v>40676</v>
      </c>
      <c r="X32" s="270"/>
    </row>
    <row r="33" spans="9:24" ht="45" customHeight="1" x14ac:dyDescent="0.25">
      <c r="I33" s="703" t="s">
        <v>58</v>
      </c>
      <c r="J33" s="703" t="s">
        <v>1422</v>
      </c>
      <c r="K33" s="712">
        <v>17236.009999999998</v>
      </c>
      <c r="L33" s="702">
        <v>3500</v>
      </c>
      <c r="M33" s="703" t="s">
        <v>114</v>
      </c>
      <c r="Q33" s="306" t="s">
        <v>59</v>
      </c>
      <c r="R33" s="306" t="s">
        <v>1422</v>
      </c>
      <c r="S33" s="307">
        <v>10824</v>
      </c>
      <c r="T33" s="308">
        <v>3500</v>
      </c>
      <c r="U33" s="306" t="s">
        <v>2392</v>
      </c>
      <c r="V33" s="309">
        <v>40674</v>
      </c>
      <c r="X33" s="270"/>
    </row>
    <row r="34" spans="9:24" ht="45" customHeight="1" x14ac:dyDescent="0.25">
      <c r="I34" s="703" t="s">
        <v>58</v>
      </c>
      <c r="J34" s="703" t="s">
        <v>1422</v>
      </c>
      <c r="K34" s="712">
        <v>19401</v>
      </c>
      <c r="L34" s="702">
        <v>3500</v>
      </c>
      <c r="M34" s="703" t="s">
        <v>114</v>
      </c>
      <c r="Q34" s="306" t="s">
        <v>59</v>
      </c>
      <c r="R34" s="306" t="s">
        <v>1422</v>
      </c>
      <c r="S34" s="307">
        <v>6248.82</v>
      </c>
      <c r="T34" s="308">
        <v>2000</v>
      </c>
      <c r="U34" s="306" t="s">
        <v>2392</v>
      </c>
      <c r="V34" s="309">
        <v>40675</v>
      </c>
      <c r="X34" s="270"/>
    </row>
    <row r="35" spans="9:24" ht="45" customHeight="1" x14ac:dyDescent="0.25">
      <c r="I35" s="703" t="s">
        <v>58</v>
      </c>
      <c r="J35" s="703" t="s">
        <v>1422</v>
      </c>
      <c r="K35" s="712">
        <v>13446</v>
      </c>
      <c r="L35" s="702">
        <v>4000</v>
      </c>
      <c r="M35" s="703" t="s">
        <v>114</v>
      </c>
      <c r="Q35" s="306" t="s">
        <v>59</v>
      </c>
      <c r="R35" s="306" t="s">
        <v>1422</v>
      </c>
      <c r="S35" s="307">
        <v>19105</v>
      </c>
      <c r="T35" s="308">
        <v>2500</v>
      </c>
      <c r="U35" s="306" t="s">
        <v>2392</v>
      </c>
      <c r="V35" s="309">
        <v>40709</v>
      </c>
      <c r="X35" s="270"/>
    </row>
    <row r="36" spans="9:24" ht="45" customHeight="1" x14ac:dyDescent="0.25">
      <c r="I36" s="703" t="s">
        <v>58</v>
      </c>
      <c r="J36" s="703" t="s">
        <v>1422</v>
      </c>
      <c r="K36" s="712">
        <v>10902</v>
      </c>
      <c r="L36" s="702">
        <v>2500</v>
      </c>
      <c r="M36" s="703" t="s">
        <v>114</v>
      </c>
      <c r="Q36" s="306" t="s">
        <v>59</v>
      </c>
      <c r="R36" s="306" t="s">
        <v>1422</v>
      </c>
      <c r="S36" s="307">
        <v>5749</v>
      </c>
      <c r="T36" s="308">
        <v>2500</v>
      </c>
      <c r="U36" s="306" t="s">
        <v>2392</v>
      </c>
      <c r="V36" s="309">
        <v>40781</v>
      </c>
      <c r="X36" s="270"/>
    </row>
    <row r="37" spans="9:24" ht="45" customHeight="1" x14ac:dyDescent="0.25">
      <c r="I37" s="703" t="s">
        <v>58</v>
      </c>
      <c r="J37" s="703" t="s">
        <v>1422</v>
      </c>
      <c r="K37" s="712">
        <v>11587</v>
      </c>
      <c r="L37" s="702">
        <v>3500</v>
      </c>
      <c r="M37" s="703" t="s">
        <v>114</v>
      </c>
      <c r="Q37" s="306" t="s">
        <v>59</v>
      </c>
      <c r="R37" s="306" t="s">
        <v>1422</v>
      </c>
      <c r="S37" s="307">
        <v>19520</v>
      </c>
      <c r="T37" s="308">
        <v>3500</v>
      </c>
      <c r="U37" s="306" t="s">
        <v>2392</v>
      </c>
      <c r="V37" s="309">
        <v>40835</v>
      </c>
      <c r="X37" s="270"/>
    </row>
    <row r="38" spans="9:24" ht="45" customHeight="1" x14ac:dyDescent="0.25">
      <c r="I38" s="703" t="s">
        <v>58</v>
      </c>
      <c r="J38" s="703" t="s">
        <v>1422</v>
      </c>
      <c r="K38" s="712">
        <v>11618</v>
      </c>
      <c r="L38" s="702">
        <v>2500</v>
      </c>
      <c r="M38" s="703" t="s">
        <v>114</v>
      </c>
      <c r="Q38" s="306" t="s">
        <v>59</v>
      </c>
      <c r="R38" s="306" t="s">
        <v>1422</v>
      </c>
      <c r="S38" s="307">
        <v>19731</v>
      </c>
      <c r="T38" s="308">
        <v>3000</v>
      </c>
      <c r="U38" s="306" t="s">
        <v>2392</v>
      </c>
      <c r="V38" s="309">
        <v>40827</v>
      </c>
      <c r="X38" s="270"/>
    </row>
    <row r="39" spans="9:24" ht="45" customHeight="1" x14ac:dyDescent="0.25">
      <c r="I39" s="703" t="s">
        <v>58</v>
      </c>
      <c r="J39" s="703" t="s">
        <v>1422</v>
      </c>
      <c r="K39" s="712">
        <v>31604</v>
      </c>
      <c r="L39" s="702">
        <v>3500</v>
      </c>
      <c r="M39" s="703" t="s">
        <v>114</v>
      </c>
      <c r="Q39" s="306" t="s">
        <v>59</v>
      </c>
      <c r="R39" s="306" t="s">
        <v>1422</v>
      </c>
      <c r="S39" s="307">
        <v>17148</v>
      </c>
      <c r="T39" s="308">
        <v>2500</v>
      </c>
      <c r="U39" s="306" t="s">
        <v>2392</v>
      </c>
      <c r="V39" s="309">
        <v>40829</v>
      </c>
      <c r="X39" s="270"/>
    </row>
    <row r="40" spans="9:24" ht="45" customHeight="1" x14ac:dyDescent="0.25">
      <c r="I40" s="703" t="s">
        <v>58</v>
      </c>
      <c r="J40" s="703" t="s">
        <v>1422</v>
      </c>
      <c r="K40" s="712">
        <v>19660</v>
      </c>
      <c r="L40" s="702">
        <v>2500</v>
      </c>
      <c r="M40" s="703" t="s">
        <v>114</v>
      </c>
      <c r="Q40" s="306" t="s">
        <v>59</v>
      </c>
      <c r="R40" s="306" t="s">
        <v>1422</v>
      </c>
      <c r="S40" s="307">
        <v>11069</v>
      </c>
      <c r="T40" s="308">
        <v>2000</v>
      </c>
      <c r="U40" s="306" t="s">
        <v>2392</v>
      </c>
      <c r="V40" s="309">
        <v>40809</v>
      </c>
      <c r="X40" s="270"/>
    </row>
    <row r="41" spans="9:24" ht="45" customHeight="1" x14ac:dyDescent="0.25">
      <c r="I41" s="703" t="s">
        <v>58</v>
      </c>
      <c r="J41" s="703" t="s">
        <v>1422</v>
      </c>
      <c r="K41" s="712">
        <v>21570</v>
      </c>
      <c r="L41" s="702">
        <v>4000</v>
      </c>
      <c r="M41" s="703" t="s">
        <v>114</v>
      </c>
      <c r="Q41" s="306" t="s">
        <v>59</v>
      </c>
      <c r="R41" s="306" t="s">
        <v>1422</v>
      </c>
      <c r="S41" s="307">
        <v>2000</v>
      </c>
      <c r="T41" s="308">
        <v>1500</v>
      </c>
      <c r="U41" s="306" t="s">
        <v>2392</v>
      </c>
      <c r="V41" s="309">
        <v>40795</v>
      </c>
      <c r="X41" s="270"/>
    </row>
    <row r="42" spans="9:24" ht="45" customHeight="1" x14ac:dyDescent="0.25">
      <c r="I42" s="703" t="s">
        <v>58</v>
      </c>
      <c r="J42" s="703" t="s">
        <v>1422</v>
      </c>
      <c r="K42" s="712">
        <v>14914</v>
      </c>
      <c r="L42" s="702">
        <v>4000</v>
      </c>
      <c r="M42" s="703" t="s">
        <v>114</v>
      </c>
      <c r="Q42" s="306" t="s">
        <v>59</v>
      </c>
      <c r="R42" s="306" t="s">
        <v>1422</v>
      </c>
      <c r="S42" s="307">
        <v>16850.91</v>
      </c>
      <c r="T42" s="308">
        <v>3500</v>
      </c>
      <c r="U42" s="306" t="s">
        <v>2392</v>
      </c>
      <c r="V42" s="309">
        <v>40794</v>
      </c>
      <c r="X42" s="270"/>
    </row>
    <row r="43" spans="9:24" ht="45" customHeight="1" x14ac:dyDescent="0.25">
      <c r="I43" s="703" t="s">
        <v>58</v>
      </c>
      <c r="J43" s="703" t="s">
        <v>1422</v>
      </c>
      <c r="K43" s="712">
        <v>8475</v>
      </c>
      <c r="L43" s="702">
        <v>3000</v>
      </c>
      <c r="M43" s="703" t="s">
        <v>114</v>
      </c>
      <c r="Q43" s="306" t="s">
        <v>59</v>
      </c>
      <c r="R43" s="306" t="s">
        <v>1422</v>
      </c>
      <c r="S43" s="307">
        <v>11091.18</v>
      </c>
      <c r="T43" s="308">
        <v>1500</v>
      </c>
      <c r="U43" s="306" t="s">
        <v>2392</v>
      </c>
      <c r="V43" s="309">
        <v>40794</v>
      </c>
      <c r="X43" s="270"/>
    </row>
    <row r="44" spans="9:24" ht="45" customHeight="1" x14ac:dyDescent="0.25">
      <c r="I44" s="703" t="s">
        <v>58</v>
      </c>
      <c r="J44" s="703" t="s">
        <v>1422</v>
      </c>
      <c r="K44" s="712">
        <v>13353</v>
      </c>
      <c r="L44" s="702">
        <v>2000</v>
      </c>
      <c r="M44" s="703" t="s">
        <v>114</v>
      </c>
      <c r="Q44" s="306" t="s">
        <v>59</v>
      </c>
      <c r="R44" s="306" t="s">
        <v>1422</v>
      </c>
      <c r="S44" s="307">
        <v>3995</v>
      </c>
      <c r="T44" s="308">
        <v>1500</v>
      </c>
      <c r="U44" s="306" t="s">
        <v>2392</v>
      </c>
      <c r="V44" s="309">
        <v>40793</v>
      </c>
      <c r="X44" s="270"/>
    </row>
    <row r="45" spans="9:24" ht="45" customHeight="1" x14ac:dyDescent="0.25">
      <c r="I45" s="703" t="s">
        <v>58</v>
      </c>
      <c r="J45" s="703" t="s">
        <v>1422</v>
      </c>
      <c r="K45" s="712">
        <v>9570</v>
      </c>
      <c r="L45" s="702">
        <v>2000</v>
      </c>
      <c r="M45" s="703" t="s">
        <v>114</v>
      </c>
      <c r="Q45" s="306" t="s">
        <v>59</v>
      </c>
      <c r="R45" s="306" t="s">
        <v>1422</v>
      </c>
      <c r="S45" s="307">
        <v>8895</v>
      </c>
      <c r="T45" s="308">
        <v>3000</v>
      </c>
      <c r="U45" s="306" t="s">
        <v>2392</v>
      </c>
      <c r="V45" s="309">
        <v>40786</v>
      </c>
      <c r="X45" s="270"/>
    </row>
    <row r="46" spans="9:24" ht="45" customHeight="1" x14ac:dyDescent="0.25">
      <c r="I46" s="703" t="s">
        <v>58</v>
      </c>
      <c r="J46" s="703" t="s">
        <v>1422</v>
      </c>
      <c r="K46" s="712">
        <v>9106</v>
      </c>
      <c r="L46" s="702">
        <v>3000</v>
      </c>
      <c r="M46" s="703" t="s">
        <v>114</v>
      </c>
      <c r="Q46" s="306" t="s">
        <v>59</v>
      </c>
      <c r="R46" s="306" t="s">
        <v>1422</v>
      </c>
      <c r="S46" s="307">
        <v>3197</v>
      </c>
      <c r="T46" s="308">
        <v>1250</v>
      </c>
      <c r="U46" s="306" t="s">
        <v>2392</v>
      </c>
      <c r="V46" s="309">
        <v>40784</v>
      </c>
      <c r="X46" s="270"/>
    </row>
    <row r="47" spans="9:24" ht="45" customHeight="1" x14ac:dyDescent="0.25">
      <c r="I47" s="703" t="s">
        <v>58</v>
      </c>
      <c r="J47" s="703" t="s">
        <v>1422</v>
      </c>
      <c r="K47" s="712">
        <v>12281</v>
      </c>
      <c r="L47" s="702">
        <v>3000</v>
      </c>
      <c r="M47" s="703" t="s">
        <v>114</v>
      </c>
      <c r="Q47" s="306" t="s">
        <v>59</v>
      </c>
      <c r="R47" s="306" t="s">
        <v>1422</v>
      </c>
      <c r="S47" s="307">
        <v>4167</v>
      </c>
      <c r="T47" s="308">
        <v>2000</v>
      </c>
      <c r="U47" s="306" t="s">
        <v>2392</v>
      </c>
      <c r="V47" s="309">
        <v>40787</v>
      </c>
      <c r="X47" s="270"/>
    </row>
    <row r="48" spans="9:24" ht="45" customHeight="1" x14ac:dyDescent="0.25">
      <c r="I48" s="703" t="s">
        <v>58</v>
      </c>
      <c r="J48" s="703" t="s">
        <v>1422</v>
      </c>
      <c r="K48" s="712">
        <v>22181</v>
      </c>
      <c r="L48" s="702">
        <v>3000</v>
      </c>
      <c r="M48" s="703" t="s">
        <v>114</v>
      </c>
      <c r="Q48" s="306" t="s">
        <v>59</v>
      </c>
      <c r="R48" s="306" t="s">
        <v>1422</v>
      </c>
      <c r="S48" s="307">
        <v>17827</v>
      </c>
      <c r="T48" s="308">
        <v>2500</v>
      </c>
      <c r="U48" s="306" t="s">
        <v>2392</v>
      </c>
      <c r="V48" s="309">
        <v>40753</v>
      </c>
      <c r="X48" s="270"/>
    </row>
    <row r="49" spans="9:24" ht="45" customHeight="1" x14ac:dyDescent="0.25">
      <c r="I49" s="703" t="s">
        <v>58</v>
      </c>
      <c r="J49" s="703" t="s">
        <v>1422</v>
      </c>
      <c r="K49" s="712">
        <v>20593</v>
      </c>
      <c r="L49" s="702">
        <v>2500</v>
      </c>
      <c r="M49" s="703" t="s">
        <v>114</v>
      </c>
      <c r="Q49" s="306" t="s">
        <v>59</v>
      </c>
      <c r="R49" s="306" t="s">
        <v>1422</v>
      </c>
      <c r="S49" s="307">
        <v>5895</v>
      </c>
      <c r="T49" s="308">
        <v>1500</v>
      </c>
      <c r="U49" s="306" t="s">
        <v>2392</v>
      </c>
      <c r="V49" s="309">
        <v>40781</v>
      </c>
      <c r="X49" s="270"/>
    </row>
    <row r="50" spans="9:24" ht="45" customHeight="1" x14ac:dyDescent="0.25">
      <c r="I50" s="703" t="s">
        <v>58</v>
      </c>
      <c r="J50" s="703" t="s">
        <v>1491</v>
      </c>
      <c r="K50" s="712">
        <v>2520</v>
      </c>
      <c r="L50" s="702">
        <v>1000</v>
      </c>
      <c r="M50" s="703" t="s">
        <v>114</v>
      </c>
      <c r="Q50" s="306" t="s">
        <v>59</v>
      </c>
      <c r="R50" s="306" t="s">
        <v>1422</v>
      </c>
      <c r="S50" s="307">
        <v>41000</v>
      </c>
      <c r="T50" s="308">
        <v>3500</v>
      </c>
      <c r="U50" s="306" t="s">
        <v>2392</v>
      </c>
      <c r="V50" s="309">
        <v>40757</v>
      </c>
      <c r="X50" s="270"/>
    </row>
    <row r="51" spans="9:24" ht="45" customHeight="1" x14ac:dyDescent="0.25">
      <c r="I51" s="703" t="s">
        <v>58</v>
      </c>
      <c r="J51" s="703" t="s">
        <v>1422</v>
      </c>
      <c r="K51" s="712">
        <v>10000</v>
      </c>
      <c r="L51" s="702">
        <v>4000</v>
      </c>
      <c r="M51" s="703" t="s">
        <v>114</v>
      </c>
      <c r="Q51" s="306" t="s">
        <v>59</v>
      </c>
      <c r="R51" s="306" t="s">
        <v>1422</v>
      </c>
      <c r="S51" s="307">
        <v>24796</v>
      </c>
      <c r="T51" s="308">
        <v>3500</v>
      </c>
      <c r="U51" s="306" t="s">
        <v>2392</v>
      </c>
      <c r="V51" s="309">
        <v>40780</v>
      </c>
      <c r="X51" s="270"/>
    </row>
    <row r="52" spans="9:24" ht="45" customHeight="1" x14ac:dyDescent="0.25">
      <c r="I52" s="703" t="s">
        <v>58</v>
      </c>
      <c r="J52" s="703" t="s">
        <v>1422</v>
      </c>
      <c r="K52" s="712">
        <v>29015</v>
      </c>
      <c r="L52" s="702">
        <v>2000</v>
      </c>
      <c r="M52" s="703" t="s">
        <v>114</v>
      </c>
      <c r="Q52" s="306" t="s">
        <v>59</v>
      </c>
      <c r="R52" s="306" t="s">
        <v>1422</v>
      </c>
      <c r="S52" s="307">
        <v>23482</v>
      </c>
      <c r="T52" s="308">
        <v>4000</v>
      </c>
      <c r="U52" s="306" t="s">
        <v>2392</v>
      </c>
      <c r="V52" s="309">
        <v>40779</v>
      </c>
      <c r="X52" s="270"/>
    </row>
    <row r="53" spans="9:24" ht="45" customHeight="1" x14ac:dyDescent="0.25">
      <c r="I53" s="703" t="s">
        <v>58</v>
      </c>
      <c r="J53" s="703" t="s">
        <v>1422</v>
      </c>
      <c r="K53" s="712">
        <v>28505</v>
      </c>
      <c r="L53" s="702">
        <v>3000</v>
      </c>
      <c r="M53" s="703" t="s">
        <v>114</v>
      </c>
      <c r="Q53" s="306" t="s">
        <v>59</v>
      </c>
      <c r="R53" s="306" t="s">
        <v>1422</v>
      </c>
      <c r="S53" s="307">
        <v>4197</v>
      </c>
      <c r="T53" s="308">
        <v>1500</v>
      </c>
      <c r="U53" s="306" t="s">
        <v>2392</v>
      </c>
      <c r="V53" s="309">
        <v>40780</v>
      </c>
      <c r="X53" s="270"/>
    </row>
    <row r="54" spans="9:24" ht="45" customHeight="1" x14ac:dyDescent="0.25">
      <c r="I54" s="703" t="s">
        <v>58</v>
      </c>
      <c r="J54" s="703" t="s">
        <v>1422</v>
      </c>
      <c r="K54" s="712">
        <v>9742</v>
      </c>
      <c r="L54" s="702">
        <v>4000</v>
      </c>
      <c r="M54" s="703" t="s">
        <v>114</v>
      </c>
      <c r="Q54" s="306" t="s">
        <v>59</v>
      </c>
      <c r="R54" s="306" t="s">
        <v>1422</v>
      </c>
      <c r="S54" s="307">
        <v>25125</v>
      </c>
      <c r="T54" s="308">
        <v>2500</v>
      </c>
      <c r="U54" s="306" t="s">
        <v>2392</v>
      </c>
      <c r="V54" s="309">
        <v>40777</v>
      </c>
      <c r="X54" s="270"/>
    </row>
    <row r="55" spans="9:24" ht="45" customHeight="1" x14ac:dyDescent="0.25">
      <c r="I55" s="703" t="s">
        <v>58</v>
      </c>
      <c r="J55" s="703" t="s">
        <v>1422</v>
      </c>
      <c r="K55" s="712">
        <v>8676</v>
      </c>
      <c r="L55" s="702">
        <v>1500</v>
      </c>
      <c r="M55" s="703" t="s">
        <v>114</v>
      </c>
      <c r="Q55" s="306" t="s">
        <v>59</v>
      </c>
      <c r="R55" s="306" t="s">
        <v>1422</v>
      </c>
      <c r="S55" s="307">
        <v>6142.87</v>
      </c>
      <c r="T55" s="308">
        <v>3500</v>
      </c>
      <c r="U55" s="306" t="s">
        <v>2392</v>
      </c>
      <c r="V55" s="309">
        <v>40774</v>
      </c>
      <c r="X55" s="270"/>
    </row>
    <row r="56" spans="9:24" ht="45" customHeight="1" x14ac:dyDescent="0.25">
      <c r="I56" s="703" t="s">
        <v>58</v>
      </c>
      <c r="J56" s="703" t="s">
        <v>1422</v>
      </c>
      <c r="K56" s="712">
        <v>16825</v>
      </c>
      <c r="L56" s="702">
        <v>2000</v>
      </c>
      <c r="M56" s="703" t="s">
        <v>114</v>
      </c>
      <c r="Q56" s="306" t="s">
        <v>59</v>
      </c>
      <c r="R56" s="306" t="s">
        <v>1422</v>
      </c>
      <c r="S56" s="307">
        <v>4474</v>
      </c>
      <c r="T56" s="308">
        <v>2500</v>
      </c>
      <c r="U56" s="306" t="s">
        <v>2392</v>
      </c>
      <c r="V56" s="309">
        <v>40772</v>
      </c>
      <c r="X56" s="270"/>
    </row>
    <row r="57" spans="9:24" ht="45" customHeight="1" x14ac:dyDescent="0.25">
      <c r="I57" s="703" t="s">
        <v>58</v>
      </c>
      <c r="J57" s="703" t="s">
        <v>1422</v>
      </c>
      <c r="K57" s="712">
        <v>18350</v>
      </c>
      <c r="L57" s="702">
        <v>4000</v>
      </c>
      <c r="M57" s="703" t="s">
        <v>114</v>
      </c>
      <c r="Q57" s="306" t="s">
        <v>59</v>
      </c>
      <c r="R57" s="306" t="s">
        <v>1422</v>
      </c>
      <c r="S57" s="307">
        <v>7736.5</v>
      </c>
      <c r="T57" s="308">
        <v>2000</v>
      </c>
      <c r="U57" s="306" t="s">
        <v>2392</v>
      </c>
      <c r="V57" s="309">
        <v>40770</v>
      </c>
      <c r="X57" s="270"/>
    </row>
    <row r="58" spans="9:24" ht="45" customHeight="1" x14ac:dyDescent="0.25">
      <c r="I58" s="703" t="s">
        <v>58</v>
      </c>
      <c r="J58" s="703" t="s">
        <v>1422</v>
      </c>
      <c r="K58" s="712">
        <v>6200</v>
      </c>
      <c r="L58" s="702">
        <v>1500</v>
      </c>
      <c r="M58" s="703" t="s">
        <v>114</v>
      </c>
      <c r="Q58" s="306" t="s">
        <v>59</v>
      </c>
      <c r="R58" s="306" t="s">
        <v>1422</v>
      </c>
      <c r="S58" s="307">
        <v>9441</v>
      </c>
      <c r="T58" s="308">
        <v>4000</v>
      </c>
      <c r="U58" s="306" t="s">
        <v>2392</v>
      </c>
      <c r="V58" s="309">
        <v>40766</v>
      </c>
      <c r="X58" s="271"/>
    </row>
    <row r="59" spans="9:24" ht="45" customHeight="1" x14ac:dyDescent="0.25">
      <c r="I59" s="703" t="s">
        <v>58</v>
      </c>
      <c r="J59" s="703" t="s">
        <v>1422</v>
      </c>
      <c r="K59" s="712">
        <v>4625</v>
      </c>
      <c r="L59" s="702">
        <v>3500</v>
      </c>
      <c r="M59" s="703" t="s">
        <v>114</v>
      </c>
      <c r="Q59" s="306" t="s">
        <v>59</v>
      </c>
      <c r="R59" s="306" t="s">
        <v>1422</v>
      </c>
      <c r="S59" s="307">
        <v>5281.29</v>
      </c>
      <c r="T59" s="308">
        <v>2000</v>
      </c>
      <c r="U59" s="306" t="s">
        <v>2392</v>
      </c>
      <c r="V59" s="309">
        <v>40765</v>
      </c>
      <c r="X59" s="270"/>
    </row>
    <row r="60" spans="9:24" ht="45" customHeight="1" x14ac:dyDescent="0.25">
      <c r="I60" s="703" t="s">
        <v>58</v>
      </c>
      <c r="J60" s="703" t="s">
        <v>1422</v>
      </c>
      <c r="K60" s="712">
        <v>6780</v>
      </c>
      <c r="L60" s="702">
        <v>2000</v>
      </c>
      <c r="M60" s="703" t="s">
        <v>114</v>
      </c>
      <c r="Q60" s="306" t="s">
        <v>59</v>
      </c>
      <c r="R60" s="306" t="s">
        <v>1422</v>
      </c>
      <c r="S60" s="307">
        <v>19561</v>
      </c>
      <c r="T60" s="308">
        <v>2500</v>
      </c>
      <c r="U60" s="306" t="s">
        <v>2392</v>
      </c>
      <c r="V60" s="309">
        <v>40764</v>
      </c>
      <c r="X60" s="270"/>
    </row>
    <row r="61" spans="9:24" ht="45" customHeight="1" x14ac:dyDescent="0.25">
      <c r="I61" s="703" t="s">
        <v>58</v>
      </c>
      <c r="J61" s="703" t="s">
        <v>1422</v>
      </c>
      <c r="K61" s="712">
        <v>35115</v>
      </c>
      <c r="L61" s="702">
        <v>2500</v>
      </c>
      <c r="M61" s="703" t="s">
        <v>114</v>
      </c>
      <c r="Q61" s="306" t="s">
        <v>59</v>
      </c>
      <c r="R61" s="306" t="s">
        <v>1422</v>
      </c>
      <c r="S61" s="307">
        <v>2181.1999999999998</v>
      </c>
      <c r="T61" s="308">
        <v>1250</v>
      </c>
      <c r="U61" s="306" t="s">
        <v>2392</v>
      </c>
      <c r="V61" s="309">
        <v>40700</v>
      </c>
      <c r="X61" s="270"/>
    </row>
    <row r="62" spans="9:24" ht="45" customHeight="1" x14ac:dyDescent="0.25">
      <c r="I62" s="703" t="s">
        <v>58</v>
      </c>
      <c r="J62" s="703" t="s">
        <v>1422</v>
      </c>
      <c r="K62" s="712">
        <v>7535</v>
      </c>
      <c r="L62" s="702">
        <v>2500</v>
      </c>
      <c r="M62" s="703" t="s">
        <v>114</v>
      </c>
      <c r="Q62" s="306" t="s">
        <v>59</v>
      </c>
      <c r="R62" s="306" t="s">
        <v>1422</v>
      </c>
      <c r="S62" s="307">
        <v>5722</v>
      </c>
      <c r="T62" s="308">
        <v>1500</v>
      </c>
      <c r="U62" s="306" t="s">
        <v>2392</v>
      </c>
      <c r="V62" s="309">
        <v>40781</v>
      </c>
      <c r="X62" s="270"/>
    </row>
    <row r="63" spans="9:24" ht="45" customHeight="1" x14ac:dyDescent="0.25">
      <c r="I63" s="703" t="s">
        <v>58</v>
      </c>
      <c r="J63" s="703" t="s">
        <v>1422</v>
      </c>
      <c r="K63" s="712">
        <v>10648</v>
      </c>
      <c r="L63" s="702">
        <v>2000</v>
      </c>
      <c r="M63" s="703" t="s">
        <v>114</v>
      </c>
      <c r="Q63" s="306" t="s">
        <v>59</v>
      </c>
      <c r="R63" s="306" t="s">
        <v>1422</v>
      </c>
      <c r="S63" s="307">
        <v>7350</v>
      </c>
      <c r="T63" s="308">
        <v>2500</v>
      </c>
      <c r="U63" s="306" t="s">
        <v>2392</v>
      </c>
      <c r="V63" s="309">
        <v>40548</v>
      </c>
      <c r="X63" s="270"/>
    </row>
    <row r="64" spans="9:24" ht="45" customHeight="1" x14ac:dyDescent="0.25">
      <c r="I64" s="703" t="s">
        <v>58</v>
      </c>
      <c r="J64" s="703" t="s">
        <v>1422</v>
      </c>
      <c r="K64" s="712">
        <v>19689</v>
      </c>
      <c r="L64" s="702">
        <v>3500</v>
      </c>
      <c r="M64" s="703" t="s">
        <v>114</v>
      </c>
      <c r="Q64" s="306" t="s">
        <v>59</v>
      </c>
      <c r="R64" s="306" t="s">
        <v>1422</v>
      </c>
      <c r="S64" s="307">
        <v>55858</v>
      </c>
      <c r="T64" s="308">
        <v>2000</v>
      </c>
      <c r="U64" s="306" t="s">
        <v>2392</v>
      </c>
      <c r="V64" s="309">
        <v>40696</v>
      </c>
      <c r="X64" s="270"/>
    </row>
    <row r="65" spans="9:24" ht="45" customHeight="1" x14ac:dyDescent="0.25">
      <c r="I65" s="703" t="s">
        <v>58</v>
      </c>
      <c r="J65" s="703" t="s">
        <v>1422</v>
      </c>
      <c r="K65" s="712">
        <v>23150</v>
      </c>
      <c r="L65" s="702">
        <v>2000</v>
      </c>
      <c r="M65" s="703" t="s">
        <v>114</v>
      </c>
      <c r="Q65" s="306" t="s">
        <v>59</v>
      </c>
      <c r="R65" s="306" t="s">
        <v>1422</v>
      </c>
      <c r="S65" s="307">
        <v>16770</v>
      </c>
      <c r="T65" s="308">
        <v>3000</v>
      </c>
      <c r="U65" s="306" t="s">
        <v>2392</v>
      </c>
      <c r="V65" s="309">
        <v>40535</v>
      </c>
      <c r="X65" s="270"/>
    </row>
    <row r="66" spans="9:24" ht="45" customHeight="1" x14ac:dyDescent="0.25">
      <c r="I66" s="703" t="s">
        <v>58</v>
      </c>
      <c r="J66" s="703" t="s">
        <v>1422</v>
      </c>
      <c r="K66" s="712">
        <v>9600</v>
      </c>
      <c r="L66" s="702">
        <v>2000</v>
      </c>
      <c r="M66" s="703" t="s">
        <v>114</v>
      </c>
      <c r="Q66" s="306" t="s">
        <v>59</v>
      </c>
      <c r="R66" s="306" t="s">
        <v>1422</v>
      </c>
      <c r="S66" s="307">
        <v>22000</v>
      </c>
      <c r="T66" s="308">
        <v>4000</v>
      </c>
      <c r="U66" s="306" t="s">
        <v>2392</v>
      </c>
      <c r="V66" s="309">
        <v>40525</v>
      </c>
      <c r="X66" s="270"/>
    </row>
    <row r="67" spans="9:24" ht="45" customHeight="1" x14ac:dyDescent="0.25">
      <c r="I67" s="703" t="s">
        <v>58</v>
      </c>
      <c r="J67" s="703" t="s">
        <v>1422</v>
      </c>
      <c r="K67" s="712">
        <v>9386</v>
      </c>
      <c r="L67" s="702">
        <v>2500</v>
      </c>
      <c r="M67" s="703" t="s">
        <v>114</v>
      </c>
      <c r="Q67" s="306" t="s">
        <v>59</v>
      </c>
      <c r="R67" s="306" t="s">
        <v>1422</v>
      </c>
      <c r="S67" s="307">
        <v>12477</v>
      </c>
      <c r="T67" s="308">
        <v>1360</v>
      </c>
      <c r="U67" s="306" t="s">
        <v>2392</v>
      </c>
      <c r="V67" s="309">
        <v>40611</v>
      </c>
      <c r="X67" s="270"/>
    </row>
    <row r="68" spans="9:24" ht="45" customHeight="1" x14ac:dyDescent="0.25">
      <c r="I68" s="703" t="s">
        <v>58</v>
      </c>
      <c r="J68" s="703" t="s">
        <v>1422</v>
      </c>
      <c r="K68" s="712">
        <v>32941</v>
      </c>
      <c r="L68" s="702">
        <v>4000</v>
      </c>
      <c r="M68" s="703" t="s">
        <v>114</v>
      </c>
      <c r="Q68" s="306" t="s">
        <v>59</v>
      </c>
      <c r="R68" s="306" t="s">
        <v>1422</v>
      </c>
      <c r="S68" s="307">
        <v>2078</v>
      </c>
      <c r="T68" s="308">
        <v>1500</v>
      </c>
      <c r="U68" s="306" t="s">
        <v>2392</v>
      </c>
      <c r="V68" s="309">
        <v>40682</v>
      </c>
      <c r="X68" s="270"/>
    </row>
    <row r="69" spans="9:24" ht="45" customHeight="1" x14ac:dyDescent="0.25">
      <c r="I69" s="703" t="s">
        <v>58</v>
      </c>
      <c r="J69" s="703" t="s">
        <v>1422</v>
      </c>
      <c r="K69" s="712">
        <v>12895</v>
      </c>
      <c r="L69" s="702">
        <v>2000</v>
      </c>
      <c r="M69" s="703" t="s">
        <v>114</v>
      </c>
      <c r="Q69" s="306" t="s">
        <v>59</v>
      </c>
      <c r="R69" s="306" t="s">
        <v>1422</v>
      </c>
      <c r="S69" s="307">
        <v>8745</v>
      </c>
      <c r="T69" s="308">
        <v>2500</v>
      </c>
      <c r="U69" s="306" t="s">
        <v>2392</v>
      </c>
      <c r="V69" s="309">
        <v>40701</v>
      </c>
      <c r="X69" s="270"/>
    </row>
    <row r="70" spans="9:24" ht="45" customHeight="1" x14ac:dyDescent="0.25">
      <c r="I70" s="703" t="s">
        <v>58</v>
      </c>
      <c r="J70" s="703" t="s">
        <v>1422</v>
      </c>
      <c r="K70" s="712">
        <v>13755</v>
      </c>
      <c r="L70" s="702">
        <v>4000</v>
      </c>
      <c r="M70" s="703" t="s">
        <v>114</v>
      </c>
      <c r="Q70" s="306" t="s">
        <v>59</v>
      </c>
      <c r="R70" s="306" t="s">
        <v>1422</v>
      </c>
      <c r="S70" s="307">
        <v>15936</v>
      </c>
      <c r="T70" s="308">
        <v>1500</v>
      </c>
      <c r="U70" s="306" t="s">
        <v>2392</v>
      </c>
      <c r="V70" s="309">
        <v>40610</v>
      </c>
      <c r="X70" s="270"/>
    </row>
    <row r="71" spans="9:24" ht="45" customHeight="1" x14ac:dyDescent="0.25">
      <c r="I71" s="703" t="s">
        <v>58</v>
      </c>
      <c r="J71" s="703" t="s">
        <v>1422</v>
      </c>
      <c r="K71" s="712">
        <v>15107</v>
      </c>
      <c r="L71" s="702">
        <v>3500</v>
      </c>
      <c r="M71" s="703" t="s">
        <v>114</v>
      </c>
      <c r="Q71" s="306" t="s">
        <v>59</v>
      </c>
      <c r="R71" s="306" t="s">
        <v>1422</v>
      </c>
      <c r="S71" s="307">
        <v>20094</v>
      </c>
      <c r="T71" s="308">
        <v>4000</v>
      </c>
      <c r="U71" s="306" t="s">
        <v>2392</v>
      </c>
      <c r="V71" s="309">
        <v>40616</v>
      </c>
      <c r="X71" s="270"/>
    </row>
    <row r="72" spans="9:24" ht="45" customHeight="1" x14ac:dyDescent="0.25">
      <c r="I72" s="703" t="s">
        <v>58</v>
      </c>
      <c r="J72" s="703" t="s">
        <v>1422</v>
      </c>
      <c r="K72" s="712">
        <v>10820</v>
      </c>
      <c r="L72" s="702">
        <v>2000</v>
      </c>
      <c r="M72" s="703" t="s">
        <v>114</v>
      </c>
      <c r="Q72" s="306" t="s">
        <v>59</v>
      </c>
      <c r="R72" s="306" t="s">
        <v>1422</v>
      </c>
      <c r="S72" s="307">
        <v>36660</v>
      </c>
      <c r="T72" s="308">
        <v>2000</v>
      </c>
      <c r="U72" s="306" t="s">
        <v>2392</v>
      </c>
      <c r="V72" s="309">
        <v>40690</v>
      </c>
      <c r="X72" s="270"/>
    </row>
    <row r="73" spans="9:24" ht="45" customHeight="1" x14ac:dyDescent="0.25">
      <c r="I73" s="703" t="s">
        <v>58</v>
      </c>
      <c r="J73" s="703" t="s">
        <v>1422</v>
      </c>
      <c r="K73" s="712">
        <v>32733</v>
      </c>
      <c r="L73" s="702">
        <v>3000</v>
      </c>
      <c r="M73" s="703" t="s">
        <v>114</v>
      </c>
      <c r="Q73" s="306" t="s">
        <v>59</v>
      </c>
      <c r="R73" s="306" t="s">
        <v>1422</v>
      </c>
      <c r="S73" s="307">
        <v>18491</v>
      </c>
      <c r="T73" s="308">
        <v>2500</v>
      </c>
      <c r="U73" s="306" t="s">
        <v>2392</v>
      </c>
      <c r="V73" s="309">
        <v>40581</v>
      </c>
      <c r="X73" s="270"/>
    </row>
    <row r="74" spans="9:24" ht="45" customHeight="1" x14ac:dyDescent="0.25">
      <c r="I74" s="703" t="s">
        <v>58</v>
      </c>
      <c r="J74" s="703" t="s">
        <v>1422</v>
      </c>
      <c r="K74" s="712">
        <v>28000</v>
      </c>
      <c r="L74" s="702">
        <v>3500</v>
      </c>
      <c r="M74" s="703" t="s">
        <v>114</v>
      </c>
      <c r="Q74" s="306" t="s">
        <v>59</v>
      </c>
      <c r="R74" s="306" t="s">
        <v>1422</v>
      </c>
      <c r="S74" s="307">
        <v>9467</v>
      </c>
      <c r="T74" s="308">
        <v>2500</v>
      </c>
      <c r="U74" s="306" t="s">
        <v>2392</v>
      </c>
      <c r="V74" s="309">
        <v>40574</v>
      </c>
      <c r="X74" s="270"/>
    </row>
    <row r="75" spans="9:24" ht="45" customHeight="1" x14ac:dyDescent="0.25">
      <c r="I75" s="703" t="s">
        <v>58</v>
      </c>
      <c r="J75" s="703" t="s">
        <v>1422</v>
      </c>
      <c r="K75" s="712">
        <v>13503</v>
      </c>
      <c r="L75" s="702">
        <v>2000</v>
      </c>
      <c r="M75" s="703" t="s">
        <v>114</v>
      </c>
      <c r="Q75" s="306" t="s">
        <v>59</v>
      </c>
      <c r="R75" s="306" t="s">
        <v>1422</v>
      </c>
      <c r="S75" s="307">
        <v>24615</v>
      </c>
      <c r="T75" s="308">
        <v>4000</v>
      </c>
      <c r="U75" s="306" t="s">
        <v>2392</v>
      </c>
      <c r="V75" s="309">
        <v>40647</v>
      </c>
      <c r="X75" s="270"/>
    </row>
    <row r="76" spans="9:24" ht="45" customHeight="1" x14ac:dyDescent="0.25">
      <c r="I76" s="703" t="s">
        <v>58</v>
      </c>
      <c r="J76" s="703" t="s">
        <v>1422</v>
      </c>
      <c r="K76" s="712">
        <v>15965</v>
      </c>
      <c r="L76" s="702">
        <v>3000</v>
      </c>
      <c r="M76" s="703" t="s">
        <v>114</v>
      </c>
      <c r="Q76" s="306" t="s">
        <v>59</v>
      </c>
      <c r="R76" s="306" t="s">
        <v>1422</v>
      </c>
      <c r="S76" s="307">
        <v>15052</v>
      </c>
      <c r="T76" s="308">
        <v>2000</v>
      </c>
      <c r="U76" s="306" t="s">
        <v>2392</v>
      </c>
      <c r="V76" s="309">
        <v>40553</v>
      </c>
      <c r="X76" s="270"/>
    </row>
    <row r="77" spans="9:24" ht="45" customHeight="1" x14ac:dyDescent="0.25">
      <c r="I77" s="703" t="s">
        <v>58</v>
      </c>
      <c r="J77" s="703" t="s">
        <v>1422</v>
      </c>
      <c r="K77" s="712">
        <v>7230</v>
      </c>
      <c r="L77" s="702">
        <v>2500</v>
      </c>
      <c r="M77" s="703" t="s">
        <v>114</v>
      </c>
      <c r="Q77" s="306" t="s">
        <v>59</v>
      </c>
      <c r="R77" s="306" t="s">
        <v>1422</v>
      </c>
      <c r="S77" s="307">
        <v>7433</v>
      </c>
      <c r="T77" s="308">
        <v>3000</v>
      </c>
      <c r="U77" s="306" t="s">
        <v>2392</v>
      </c>
      <c r="V77" s="309">
        <v>40732</v>
      </c>
      <c r="X77" s="270"/>
    </row>
    <row r="78" spans="9:24" ht="45" customHeight="1" x14ac:dyDescent="0.25">
      <c r="I78" s="703" t="s">
        <v>58</v>
      </c>
      <c r="J78" s="703" t="s">
        <v>1422</v>
      </c>
      <c r="K78" s="712">
        <v>12505</v>
      </c>
      <c r="L78" s="702">
        <v>4000</v>
      </c>
      <c r="M78" s="703" t="s">
        <v>114</v>
      </c>
      <c r="Q78" s="306" t="s">
        <v>59</v>
      </c>
      <c r="R78" s="306" t="s">
        <v>1422</v>
      </c>
      <c r="S78" s="307">
        <v>10500</v>
      </c>
      <c r="T78" s="308">
        <v>2000</v>
      </c>
      <c r="U78" s="306" t="s">
        <v>2392</v>
      </c>
      <c r="V78" s="309">
        <v>40548</v>
      </c>
      <c r="X78" s="270"/>
    </row>
    <row r="79" spans="9:24" ht="45" customHeight="1" x14ac:dyDescent="0.25">
      <c r="I79" s="703" t="s">
        <v>58</v>
      </c>
      <c r="J79" s="703" t="s">
        <v>1422</v>
      </c>
      <c r="K79" s="712">
        <v>31563</v>
      </c>
      <c r="L79" s="702">
        <v>4000</v>
      </c>
      <c r="M79" s="703" t="s">
        <v>114</v>
      </c>
      <c r="Q79" s="306" t="s">
        <v>59</v>
      </c>
      <c r="R79" s="306" t="s">
        <v>1422</v>
      </c>
      <c r="S79" s="307">
        <v>7920</v>
      </c>
      <c r="T79" s="308">
        <v>2000</v>
      </c>
      <c r="U79" s="306" t="s">
        <v>2392</v>
      </c>
      <c r="V79" s="309">
        <v>40546</v>
      </c>
      <c r="X79" s="270"/>
    </row>
    <row r="80" spans="9:24" ht="45" customHeight="1" x14ac:dyDescent="0.25">
      <c r="I80" s="703" t="s">
        <v>58</v>
      </c>
      <c r="J80" s="703" t="s">
        <v>1422</v>
      </c>
      <c r="K80" s="712">
        <v>11150</v>
      </c>
      <c r="L80" s="702">
        <v>2500</v>
      </c>
      <c r="M80" s="703" t="s">
        <v>114</v>
      </c>
      <c r="Q80" s="306" t="s">
        <v>59</v>
      </c>
      <c r="R80" s="306" t="s">
        <v>1422</v>
      </c>
      <c r="S80" s="307">
        <v>5444</v>
      </c>
      <c r="T80" s="308">
        <v>2000</v>
      </c>
      <c r="U80" s="306" t="s">
        <v>2392</v>
      </c>
      <c r="V80" s="309">
        <v>40541</v>
      </c>
      <c r="X80" s="270"/>
    </row>
    <row r="81" spans="9:24" ht="45" customHeight="1" x14ac:dyDescent="0.25">
      <c r="I81" s="703" t="s">
        <v>58</v>
      </c>
      <c r="J81" s="703" t="s">
        <v>1422</v>
      </c>
      <c r="K81" s="712">
        <v>10001</v>
      </c>
      <c r="L81" s="702">
        <v>4000</v>
      </c>
      <c r="M81" s="703" t="s">
        <v>114</v>
      </c>
      <c r="Q81" s="306" t="s">
        <v>59</v>
      </c>
      <c r="R81" s="306" t="s">
        <v>1422</v>
      </c>
      <c r="S81" s="307">
        <v>14116</v>
      </c>
      <c r="T81" s="308">
        <v>3000</v>
      </c>
      <c r="U81" s="306" t="s">
        <v>2392</v>
      </c>
      <c r="V81" s="309">
        <v>40541</v>
      </c>
      <c r="X81" s="270"/>
    </row>
    <row r="82" spans="9:24" ht="45" customHeight="1" x14ac:dyDescent="0.25">
      <c r="I82" s="703" t="s">
        <v>58</v>
      </c>
      <c r="J82" s="703" t="s">
        <v>1422</v>
      </c>
      <c r="K82" s="712">
        <v>36362</v>
      </c>
      <c r="L82" s="702">
        <v>2000</v>
      </c>
      <c r="M82" s="703" t="s">
        <v>114</v>
      </c>
      <c r="Q82" s="306" t="s">
        <v>59</v>
      </c>
      <c r="R82" s="306" t="s">
        <v>1422</v>
      </c>
      <c r="S82" s="307">
        <v>18031</v>
      </c>
      <c r="T82" s="308">
        <v>3000</v>
      </c>
      <c r="U82" s="306" t="s">
        <v>2392</v>
      </c>
      <c r="V82" s="309">
        <v>40541</v>
      </c>
      <c r="X82" s="270"/>
    </row>
    <row r="83" spans="9:24" ht="45" customHeight="1" x14ac:dyDescent="0.25">
      <c r="I83" s="703" t="s">
        <v>58</v>
      </c>
      <c r="J83" s="703" t="s">
        <v>1422</v>
      </c>
      <c r="K83" s="712">
        <v>4525</v>
      </c>
      <c r="L83" s="702">
        <v>1500</v>
      </c>
      <c r="M83" s="703" t="s">
        <v>114</v>
      </c>
      <c r="Q83" s="306" t="s">
        <v>59</v>
      </c>
      <c r="R83" s="306" t="s">
        <v>1422</v>
      </c>
      <c r="S83" s="307">
        <v>4730</v>
      </c>
      <c r="T83" s="308">
        <v>2000</v>
      </c>
      <c r="U83" s="306" t="s">
        <v>2392</v>
      </c>
      <c r="V83" s="309">
        <v>40540</v>
      </c>
      <c r="X83" s="270"/>
    </row>
    <row r="84" spans="9:24" ht="45" customHeight="1" x14ac:dyDescent="0.25">
      <c r="I84" s="703" t="s">
        <v>58</v>
      </c>
      <c r="J84" s="703" t="s">
        <v>1422</v>
      </c>
      <c r="K84" s="712">
        <v>4875</v>
      </c>
      <c r="L84" s="702">
        <v>1500</v>
      </c>
      <c r="M84" s="703" t="s">
        <v>114</v>
      </c>
      <c r="Q84" s="306" t="s">
        <v>59</v>
      </c>
      <c r="R84" s="306" t="s">
        <v>1422</v>
      </c>
      <c r="S84" s="307">
        <v>6050</v>
      </c>
      <c r="T84" s="308">
        <v>2000</v>
      </c>
      <c r="U84" s="306" t="s">
        <v>2392</v>
      </c>
      <c r="V84" s="309">
        <v>40540</v>
      </c>
      <c r="X84" s="270"/>
    </row>
    <row r="85" spans="9:24" ht="45" customHeight="1" x14ac:dyDescent="0.25">
      <c r="I85" s="703" t="s">
        <v>58</v>
      </c>
      <c r="J85" s="703" t="s">
        <v>1422</v>
      </c>
      <c r="K85" s="712">
        <v>5710</v>
      </c>
      <c r="L85" s="702">
        <v>3000</v>
      </c>
      <c r="M85" s="703" t="s">
        <v>114</v>
      </c>
      <c r="Q85" s="306" t="s">
        <v>59</v>
      </c>
      <c r="R85" s="306" t="s">
        <v>1422</v>
      </c>
      <c r="S85" s="307">
        <v>10335</v>
      </c>
      <c r="T85" s="308">
        <v>1500</v>
      </c>
      <c r="U85" s="306" t="s">
        <v>2392</v>
      </c>
      <c r="V85" s="309">
        <v>40540</v>
      </c>
      <c r="X85" s="270"/>
    </row>
    <row r="86" spans="9:24" ht="45" customHeight="1" x14ac:dyDescent="0.25">
      <c r="I86" s="703" t="s">
        <v>58</v>
      </c>
      <c r="J86" s="703" t="s">
        <v>1422</v>
      </c>
      <c r="K86" s="712">
        <v>21677</v>
      </c>
      <c r="L86" s="702">
        <v>3000</v>
      </c>
      <c r="M86" s="703" t="s">
        <v>114</v>
      </c>
      <c r="Q86" s="306" t="s">
        <v>59</v>
      </c>
      <c r="R86" s="306" t="s">
        <v>1422</v>
      </c>
      <c r="S86" s="307">
        <v>38901</v>
      </c>
      <c r="T86" s="308">
        <v>2000</v>
      </c>
      <c r="U86" s="306" t="s">
        <v>2392</v>
      </c>
      <c r="V86" s="309">
        <v>40525</v>
      </c>
      <c r="X86" s="270"/>
    </row>
    <row r="87" spans="9:24" ht="45" customHeight="1" x14ac:dyDescent="0.25">
      <c r="I87" s="703" t="s">
        <v>58</v>
      </c>
      <c r="J87" s="703" t="s">
        <v>1422</v>
      </c>
      <c r="K87" s="712">
        <v>5600</v>
      </c>
      <c r="L87" s="702">
        <v>1500</v>
      </c>
      <c r="M87" s="703" t="s">
        <v>114</v>
      </c>
      <c r="Q87" s="306" t="s">
        <v>59</v>
      </c>
      <c r="R87" s="306" t="s">
        <v>1422</v>
      </c>
      <c r="S87" s="307">
        <v>3780</v>
      </c>
      <c r="T87" s="308">
        <v>1500</v>
      </c>
      <c r="U87" s="306" t="s">
        <v>2392</v>
      </c>
      <c r="V87" s="309">
        <v>40535</v>
      </c>
      <c r="X87" s="270"/>
    </row>
    <row r="88" spans="9:24" ht="45" customHeight="1" x14ac:dyDescent="0.25">
      <c r="I88" s="703" t="s">
        <v>58</v>
      </c>
      <c r="J88" s="703" t="s">
        <v>1422</v>
      </c>
      <c r="K88" s="712">
        <v>19612</v>
      </c>
      <c r="L88" s="702">
        <v>4000</v>
      </c>
      <c r="M88" s="703" t="s">
        <v>114</v>
      </c>
      <c r="Q88" s="306" t="s">
        <v>59</v>
      </c>
      <c r="R88" s="306" t="s">
        <v>1422</v>
      </c>
      <c r="S88" s="307">
        <v>4800</v>
      </c>
      <c r="T88" s="308">
        <v>3000</v>
      </c>
      <c r="U88" s="306" t="s">
        <v>2392</v>
      </c>
      <c r="V88" s="309">
        <v>40535</v>
      </c>
      <c r="X88" s="270"/>
    </row>
    <row r="89" spans="9:24" ht="45" customHeight="1" x14ac:dyDescent="0.25">
      <c r="I89" s="703" t="s">
        <v>58</v>
      </c>
      <c r="J89" s="703" t="s">
        <v>1422</v>
      </c>
      <c r="K89" s="712">
        <v>21827</v>
      </c>
      <c r="L89" s="702">
        <v>3500</v>
      </c>
      <c r="M89" s="703" t="s">
        <v>114</v>
      </c>
      <c r="Q89" s="306" t="s">
        <v>59</v>
      </c>
      <c r="R89" s="306" t="s">
        <v>1422</v>
      </c>
      <c r="S89" s="307">
        <v>15650</v>
      </c>
      <c r="T89" s="308">
        <v>3500</v>
      </c>
      <c r="U89" s="306" t="s">
        <v>2392</v>
      </c>
      <c r="V89" s="309">
        <v>40554</v>
      </c>
      <c r="X89" s="270"/>
    </row>
    <row r="90" spans="9:24" ht="45" customHeight="1" x14ac:dyDescent="0.25">
      <c r="I90" s="703" t="s">
        <v>58</v>
      </c>
      <c r="J90" s="703" t="s">
        <v>1422</v>
      </c>
      <c r="K90" s="712">
        <v>6017</v>
      </c>
      <c r="L90" s="702">
        <v>2000</v>
      </c>
      <c r="M90" s="703" t="s">
        <v>114</v>
      </c>
      <c r="Q90" s="306" t="s">
        <v>59</v>
      </c>
      <c r="R90" s="306" t="s">
        <v>1422</v>
      </c>
      <c r="S90" s="307">
        <v>14284</v>
      </c>
      <c r="T90" s="308">
        <v>1250</v>
      </c>
      <c r="U90" s="306" t="s">
        <v>2392</v>
      </c>
      <c r="V90" s="309">
        <v>40557</v>
      </c>
      <c r="X90" s="270"/>
    </row>
    <row r="91" spans="9:24" ht="45" customHeight="1" x14ac:dyDescent="0.25">
      <c r="I91" s="703" t="s">
        <v>58</v>
      </c>
      <c r="J91" s="703" t="s">
        <v>1422</v>
      </c>
      <c r="K91" s="712">
        <v>18277</v>
      </c>
      <c r="L91" s="702">
        <v>2000</v>
      </c>
      <c r="M91" s="703" t="s">
        <v>114</v>
      </c>
      <c r="Q91" s="306" t="s">
        <v>59</v>
      </c>
      <c r="R91" s="306" t="s">
        <v>1422</v>
      </c>
      <c r="S91" s="307">
        <v>4517</v>
      </c>
      <c r="T91" s="308">
        <v>2000</v>
      </c>
      <c r="U91" s="306" t="s">
        <v>2392</v>
      </c>
      <c r="V91" s="309">
        <v>40637</v>
      </c>
      <c r="X91" s="270"/>
    </row>
    <row r="92" spans="9:24" ht="45" customHeight="1" x14ac:dyDescent="0.25">
      <c r="I92" s="703" t="s">
        <v>58</v>
      </c>
      <c r="J92" s="703" t="s">
        <v>1422</v>
      </c>
      <c r="K92" s="712">
        <v>10629</v>
      </c>
      <c r="L92" s="702">
        <v>2500</v>
      </c>
      <c r="M92" s="703" t="s">
        <v>114</v>
      </c>
      <c r="Q92" s="306" t="s">
        <v>59</v>
      </c>
      <c r="R92" s="306" t="s">
        <v>1422</v>
      </c>
      <c r="S92" s="307">
        <v>12754</v>
      </c>
      <c r="T92" s="308">
        <v>1500</v>
      </c>
      <c r="U92" s="306" t="s">
        <v>2392</v>
      </c>
      <c r="V92" s="309">
        <v>40681</v>
      </c>
      <c r="X92" s="270"/>
    </row>
    <row r="93" spans="9:24" ht="45" customHeight="1" x14ac:dyDescent="0.25">
      <c r="I93" s="703" t="s">
        <v>58</v>
      </c>
      <c r="J93" s="703" t="s">
        <v>1422</v>
      </c>
      <c r="K93" s="712">
        <v>7135</v>
      </c>
      <c r="L93" s="702">
        <v>2000</v>
      </c>
      <c r="M93" s="703" t="s">
        <v>114</v>
      </c>
      <c r="Q93" s="306" t="s">
        <v>59</v>
      </c>
      <c r="R93" s="306" t="s">
        <v>1422</v>
      </c>
      <c r="S93" s="307">
        <v>6397</v>
      </c>
      <c r="T93" s="308">
        <v>1500</v>
      </c>
      <c r="U93" s="306" t="s">
        <v>2392</v>
      </c>
      <c r="V93" s="309">
        <v>40674</v>
      </c>
      <c r="X93" s="270"/>
    </row>
    <row r="94" spans="9:24" ht="45" customHeight="1" x14ac:dyDescent="0.25">
      <c r="I94" s="703" t="s">
        <v>58</v>
      </c>
      <c r="J94" s="703" t="s">
        <v>1422</v>
      </c>
      <c r="K94" s="712">
        <v>12706</v>
      </c>
      <c r="L94" s="702">
        <v>2500</v>
      </c>
      <c r="M94" s="703" t="s">
        <v>114</v>
      </c>
      <c r="Q94" s="306" t="s">
        <v>59</v>
      </c>
      <c r="R94" s="306" t="s">
        <v>1422</v>
      </c>
      <c r="S94" s="307">
        <v>4370.59</v>
      </c>
      <c r="T94" s="308">
        <v>2000</v>
      </c>
      <c r="U94" s="306" t="s">
        <v>2392</v>
      </c>
      <c r="V94" s="309">
        <v>40665</v>
      </c>
      <c r="X94" s="270"/>
    </row>
    <row r="95" spans="9:24" ht="45" customHeight="1" x14ac:dyDescent="0.25">
      <c r="I95" s="703" t="s">
        <v>58</v>
      </c>
      <c r="J95" s="703" t="s">
        <v>1422</v>
      </c>
      <c r="K95" s="712">
        <v>21936</v>
      </c>
      <c r="L95" s="702">
        <v>4000</v>
      </c>
      <c r="M95" s="703" t="s">
        <v>114</v>
      </c>
      <c r="Q95" s="306" t="s">
        <v>59</v>
      </c>
      <c r="R95" s="306" t="s">
        <v>1422</v>
      </c>
      <c r="S95" s="307">
        <v>4077.12</v>
      </c>
      <c r="T95" s="308">
        <v>2000</v>
      </c>
      <c r="U95" s="306" t="s">
        <v>2392</v>
      </c>
      <c r="V95" s="309">
        <v>40679</v>
      </c>
      <c r="X95" s="270"/>
    </row>
    <row r="96" spans="9:24" ht="45" customHeight="1" x14ac:dyDescent="0.25">
      <c r="I96" s="703" t="s">
        <v>58</v>
      </c>
      <c r="J96" s="703" t="s">
        <v>1422</v>
      </c>
      <c r="K96" s="712">
        <v>17550</v>
      </c>
      <c r="L96" s="702">
        <v>4000</v>
      </c>
      <c r="M96" s="703" t="s">
        <v>114</v>
      </c>
      <c r="Q96" s="306" t="s">
        <v>59</v>
      </c>
      <c r="R96" s="306" t="s">
        <v>1422</v>
      </c>
      <c r="S96" s="307">
        <v>7000</v>
      </c>
      <c r="T96" s="308">
        <v>2000</v>
      </c>
      <c r="U96" s="306" t="s">
        <v>2392</v>
      </c>
      <c r="V96" s="309">
        <v>40653</v>
      </c>
      <c r="X96" s="270"/>
    </row>
    <row r="97" spans="9:24" ht="45" customHeight="1" x14ac:dyDescent="0.25">
      <c r="I97" s="703" t="s">
        <v>58</v>
      </c>
      <c r="J97" s="703" t="s">
        <v>1422</v>
      </c>
      <c r="K97" s="712">
        <v>19568</v>
      </c>
      <c r="L97" s="702">
        <v>2500</v>
      </c>
      <c r="M97" s="703" t="s">
        <v>114</v>
      </c>
      <c r="Q97" s="306" t="s">
        <v>59</v>
      </c>
      <c r="R97" s="306" t="s">
        <v>1422</v>
      </c>
      <c r="S97" s="307">
        <v>4811.09</v>
      </c>
      <c r="T97" s="308">
        <v>1250</v>
      </c>
      <c r="U97" s="306" t="s">
        <v>2392</v>
      </c>
      <c r="V97" s="309">
        <v>40653</v>
      </c>
      <c r="X97" s="270"/>
    </row>
    <row r="98" spans="9:24" ht="45" customHeight="1" x14ac:dyDescent="0.25">
      <c r="I98" s="703" t="s">
        <v>58</v>
      </c>
      <c r="J98" s="703" t="s">
        <v>1422</v>
      </c>
      <c r="K98" s="712">
        <v>9335</v>
      </c>
      <c r="L98" s="702">
        <v>4000</v>
      </c>
      <c r="M98" s="703" t="s">
        <v>114</v>
      </c>
      <c r="Q98" s="306" t="s">
        <v>59</v>
      </c>
      <c r="R98" s="306" t="s">
        <v>1422</v>
      </c>
      <c r="S98" s="307">
        <v>30781</v>
      </c>
      <c r="T98" s="308">
        <v>2000</v>
      </c>
      <c r="U98" s="306" t="s">
        <v>2392</v>
      </c>
      <c r="V98" s="309">
        <v>40700</v>
      </c>
      <c r="X98" s="270"/>
    </row>
    <row r="99" spans="9:24" ht="45" customHeight="1" x14ac:dyDescent="0.25">
      <c r="I99" s="703" t="s">
        <v>58</v>
      </c>
      <c r="J99" s="703" t="s">
        <v>1422</v>
      </c>
      <c r="K99" s="712">
        <v>32998.730000000003</v>
      </c>
      <c r="L99" s="702">
        <v>3000</v>
      </c>
      <c r="M99" s="703" t="s">
        <v>114</v>
      </c>
      <c r="Q99" s="306" t="s">
        <v>59</v>
      </c>
      <c r="R99" s="306" t="s">
        <v>1422</v>
      </c>
      <c r="S99" s="307">
        <v>4880</v>
      </c>
      <c r="T99" s="308">
        <v>2500</v>
      </c>
      <c r="U99" s="306" t="s">
        <v>2392</v>
      </c>
      <c r="V99" s="309">
        <v>40679</v>
      </c>
      <c r="X99" s="270"/>
    </row>
    <row r="100" spans="9:24" ht="45" customHeight="1" x14ac:dyDescent="0.25">
      <c r="I100" s="703" t="s">
        <v>58</v>
      </c>
      <c r="J100" s="703" t="s">
        <v>1422</v>
      </c>
      <c r="K100" s="712">
        <v>15178</v>
      </c>
      <c r="L100" s="702">
        <v>3000</v>
      </c>
      <c r="M100" s="703" t="s">
        <v>114</v>
      </c>
      <c r="Q100" s="306" t="s">
        <v>59</v>
      </c>
      <c r="R100" s="306" t="s">
        <v>1422</v>
      </c>
      <c r="S100" s="307">
        <v>4761</v>
      </c>
      <c r="T100" s="308">
        <v>2000</v>
      </c>
      <c r="U100" s="306" t="s">
        <v>2392</v>
      </c>
      <c r="V100" s="309">
        <v>40682</v>
      </c>
      <c r="X100" s="270"/>
    </row>
    <row r="101" spans="9:24" ht="45" customHeight="1" x14ac:dyDescent="0.25">
      <c r="I101" s="703" t="s">
        <v>58</v>
      </c>
      <c r="J101" s="703" t="s">
        <v>1422</v>
      </c>
      <c r="K101" s="712">
        <v>9510</v>
      </c>
      <c r="L101" s="702">
        <v>3000</v>
      </c>
      <c r="M101" s="703" t="s">
        <v>114</v>
      </c>
      <c r="Q101" s="306" t="s">
        <v>59</v>
      </c>
      <c r="R101" s="306" t="s">
        <v>1422</v>
      </c>
      <c r="S101" s="307">
        <v>7549</v>
      </c>
      <c r="T101" s="308">
        <v>2500</v>
      </c>
      <c r="U101" s="306" t="s">
        <v>2392</v>
      </c>
      <c r="V101" s="309">
        <v>40690</v>
      </c>
      <c r="X101" s="270"/>
    </row>
    <row r="102" spans="9:24" ht="45" customHeight="1" x14ac:dyDescent="0.25">
      <c r="I102" s="703" t="s">
        <v>58</v>
      </c>
      <c r="J102" s="703" t="s">
        <v>1422</v>
      </c>
      <c r="K102" s="712">
        <v>8750</v>
      </c>
      <c r="L102" s="702">
        <v>3000</v>
      </c>
      <c r="M102" s="703" t="s">
        <v>114</v>
      </c>
      <c r="Q102" s="306" t="s">
        <v>59</v>
      </c>
      <c r="R102" s="306" t="s">
        <v>1422</v>
      </c>
      <c r="S102" s="307">
        <v>19094</v>
      </c>
      <c r="T102" s="308">
        <v>4000</v>
      </c>
      <c r="U102" s="306" t="s">
        <v>2392</v>
      </c>
      <c r="V102" s="309">
        <v>40653</v>
      </c>
      <c r="X102" s="270"/>
    </row>
    <row r="103" spans="9:24" ht="45" customHeight="1" x14ac:dyDescent="0.25">
      <c r="I103" s="703" t="s">
        <v>58</v>
      </c>
      <c r="J103" s="703" t="s">
        <v>1422</v>
      </c>
      <c r="K103" s="712">
        <v>12950</v>
      </c>
      <c r="L103" s="702">
        <v>4000</v>
      </c>
      <c r="M103" s="703" t="s">
        <v>114</v>
      </c>
      <c r="Q103" s="306" t="s">
        <v>59</v>
      </c>
      <c r="R103" s="306" t="s">
        <v>1422</v>
      </c>
      <c r="S103" s="307">
        <v>22059</v>
      </c>
      <c r="T103" s="308">
        <v>3500</v>
      </c>
      <c r="U103" s="306" t="s">
        <v>2392</v>
      </c>
      <c r="V103" s="309">
        <v>40638</v>
      </c>
      <c r="X103" s="270"/>
    </row>
    <row r="104" spans="9:24" ht="45" customHeight="1" x14ac:dyDescent="0.25">
      <c r="I104" s="703" t="s">
        <v>58</v>
      </c>
      <c r="J104" s="703" t="s">
        <v>1422</v>
      </c>
      <c r="K104" s="712">
        <v>18650</v>
      </c>
      <c r="L104" s="702">
        <v>3500</v>
      </c>
      <c r="M104" s="703" t="s">
        <v>114</v>
      </c>
      <c r="Q104" s="306" t="s">
        <v>59</v>
      </c>
      <c r="R104" s="306" t="s">
        <v>1422</v>
      </c>
      <c r="S104" s="307">
        <v>8815</v>
      </c>
      <c r="T104" s="308">
        <v>2000</v>
      </c>
      <c r="U104" s="306" t="s">
        <v>2392</v>
      </c>
      <c r="V104" s="309">
        <v>40525</v>
      </c>
      <c r="X104" s="270"/>
    </row>
    <row r="105" spans="9:24" ht="45" customHeight="1" x14ac:dyDescent="0.25">
      <c r="I105" s="703" t="s">
        <v>58</v>
      </c>
      <c r="J105" s="703" t="s">
        <v>1422</v>
      </c>
      <c r="K105" s="712">
        <v>18885</v>
      </c>
      <c r="L105" s="702">
        <v>3000</v>
      </c>
      <c r="M105" s="703" t="s">
        <v>114</v>
      </c>
      <c r="Q105" s="306" t="s">
        <v>59</v>
      </c>
      <c r="R105" s="306" t="s">
        <v>1422</v>
      </c>
      <c r="S105" s="307">
        <v>8953</v>
      </c>
      <c r="T105" s="308">
        <v>2000</v>
      </c>
      <c r="U105" s="306" t="s">
        <v>2392</v>
      </c>
      <c r="V105" s="309">
        <v>40689</v>
      </c>
      <c r="X105" s="270"/>
    </row>
    <row r="106" spans="9:24" ht="45" customHeight="1" x14ac:dyDescent="0.25">
      <c r="I106" s="703" t="s">
        <v>58</v>
      </c>
      <c r="J106" s="703" t="s">
        <v>1422</v>
      </c>
      <c r="K106" s="712">
        <v>28109</v>
      </c>
      <c r="L106" s="702">
        <v>3000</v>
      </c>
      <c r="M106" s="703" t="s">
        <v>114</v>
      </c>
      <c r="Q106" s="306" t="s">
        <v>59</v>
      </c>
      <c r="R106" s="306" t="s">
        <v>1422</v>
      </c>
      <c r="S106" s="307">
        <v>14702</v>
      </c>
      <c r="T106" s="308">
        <v>4000</v>
      </c>
      <c r="U106" s="306" t="s">
        <v>2392</v>
      </c>
      <c r="V106" s="309">
        <v>40525</v>
      </c>
      <c r="X106" s="270"/>
    </row>
    <row r="107" spans="9:24" ht="45" customHeight="1" x14ac:dyDescent="0.25">
      <c r="I107" s="703" t="s">
        <v>58</v>
      </c>
      <c r="J107" s="703" t="s">
        <v>1422</v>
      </c>
      <c r="K107" s="712">
        <v>9665</v>
      </c>
      <c r="L107" s="702">
        <v>3500</v>
      </c>
      <c r="M107" s="703" t="s">
        <v>114</v>
      </c>
      <c r="Q107" s="306" t="s">
        <v>59</v>
      </c>
      <c r="R107" s="306" t="s">
        <v>1422</v>
      </c>
      <c r="S107" s="307">
        <v>14424</v>
      </c>
      <c r="T107" s="308">
        <v>3000</v>
      </c>
      <c r="U107" s="306" t="s">
        <v>2392</v>
      </c>
      <c r="V107" s="309">
        <v>40709</v>
      </c>
      <c r="X107" s="270"/>
    </row>
    <row r="108" spans="9:24" ht="45" customHeight="1" x14ac:dyDescent="0.25">
      <c r="I108" s="703" t="s">
        <v>58</v>
      </c>
      <c r="J108" s="703" t="s">
        <v>1422</v>
      </c>
      <c r="K108" s="712">
        <v>7305</v>
      </c>
      <c r="L108" s="702">
        <v>1500</v>
      </c>
      <c r="M108" s="703" t="s">
        <v>114</v>
      </c>
      <c r="Q108" s="306" t="s">
        <v>59</v>
      </c>
      <c r="R108" s="306" t="s">
        <v>1422</v>
      </c>
      <c r="S108" s="307">
        <v>22638</v>
      </c>
      <c r="T108" s="308">
        <v>3500</v>
      </c>
      <c r="U108" s="306" t="s">
        <v>2392</v>
      </c>
      <c r="V108" s="309">
        <v>40653</v>
      </c>
      <c r="X108" s="270"/>
    </row>
    <row r="109" spans="9:24" ht="45" customHeight="1" x14ac:dyDescent="0.25">
      <c r="I109" s="703" t="s">
        <v>58</v>
      </c>
      <c r="J109" s="703" t="s">
        <v>1422</v>
      </c>
      <c r="K109" s="712">
        <v>44540</v>
      </c>
      <c r="L109" s="702">
        <v>2500</v>
      </c>
      <c r="M109" s="703" t="s">
        <v>114</v>
      </c>
      <c r="Q109" s="306" t="s">
        <v>59</v>
      </c>
      <c r="R109" s="306" t="s">
        <v>1422</v>
      </c>
      <c r="S109" s="307">
        <v>7405</v>
      </c>
      <c r="T109" s="308">
        <v>2000</v>
      </c>
      <c r="U109" s="306" t="s">
        <v>2392</v>
      </c>
      <c r="V109" s="309">
        <v>40700</v>
      </c>
      <c r="X109" s="270"/>
    </row>
    <row r="110" spans="9:24" ht="45" customHeight="1" x14ac:dyDescent="0.25">
      <c r="I110" s="703" t="s">
        <v>58</v>
      </c>
      <c r="J110" s="703" t="s">
        <v>1422</v>
      </c>
      <c r="K110" s="712">
        <v>9000</v>
      </c>
      <c r="L110" s="702">
        <v>3500</v>
      </c>
      <c r="M110" s="703" t="s">
        <v>114</v>
      </c>
      <c r="Q110" s="306" t="s">
        <v>59</v>
      </c>
      <c r="R110" s="306" t="s">
        <v>1422</v>
      </c>
      <c r="S110" s="307">
        <v>4471</v>
      </c>
      <c r="T110" s="308">
        <v>3500</v>
      </c>
      <c r="U110" s="306" t="s">
        <v>2392</v>
      </c>
      <c r="V110" s="309">
        <v>40700</v>
      </c>
      <c r="X110" s="270"/>
    </row>
    <row r="111" spans="9:24" ht="45" customHeight="1" x14ac:dyDescent="0.25">
      <c r="I111" s="703" t="s">
        <v>58</v>
      </c>
      <c r="J111" s="703" t="s">
        <v>1422</v>
      </c>
      <c r="K111" s="712">
        <v>27570</v>
      </c>
      <c r="L111" s="702">
        <v>2000</v>
      </c>
      <c r="M111" s="703" t="s">
        <v>114</v>
      </c>
      <c r="Q111" s="306" t="s">
        <v>59</v>
      </c>
      <c r="R111" s="306" t="s">
        <v>1422</v>
      </c>
      <c r="S111" s="307">
        <v>18330</v>
      </c>
      <c r="T111" s="308">
        <v>2500</v>
      </c>
      <c r="U111" s="306" t="s">
        <v>2392</v>
      </c>
      <c r="V111" s="309">
        <v>40634</v>
      </c>
      <c r="X111" s="270"/>
    </row>
    <row r="112" spans="9:24" ht="45" customHeight="1" x14ac:dyDescent="0.25">
      <c r="I112" s="703" t="s">
        <v>58</v>
      </c>
      <c r="J112" s="703" t="s">
        <v>1422</v>
      </c>
      <c r="K112" s="712">
        <v>10822</v>
      </c>
      <c r="L112" s="702">
        <v>2000</v>
      </c>
      <c r="M112" s="703" t="s">
        <v>114</v>
      </c>
      <c r="Q112" s="306" t="s">
        <v>59</v>
      </c>
      <c r="R112" s="306" t="s">
        <v>1422</v>
      </c>
      <c r="S112" s="307">
        <v>17613</v>
      </c>
      <c r="T112" s="308">
        <v>3000</v>
      </c>
      <c r="U112" s="306" t="s">
        <v>2392</v>
      </c>
      <c r="V112" s="309">
        <v>40653</v>
      </c>
      <c r="X112" s="270"/>
    </row>
    <row r="113" spans="9:24" ht="45" customHeight="1" x14ac:dyDescent="0.25">
      <c r="I113" s="703" t="s">
        <v>58</v>
      </c>
      <c r="J113" s="703" t="s">
        <v>1422</v>
      </c>
      <c r="K113" s="712">
        <v>8903</v>
      </c>
      <c r="L113" s="702">
        <v>2000</v>
      </c>
      <c r="M113" s="703" t="s">
        <v>114</v>
      </c>
      <c r="Q113" s="306" t="s">
        <v>59</v>
      </c>
      <c r="R113" s="306" t="s">
        <v>1422</v>
      </c>
      <c r="S113" s="307">
        <v>24608</v>
      </c>
      <c r="T113" s="308">
        <v>3500</v>
      </c>
      <c r="U113" s="306" t="s">
        <v>2392</v>
      </c>
      <c r="V113" s="309">
        <v>40637</v>
      </c>
      <c r="X113" s="270"/>
    </row>
    <row r="114" spans="9:24" ht="45" customHeight="1" x14ac:dyDescent="0.25">
      <c r="I114" s="703" t="s">
        <v>58</v>
      </c>
      <c r="J114" s="703" t="s">
        <v>1422</v>
      </c>
      <c r="K114" s="712">
        <v>38264.949999999997</v>
      </c>
      <c r="L114" s="702">
        <v>4000</v>
      </c>
      <c r="M114" s="703" t="s">
        <v>114</v>
      </c>
      <c r="Q114" s="306" t="s">
        <v>59</v>
      </c>
      <c r="R114" s="306" t="s">
        <v>1422</v>
      </c>
      <c r="S114" s="307">
        <v>4819.97</v>
      </c>
      <c r="T114" s="308">
        <v>3000</v>
      </c>
      <c r="U114" s="306" t="s">
        <v>2392</v>
      </c>
      <c r="V114" s="309">
        <v>40645</v>
      </c>
      <c r="X114" s="270"/>
    </row>
    <row r="115" spans="9:24" ht="45" customHeight="1" x14ac:dyDescent="0.25">
      <c r="I115" s="703" t="s">
        <v>58</v>
      </c>
      <c r="J115" s="703" t="s">
        <v>1422</v>
      </c>
      <c r="K115" s="712">
        <v>19895</v>
      </c>
      <c r="L115" s="702">
        <v>4000</v>
      </c>
      <c r="M115" s="703" t="s">
        <v>114</v>
      </c>
      <c r="Q115" s="306" t="s">
        <v>59</v>
      </c>
      <c r="R115" s="306" t="s">
        <v>1422</v>
      </c>
      <c r="S115" s="307">
        <v>3247</v>
      </c>
      <c r="T115" s="308">
        <v>1250</v>
      </c>
      <c r="U115" s="306" t="s">
        <v>2392</v>
      </c>
      <c r="V115" s="309">
        <v>40646</v>
      </c>
      <c r="X115" s="270"/>
    </row>
    <row r="116" spans="9:24" ht="30" x14ac:dyDescent="0.25">
      <c r="I116" s="703" t="s">
        <v>58</v>
      </c>
      <c r="J116" s="703" t="s">
        <v>1422</v>
      </c>
      <c r="K116" s="712">
        <v>10073</v>
      </c>
      <c r="L116" s="702">
        <v>2500</v>
      </c>
      <c r="M116" s="703" t="s">
        <v>114</v>
      </c>
      <c r="Q116" s="306" t="s">
        <v>59</v>
      </c>
      <c r="R116" s="306" t="s">
        <v>1491</v>
      </c>
      <c r="S116" s="307">
        <v>3972</v>
      </c>
      <c r="T116" s="308">
        <v>1000</v>
      </c>
      <c r="U116" s="306" t="s">
        <v>2392</v>
      </c>
      <c r="V116" s="309">
        <v>40855</v>
      </c>
      <c r="X116" s="270"/>
    </row>
    <row r="117" spans="9:24" ht="30" x14ac:dyDescent="0.25">
      <c r="I117" s="703" t="s">
        <v>58</v>
      </c>
      <c r="J117" s="703" t="s">
        <v>1422</v>
      </c>
      <c r="K117" s="712">
        <v>10432</v>
      </c>
      <c r="L117" s="702">
        <v>2000</v>
      </c>
      <c r="M117" s="703" t="s">
        <v>114</v>
      </c>
      <c r="Q117" s="306" t="s">
        <v>59</v>
      </c>
      <c r="R117" s="306" t="s">
        <v>1491</v>
      </c>
      <c r="S117" s="307">
        <v>2802</v>
      </c>
      <c r="T117" s="308">
        <v>1000</v>
      </c>
      <c r="U117" s="306" t="s">
        <v>2392</v>
      </c>
      <c r="V117" s="309">
        <v>40855</v>
      </c>
      <c r="X117" s="271"/>
    </row>
    <row r="118" spans="9:24" ht="30" x14ac:dyDescent="0.25">
      <c r="I118" s="703" t="s">
        <v>58</v>
      </c>
      <c r="J118" s="703" t="s">
        <v>1422</v>
      </c>
      <c r="K118" s="712">
        <v>23439</v>
      </c>
      <c r="L118" s="702">
        <v>3000</v>
      </c>
      <c r="M118" s="703" t="s">
        <v>114</v>
      </c>
      <c r="Q118" s="306" t="s">
        <v>59</v>
      </c>
      <c r="R118" s="306" t="s">
        <v>1491</v>
      </c>
      <c r="S118" s="307">
        <v>2000</v>
      </c>
      <c r="T118" s="308">
        <v>1000</v>
      </c>
      <c r="U118" s="306" t="s">
        <v>2392</v>
      </c>
      <c r="V118" s="309">
        <v>40843</v>
      </c>
      <c r="X118" s="270"/>
    </row>
    <row r="119" spans="9:24" ht="30" x14ac:dyDescent="0.25">
      <c r="I119" s="703" t="s">
        <v>58</v>
      </c>
      <c r="J119" s="703" t="s">
        <v>1422</v>
      </c>
      <c r="K119" s="712">
        <v>10485</v>
      </c>
      <c r="L119" s="702">
        <v>2000</v>
      </c>
      <c r="M119" s="703" t="s">
        <v>114</v>
      </c>
      <c r="Q119" s="306" t="s">
        <v>59</v>
      </c>
      <c r="R119" s="306" t="s">
        <v>1491</v>
      </c>
      <c r="S119" s="307">
        <v>4675</v>
      </c>
      <c r="T119" s="308">
        <v>1000</v>
      </c>
      <c r="U119" s="306" t="s">
        <v>2392</v>
      </c>
      <c r="V119" s="309">
        <v>40799</v>
      </c>
      <c r="X119" s="270"/>
    </row>
    <row r="120" spans="9:24" ht="30" x14ac:dyDescent="0.25">
      <c r="I120" s="703" t="s">
        <v>58</v>
      </c>
      <c r="J120" s="703" t="s">
        <v>1422</v>
      </c>
      <c r="K120" s="712">
        <v>31937</v>
      </c>
      <c r="L120" s="702">
        <v>3000</v>
      </c>
      <c r="M120" s="703" t="s">
        <v>114</v>
      </c>
      <c r="Q120" s="306" t="s">
        <v>59</v>
      </c>
      <c r="R120" s="306" t="s">
        <v>1491</v>
      </c>
      <c r="S120" s="307">
        <v>2000</v>
      </c>
      <c r="T120" s="308">
        <v>1000</v>
      </c>
      <c r="U120" s="306" t="s">
        <v>2392</v>
      </c>
      <c r="V120" s="309">
        <v>40819</v>
      </c>
      <c r="X120" s="270"/>
    </row>
    <row r="121" spans="9:24" ht="30" x14ac:dyDescent="0.25">
      <c r="I121" s="703" t="s">
        <v>58</v>
      </c>
      <c r="J121" s="703" t="s">
        <v>1422</v>
      </c>
      <c r="K121" s="712">
        <v>20445</v>
      </c>
      <c r="L121" s="702">
        <v>2000</v>
      </c>
      <c r="M121" s="703" t="s">
        <v>114</v>
      </c>
      <c r="Q121" s="306" t="s">
        <v>59</v>
      </c>
      <c r="R121" s="306" t="s">
        <v>1491</v>
      </c>
      <c r="S121" s="307">
        <v>2910</v>
      </c>
      <c r="T121" s="308">
        <v>1000</v>
      </c>
      <c r="U121" s="306" t="s">
        <v>2392</v>
      </c>
      <c r="V121" s="309">
        <v>40795</v>
      </c>
      <c r="X121" s="270"/>
    </row>
    <row r="122" spans="9:24" ht="30" x14ac:dyDescent="0.25">
      <c r="I122" s="703" t="s">
        <v>58</v>
      </c>
      <c r="J122" s="703" t="s">
        <v>1422</v>
      </c>
      <c r="K122" s="712">
        <v>11101</v>
      </c>
      <c r="L122" s="702">
        <v>3500</v>
      </c>
      <c r="M122" s="703" t="s">
        <v>114</v>
      </c>
      <c r="Q122" s="306" t="s">
        <v>59</v>
      </c>
      <c r="R122" s="306" t="s">
        <v>1491</v>
      </c>
      <c r="S122" s="307">
        <v>3200</v>
      </c>
      <c r="T122" s="308">
        <v>1000</v>
      </c>
      <c r="U122" s="306" t="s">
        <v>2392</v>
      </c>
      <c r="V122" s="309">
        <v>40792</v>
      </c>
      <c r="X122" s="270"/>
    </row>
    <row r="123" spans="9:24" ht="30" x14ac:dyDescent="0.25">
      <c r="I123" s="703" t="s">
        <v>58</v>
      </c>
      <c r="J123" s="703" t="s">
        <v>1422</v>
      </c>
      <c r="K123" s="712">
        <v>51012</v>
      </c>
      <c r="L123" s="702">
        <v>4000</v>
      </c>
      <c r="M123" s="703" t="s">
        <v>114</v>
      </c>
      <c r="Q123" s="306" t="s">
        <v>59</v>
      </c>
      <c r="R123" s="306" t="s">
        <v>1491</v>
      </c>
      <c r="S123" s="307">
        <v>3633</v>
      </c>
      <c r="T123" s="308">
        <v>1000</v>
      </c>
      <c r="U123" s="306" t="s">
        <v>2392</v>
      </c>
      <c r="V123" s="309">
        <v>40759</v>
      </c>
      <c r="X123" s="270"/>
    </row>
    <row r="124" spans="9:24" ht="30" x14ac:dyDescent="0.25">
      <c r="I124" s="703" t="s">
        <v>58</v>
      </c>
      <c r="J124" s="703" t="s">
        <v>1422</v>
      </c>
      <c r="K124" s="712">
        <v>15283</v>
      </c>
      <c r="L124" s="702">
        <v>1500</v>
      </c>
      <c r="M124" s="703" t="s">
        <v>114</v>
      </c>
      <c r="Q124" s="306" t="s">
        <v>59</v>
      </c>
      <c r="R124" s="306" t="s">
        <v>1491</v>
      </c>
      <c r="S124" s="307">
        <v>1700</v>
      </c>
      <c r="T124" s="308">
        <v>1000</v>
      </c>
      <c r="U124" s="306" t="s">
        <v>2392</v>
      </c>
      <c r="V124" s="309">
        <v>40751</v>
      </c>
      <c r="X124" s="270"/>
    </row>
    <row r="125" spans="9:24" ht="30" x14ac:dyDescent="0.25">
      <c r="I125" s="703" t="s">
        <v>58</v>
      </c>
      <c r="J125" s="703" t="s">
        <v>1422</v>
      </c>
      <c r="K125" s="712">
        <v>25693</v>
      </c>
      <c r="L125" s="702">
        <v>3500</v>
      </c>
      <c r="M125" s="703" t="s">
        <v>114</v>
      </c>
      <c r="Q125" s="306" t="s">
        <v>59</v>
      </c>
      <c r="R125" s="306" t="s">
        <v>1491</v>
      </c>
      <c r="S125" s="307">
        <v>1700</v>
      </c>
      <c r="T125" s="308">
        <v>1000</v>
      </c>
      <c r="U125" s="306" t="s">
        <v>2392</v>
      </c>
      <c r="V125" s="309">
        <v>40744</v>
      </c>
      <c r="X125" s="270"/>
    </row>
    <row r="126" spans="9:24" ht="30" x14ac:dyDescent="0.25">
      <c r="I126" s="703" t="s">
        <v>58</v>
      </c>
      <c r="J126" s="703" t="s">
        <v>1422</v>
      </c>
      <c r="K126" s="712">
        <v>6500</v>
      </c>
      <c r="L126" s="702">
        <v>2500</v>
      </c>
      <c r="M126" s="703" t="s">
        <v>114</v>
      </c>
      <c r="Q126" s="306" t="s">
        <v>59</v>
      </c>
      <c r="R126" s="306" t="s">
        <v>1491</v>
      </c>
      <c r="S126" s="307">
        <v>10750</v>
      </c>
      <c r="T126" s="308">
        <v>1000</v>
      </c>
      <c r="U126" s="306" t="s">
        <v>2392</v>
      </c>
      <c r="V126" s="309">
        <v>40744</v>
      </c>
      <c r="X126" s="270"/>
    </row>
    <row r="127" spans="9:24" ht="30" x14ac:dyDescent="0.25">
      <c r="I127" s="703" t="s">
        <v>58</v>
      </c>
      <c r="J127" s="703" t="s">
        <v>1422</v>
      </c>
      <c r="K127" s="712">
        <v>20633</v>
      </c>
      <c r="L127" s="702">
        <v>4000</v>
      </c>
      <c r="M127" s="703" t="s">
        <v>114</v>
      </c>
      <c r="Q127" s="306" t="s">
        <v>59</v>
      </c>
      <c r="R127" s="306" t="s">
        <v>1491</v>
      </c>
      <c r="S127" s="307">
        <v>1700</v>
      </c>
      <c r="T127" s="308">
        <v>1000</v>
      </c>
      <c r="U127" s="306" t="s">
        <v>2392</v>
      </c>
      <c r="V127" s="309">
        <v>40744</v>
      </c>
      <c r="X127" s="270"/>
    </row>
    <row r="128" spans="9:24" ht="30" x14ac:dyDescent="0.25">
      <c r="I128" s="703" t="s">
        <v>58</v>
      </c>
      <c r="J128" s="703" t="s">
        <v>1422</v>
      </c>
      <c r="K128" s="712">
        <v>23353</v>
      </c>
      <c r="L128" s="702">
        <v>3500</v>
      </c>
      <c r="M128" s="703" t="s">
        <v>114</v>
      </c>
      <c r="Q128" s="306" t="s">
        <v>59</v>
      </c>
      <c r="R128" s="306" t="s">
        <v>1491</v>
      </c>
      <c r="S128" s="307">
        <v>4680</v>
      </c>
      <c r="T128" s="308">
        <v>1000</v>
      </c>
      <c r="U128" s="306" t="s">
        <v>2392</v>
      </c>
      <c r="V128" s="309">
        <v>40736</v>
      </c>
      <c r="X128" s="270"/>
    </row>
    <row r="129" spans="9:24" ht="30" x14ac:dyDescent="0.25">
      <c r="I129" s="703" t="s">
        <v>58</v>
      </c>
      <c r="J129" s="703" t="s">
        <v>1422</v>
      </c>
      <c r="K129" s="712">
        <v>27552</v>
      </c>
      <c r="L129" s="702">
        <v>4000</v>
      </c>
      <c r="M129" s="703" t="s">
        <v>114</v>
      </c>
      <c r="Q129" s="306" t="s">
        <v>59</v>
      </c>
      <c r="R129" s="306" t="s">
        <v>1491</v>
      </c>
      <c r="S129" s="307">
        <v>4520</v>
      </c>
      <c r="T129" s="308">
        <v>1000</v>
      </c>
      <c r="U129" s="306" t="s">
        <v>2392</v>
      </c>
      <c r="V129" s="309">
        <v>40863</v>
      </c>
      <c r="X129" s="270"/>
    </row>
    <row r="130" spans="9:24" ht="30" x14ac:dyDescent="0.25">
      <c r="I130" s="703" t="s">
        <v>58</v>
      </c>
      <c r="J130" s="703" t="s">
        <v>1422</v>
      </c>
      <c r="K130" s="712">
        <v>14148</v>
      </c>
      <c r="L130" s="702">
        <v>3000</v>
      </c>
      <c r="M130" s="703" t="s">
        <v>114</v>
      </c>
      <c r="Q130" s="306" t="s">
        <v>59</v>
      </c>
      <c r="R130" s="306" t="s">
        <v>1491</v>
      </c>
      <c r="S130" s="307">
        <v>1700</v>
      </c>
      <c r="T130" s="308">
        <v>1000</v>
      </c>
      <c r="U130" s="306" t="s">
        <v>2392</v>
      </c>
      <c r="V130" s="309">
        <v>40764</v>
      </c>
      <c r="X130" s="270"/>
    </row>
    <row r="131" spans="9:24" x14ac:dyDescent="0.25">
      <c r="I131" s="703" t="s">
        <v>58</v>
      </c>
      <c r="J131" s="703" t="s">
        <v>1422</v>
      </c>
      <c r="K131" s="712">
        <v>10900</v>
      </c>
      <c r="L131" s="702">
        <v>1500</v>
      </c>
      <c r="M131" s="703" t="s">
        <v>114</v>
      </c>
      <c r="N131" s="269"/>
      <c r="P131" s="270"/>
    </row>
    <row r="132" spans="9:24" x14ac:dyDescent="0.25">
      <c r="I132" s="703" t="s">
        <v>58</v>
      </c>
      <c r="J132" s="703" t="s">
        <v>1422</v>
      </c>
      <c r="K132" s="712">
        <v>10000</v>
      </c>
      <c r="L132" s="702">
        <v>4000</v>
      </c>
      <c r="M132" s="703" t="s">
        <v>114</v>
      </c>
      <c r="N132" s="269"/>
      <c r="P132" s="270"/>
    </row>
    <row r="133" spans="9:24" x14ac:dyDescent="0.25">
      <c r="I133" s="703" t="s">
        <v>58</v>
      </c>
      <c r="J133" s="703" t="s">
        <v>1422</v>
      </c>
      <c r="K133" s="712">
        <v>12115</v>
      </c>
      <c r="L133" s="702">
        <v>2000</v>
      </c>
      <c r="M133" s="703" t="s">
        <v>114</v>
      </c>
      <c r="N133" s="269"/>
      <c r="P133" s="270"/>
    </row>
    <row r="134" spans="9:24" x14ac:dyDescent="0.25">
      <c r="I134" s="703" t="s">
        <v>58</v>
      </c>
      <c r="J134" s="703" t="s">
        <v>1422</v>
      </c>
      <c r="K134" s="712">
        <v>43256</v>
      </c>
      <c r="L134" s="702">
        <v>1500</v>
      </c>
      <c r="M134" s="703" t="s">
        <v>114</v>
      </c>
      <c r="N134" s="269"/>
      <c r="P134" s="270"/>
    </row>
    <row r="135" spans="9:24" x14ac:dyDescent="0.25">
      <c r="I135" s="703" t="s">
        <v>58</v>
      </c>
      <c r="J135" s="703" t="s">
        <v>1422</v>
      </c>
      <c r="K135" s="712">
        <v>16718</v>
      </c>
      <c r="L135" s="702">
        <v>3000</v>
      </c>
      <c r="M135" s="703" t="s">
        <v>114</v>
      </c>
      <c r="N135" s="269"/>
      <c r="P135" s="270"/>
    </row>
    <row r="136" spans="9:24" x14ac:dyDescent="0.25">
      <c r="I136" s="703" t="s">
        <v>58</v>
      </c>
      <c r="J136" s="703" t="s">
        <v>1422</v>
      </c>
      <c r="K136" s="712">
        <v>22266</v>
      </c>
      <c r="L136" s="702">
        <v>2500</v>
      </c>
      <c r="M136" s="703" t="s">
        <v>114</v>
      </c>
      <c r="N136" s="269"/>
      <c r="P136" s="270"/>
    </row>
    <row r="137" spans="9:24" x14ac:dyDescent="0.25">
      <c r="I137" s="703" t="s">
        <v>58</v>
      </c>
      <c r="J137" s="703" t="s">
        <v>1422</v>
      </c>
      <c r="K137" s="712">
        <v>8143.62</v>
      </c>
      <c r="L137" s="702">
        <v>3500</v>
      </c>
      <c r="M137" s="703" t="s">
        <v>114</v>
      </c>
      <c r="N137" s="269"/>
      <c r="P137" s="270"/>
    </row>
    <row r="138" spans="9:24" x14ac:dyDescent="0.25">
      <c r="I138" s="703" t="s">
        <v>58</v>
      </c>
      <c r="J138" s="703" t="s">
        <v>1422</v>
      </c>
      <c r="K138" s="712">
        <v>8000</v>
      </c>
      <c r="L138" s="702">
        <v>2000</v>
      </c>
      <c r="M138" s="703" t="s">
        <v>114</v>
      </c>
      <c r="N138" s="269"/>
      <c r="P138" s="270"/>
    </row>
    <row r="139" spans="9:24" x14ac:dyDescent="0.25">
      <c r="I139" s="703" t="s">
        <v>58</v>
      </c>
      <c r="J139" s="703" t="s">
        <v>1422</v>
      </c>
      <c r="K139" s="712">
        <v>9833</v>
      </c>
      <c r="L139" s="702">
        <v>2500</v>
      </c>
      <c r="M139" s="703" t="s">
        <v>114</v>
      </c>
      <c r="N139" s="269"/>
      <c r="P139" s="270"/>
    </row>
    <row r="140" spans="9:24" x14ac:dyDescent="0.25">
      <c r="I140" s="703" t="s">
        <v>58</v>
      </c>
      <c r="J140" s="703" t="s">
        <v>1422</v>
      </c>
      <c r="K140" s="712">
        <v>11932</v>
      </c>
      <c r="L140" s="702">
        <v>4000</v>
      </c>
      <c r="M140" s="703" t="s">
        <v>114</v>
      </c>
      <c r="N140" s="269"/>
      <c r="P140" s="270"/>
    </row>
    <row r="141" spans="9:24" x14ac:dyDescent="0.25">
      <c r="I141" s="703" t="s">
        <v>58</v>
      </c>
      <c r="J141" s="703" t="s">
        <v>1422</v>
      </c>
      <c r="K141" s="712">
        <v>9186</v>
      </c>
      <c r="L141" s="702">
        <v>2000</v>
      </c>
      <c r="M141" s="703" t="s">
        <v>114</v>
      </c>
      <c r="N141" s="269"/>
      <c r="P141" s="270"/>
    </row>
    <row r="142" spans="9:24" x14ac:dyDescent="0.25">
      <c r="I142" s="703" t="s">
        <v>58</v>
      </c>
      <c r="J142" s="703" t="s">
        <v>1422</v>
      </c>
      <c r="K142" s="712">
        <v>21850</v>
      </c>
      <c r="L142" s="702">
        <v>2000</v>
      </c>
      <c r="M142" s="703" t="s">
        <v>114</v>
      </c>
      <c r="N142" s="269"/>
      <c r="P142" s="270"/>
    </row>
    <row r="143" spans="9:24" x14ac:dyDescent="0.25">
      <c r="I143" s="703" t="s">
        <v>58</v>
      </c>
      <c r="J143" s="703" t="s">
        <v>1422</v>
      </c>
      <c r="K143" s="712">
        <v>17965</v>
      </c>
      <c r="L143" s="702">
        <v>3500</v>
      </c>
      <c r="M143" s="703" t="s">
        <v>114</v>
      </c>
      <c r="N143" s="269"/>
      <c r="P143" s="270"/>
    </row>
    <row r="144" spans="9:24" x14ac:dyDescent="0.25">
      <c r="I144" s="703" t="s">
        <v>58</v>
      </c>
      <c r="J144" s="703" t="s">
        <v>1422</v>
      </c>
      <c r="K144" s="712">
        <v>8532</v>
      </c>
      <c r="L144" s="702">
        <v>2500</v>
      </c>
      <c r="M144" s="703" t="s">
        <v>114</v>
      </c>
      <c r="N144" s="269"/>
      <c r="P144" s="270"/>
    </row>
    <row r="145" spans="9:16" x14ac:dyDescent="0.25">
      <c r="I145" s="703" t="s">
        <v>58</v>
      </c>
      <c r="J145" s="703" t="s">
        <v>1422</v>
      </c>
      <c r="K145" s="712">
        <v>5045</v>
      </c>
      <c r="L145" s="702">
        <v>2000</v>
      </c>
      <c r="M145" s="703" t="s">
        <v>114</v>
      </c>
      <c r="N145" s="269"/>
      <c r="P145" s="270"/>
    </row>
    <row r="146" spans="9:16" x14ac:dyDescent="0.25">
      <c r="I146" s="703" t="s">
        <v>58</v>
      </c>
      <c r="J146" s="703" t="s">
        <v>1422</v>
      </c>
      <c r="K146" s="712">
        <v>16095</v>
      </c>
      <c r="L146" s="702">
        <v>3500</v>
      </c>
      <c r="M146" s="703" t="s">
        <v>114</v>
      </c>
      <c r="N146" s="269"/>
      <c r="P146" s="270"/>
    </row>
    <row r="147" spans="9:16" x14ac:dyDescent="0.25">
      <c r="I147" s="703" t="s">
        <v>58</v>
      </c>
      <c r="J147" s="703" t="s">
        <v>1422</v>
      </c>
      <c r="K147" s="712">
        <v>11174</v>
      </c>
      <c r="L147" s="702">
        <v>4000</v>
      </c>
      <c r="M147" s="703" t="s">
        <v>114</v>
      </c>
      <c r="N147" s="269"/>
      <c r="P147" s="270"/>
    </row>
    <row r="148" spans="9:16" x14ac:dyDescent="0.25">
      <c r="I148" s="703" t="s">
        <v>58</v>
      </c>
      <c r="J148" s="703" t="s">
        <v>1422</v>
      </c>
      <c r="K148" s="712">
        <v>12250</v>
      </c>
      <c r="L148" s="702">
        <v>1500</v>
      </c>
      <c r="M148" s="703" t="s">
        <v>114</v>
      </c>
      <c r="N148" s="269"/>
      <c r="P148" s="270"/>
    </row>
    <row r="149" spans="9:16" x14ac:dyDescent="0.25">
      <c r="I149" s="703" t="s">
        <v>58</v>
      </c>
      <c r="J149" s="703" t="s">
        <v>1422</v>
      </c>
      <c r="K149" s="712">
        <v>24610</v>
      </c>
      <c r="L149" s="702">
        <v>4000</v>
      </c>
      <c r="M149" s="703" t="s">
        <v>114</v>
      </c>
      <c r="N149" s="269"/>
      <c r="P149" s="270"/>
    </row>
    <row r="150" spans="9:16" x14ac:dyDescent="0.25">
      <c r="I150" s="703" t="s">
        <v>58</v>
      </c>
      <c r="J150" s="703" t="s">
        <v>1422</v>
      </c>
      <c r="K150" s="712">
        <v>12400</v>
      </c>
      <c r="L150" s="702">
        <v>4000</v>
      </c>
      <c r="M150" s="703" t="s">
        <v>114</v>
      </c>
      <c r="N150" s="269"/>
      <c r="P150" s="270"/>
    </row>
    <row r="151" spans="9:16" x14ac:dyDescent="0.25">
      <c r="I151" s="703" t="s">
        <v>58</v>
      </c>
      <c r="J151" s="703" t="s">
        <v>1422</v>
      </c>
      <c r="K151" s="712">
        <v>13936</v>
      </c>
      <c r="L151" s="702">
        <v>1500</v>
      </c>
      <c r="M151" s="703" t="s">
        <v>114</v>
      </c>
      <c r="N151" s="269"/>
      <c r="P151" s="270"/>
    </row>
    <row r="152" spans="9:16" x14ac:dyDescent="0.25">
      <c r="I152" s="703" t="s">
        <v>58</v>
      </c>
      <c r="J152" s="703" t="s">
        <v>1422</v>
      </c>
      <c r="K152" s="712">
        <v>27538</v>
      </c>
      <c r="L152" s="702">
        <v>2000</v>
      </c>
      <c r="M152" s="703" t="s">
        <v>114</v>
      </c>
      <c r="N152" s="269"/>
      <c r="P152" s="270"/>
    </row>
    <row r="153" spans="9:16" x14ac:dyDescent="0.25">
      <c r="I153" s="703" t="s">
        <v>58</v>
      </c>
      <c r="J153" s="703" t="s">
        <v>1422</v>
      </c>
      <c r="K153" s="712">
        <v>10165</v>
      </c>
      <c r="L153" s="702">
        <v>2000</v>
      </c>
      <c r="M153" s="703" t="s">
        <v>114</v>
      </c>
      <c r="N153" s="269"/>
      <c r="P153" s="270"/>
    </row>
    <row r="154" spans="9:16" x14ac:dyDescent="0.25">
      <c r="I154" s="703" t="s">
        <v>58</v>
      </c>
      <c r="J154" s="703" t="s">
        <v>1422</v>
      </c>
      <c r="K154" s="712">
        <v>16020</v>
      </c>
      <c r="L154" s="702">
        <v>3000</v>
      </c>
      <c r="M154" s="703" t="s">
        <v>114</v>
      </c>
      <c r="N154" s="269"/>
      <c r="P154" s="270"/>
    </row>
    <row r="155" spans="9:16" x14ac:dyDescent="0.25">
      <c r="I155" s="703" t="s">
        <v>58</v>
      </c>
      <c r="J155" s="703" t="s">
        <v>1422</v>
      </c>
      <c r="K155" s="712">
        <v>25502</v>
      </c>
      <c r="L155" s="702">
        <v>4000</v>
      </c>
      <c r="M155" s="703" t="s">
        <v>114</v>
      </c>
      <c r="N155" s="269"/>
      <c r="P155" s="270"/>
    </row>
    <row r="156" spans="9:16" x14ac:dyDescent="0.25">
      <c r="I156" s="703" t="s">
        <v>58</v>
      </c>
      <c r="J156" s="703" t="s">
        <v>1422</v>
      </c>
      <c r="K156" s="712">
        <v>10321</v>
      </c>
      <c r="L156" s="702">
        <v>4000</v>
      </c>
      <c r="M156" s="703" t="s">
        <v>114</v>
      </c>
      <c r="N156" s="269"/>
      <c r="P156" s="270"/>
    </row>
    <row r="157" spans="9:16" x14ac:dyDescent="0.25">
      <c r="I157" s="703" t="s">
        <v>58</v>
      </c>
      <c r="J157" s="703" t="s">
        <v>1422</v>
      </c>
      <c r="K157" s="712">
        <v>4055</v>
      </c>
      <c r="L157" s="702">
        <v>2500</v>
      </c>
      <c r="M157" s="703" t="s">
        <v>114</v>
      </c>
      <c r="N157" s="269"/>
      <c r="P157" s="270"/>
    </row>
    <row r="158" spans="9:16" x14ac:dyDescent="0.25">
      <c r="I158" s="703" t="s">
        <v>58</v>
      </c>
      <c r="J158" s="703" t="s">
        <v>1422</v>
      </c>
      <c r="K158" s="712">
        <v>17010</v>
      </c>
      <c r="L158" s="702">
        <v>3000</v>
      </c>
      <c r="M158" s="703" t="s">
        <v>114</v>
      </c>
      <c r="N158" s="269"/>
      <c r="P158" s="271"/>
    </row>
    <row r="159" spans="9:16" x14ac:dyDescent="0.25">
      <c r="I159" s="703" t="s">
        <v>58</v>
      </c>
      <c r="J159" s="703" t="s">
        <v>1422</v>
      </c>
      <c r="K159" s="712">
        <v>18375</v>
      </c>
      <c r="L159" s="702">
        <v>4000</v>
      </c>
      <c r="M159" s="703" t="s">
        <v>114</v>
      </c>
      <c r="N159" s="269"/>
      <c r="P159" s="270"/>
    </row>
    <row r="160" spans="9:16" x14ac:dyDescent="0.25">
      <c r="I160" s="703" t="s">
        <v>58</v>
      </c>
      <c r="J160" s="703" t="s">
        <v>1422</v>
      </c>
      <c r="K160" s="712">
        <v>7235</v>
      </c>
      <c r="L160" s="702">
        <v>1500</v>
      </c>
      <c r="M160" s="703" t="s">
        <v>114</v>
      </c>
      <c r="N160" s="269"/>
      <c r="P160" s="270"/>
    </row>
    <row r="161" spans="9:16" x14ac:dyDescent="0.25">
      <c r="I161" s="703" t="s">
        <v>58</v>
      </c>
      <c r="J161" s="703" t="s">
        <v>1422</v>
      </c>
      <c r="K161" s="712">
        <v>9765</v>
      </c>
      <c r="L161" s="702">
        <v>3000</v>
      </c>
      <c r="M161" s="703" t="s">
        <v>114</v>
      </c>
      <c r="N161" s="269"/>
      <c r="P161" s="270"/>
    </row>
    <row r="162" spans="9:16" x14ac:dyDescent="0.25">
      <c r="I162" s="703" t="s">
        <v>58</v>
      </c>
      <c r="J162" s="703" t="s">
        <v>1422</v>
      </c>
      <c r="K162" s="712">
        <v>33284</v>
      </c>
      <c r="L162" s="702">
        <v>2000</v>
      </c>
      <c r="M162" s="703" t="s">
        <v>114</v>
      </c>
      <c r="N162" s="269"/>
      <c r="P162" s="270"/>
    </row>
    <row r="163" spans="9:16" x14ac:dyDescent="0.25">
      <c r="I163" s="703" t="s">
        <v>58</v>
      </c>
      <c r="J163" s="703" t="s">
        <v>1422</v>
      </c>
      <c r="K163" s="712">
        <v>14250</v>
      </c>
      <c r="L163" s="702">
        <v>3000</v>
      </c>
      <c r="M163" s="703" t="s">
        <v>114</v>
      </c>
      <c r="N163" s="269"/>
      <c r="P163" s="270"/>
    </row>
    <row r="164" spans="9:16" x14ac:dyDescent="0.25">
      <c r="I164" s="703" t="s">
        <v>58</v>
      </c>
      <c r="J164" s="703" t="s">
        <v>1422</v>
      </c>
      <c r="K164" s="712">
        <v>36035</v>
      </c>
      <c r="L164" s="702">
        <v>4000</v>
      </c>
      <c r="M164" s="703" t="s">
        <v>114</v>
      </c>
      <c r="N164" s="269"/>
      <c r="P164" s="270"/>
    </row>
    <row r="165" spans="9:16" x14ac:dyDescent="0.25">
      <c r="I165" s="703" t="s">
        <v>58</v>
      </c>
      <c r="J165" s="703" t="s">
        <v>1422</v>
      </c>
      <c r="K165" s="712">
        <v>21810</v>
      </c>
      <c r="L165" s="702">
        <v>2000</v>
      </c>
      <c r="M165" s="703" t="s">
        <v>114</v>
      </c>
      <c r="N165" s="269"/>
      <c r="P165" s="270"/>
    </row>
    <row r="166" spans="9:16" x14ac:dyDescent="0.25">
      <c r="I166" s="703" t="s">
        <v>58</v>
      </c>
      <c r="J166" s="703" t="s">
        <v>1422</v>
      </c>
      <c r="K166" s="712">
        <v>21592</v>
      </c>
      <c r="L166" s="702">
        <v>3000</v>
      </c>
      <c r="M166" s="703" t="s">
        <v>114</v>
      </c>
      <c r="N166" s="269"/>
      <c r="P166" s="270"/>
    </row>
    <row r="167" spans="9:16" x14ac:dyDescent="0.25">
      <c r="I167" s="703" t="s">
        <v>58</v>
      </c>
      <c r="J167" s="703" t="s">
        <v>1422</v>
      </c>
      <c r="K167" s="712">
        <v>11500</v>
      </c>
      <c r="L167" s="702">
        <v>2000</v>
      </c>
      <c r="M167" s="703" t="s">
        <v>114</v>
      </c>
      <c r="N167" s="269"/>
      <c r="P167" s="270"/>
    </row>
    <row r="168" spans="9:16" x14ac:dyDescent="0.25">
      <c r="I168" s="703" t="s">
        <v>58</v>
      </c>
      <c r="J168" s="703" t="s">
        <v>1422</v>
      </c>
      <c r="K168" s="712">
        <v>20637</v>
      </c>
      <c r="L168" s="702">
        <v>4000</v>
      </c>
      <c r="M168" s="703" t="s">
        <v>114</v>
      </c>
      <c r="N168" s="269"/>
      <c r="P168" s="270"/>
    </row>
    <row r="169" spans="9:16" x14ac:dyDescent="0.25">
      <c r="I169" s="703" t="s">
        <v>58</v>
      </c>
      <c r="J169" s="703" t="s">
        <v>1422</v>
      </c>
      <c r="K169" s="712">
        <v>32039</v>
      </c>
      <c r="L169" s="702">
        <v>4000</v>
      </c>
      <c r="M169" s="703" t="s">
        <v>114</v>
      </c>
      <c r="N169" s="269"/>
      <c r="P169" s="270"/>
    </row>
    <row r="170" spans="9:16" x14ac:dyDescent="0.25">
      <c r="I170" s="703" t="s">
        <v>58</v>
      </c>
      <c r="J170" s="703" t="s">
        <v>1422</v>
      </c>
      <c r="K170" s="712">
        <v>2250</v>
      </c>
      <c r="L170" s="702">
        <v>2000</v>
      </c>
      <c r="M170" s="703" t="s">
        <v>114</v>
      </c>
      <c r="N170" s="269"/>
      <c r="P170" s="270"/>
    </row>
    <row r="171" spans="9:16" x14ac:dyDescent="0.25">
      <c r="I171" s="703" t="s">
        <v>58</v>
      </c>
      <c r="J171" s="703" t="s">
        <v>1422</v>
      </c>
      <c r="K171" s="712">
        <v>8214</v>
      </c>
      <c r="L171" s="702">
        <v>2500</v>
      </c>
      <c r="M171" s="703" t="s">
        <v>114</v>
      </c>
      <c r="N171" s="269"/>
      <c r="P171" s="270"/>
    </row>
    <row r="172" spans="9:16" x14ac:dyDescent="0.25">
      <c r="I172" s="703" t="s">
        <v>58</v>
      </c>
      <c r="J172" s="703" t="s">
        <v>1422</v>
      </c>
      <c r="K172" s="712">
        <v>7163</v>
      </c>
      <c r="L172" s="702">
        <v>4000</v>
      </c>
      <c r="M172" s="703" t="s">
        <v>114</v>
      </c>
      <c r="N172" s="269"/>
      <c r="P172" s="270"/>
    </row>
    <row r="173" spans="9:16" x14ac:dyDescent="0.25">
      <c r="I173" s="703" t="s">
        <v>58</v>
      </c>
      <c r="J173" s="703" t="s">
        <v>1422</v>
      </c>
      <c r="K173" s="712">
        <v>17737</v>
      </c>
      <c r="L173" s="702">
        <v>4000</v>
      </c>
      <c r="M173" s="703" t="s">
        <v>114</v>
      </c>
      <c r="N173" s="269"/>
      <c r="P173" s="270"/>
    </row>
    <row r="174" spans="9:16" x14ac:dyDescent="0.25">
      <c r="I174" s="703" t="s">
        <v>58</v>
      </c>
      <c r="J174" s="703" t="s">
        <v>1422</v>
      </c>
      <c r="K174" s="712">
        <v>14968</v>
      </c>
      <c r="L174" s="702">
        <v>2000</v>
      </c>
      <c r="M174" s="703" t="s">
        <v>114</v>
      </c>
      <c r="N174" s="269"/>
      <c r="P174" s="270"/>
    </row>
    <row r="175" spans="9:16" x14ac:dyDescent="0.25">
      <c r="I175" s="703" t="s">
        <v>58</v>
      </c>
      <c r="J175" s="703" t="s">
        <v>1422</v>
      </c>
      <c r="K175" s="712">
        <v>9159</v>
      </c>
      <c r="L175" s="702">
        <v>3000</v>
      </c>
      <c r="M175" s="703" t="s">
        <v>114</v>
      </c>
      <c r="N175" s="269"/>
      <c r="P175" s="270"/>
    </row>
    <row r="176" spans="9:16" x14ac:dyDescent="0.25">
      <c r="I176" s="703" t="s">
        <v>58</v>
      </c>
      <c r="J176" s="703" t="s">
        <v>1422</v>
      </c>
      <c r="K176" s="712">
        <v>37756</v>
      </c>
      <c r="L176" s="702">
        <v>4000</v>
      </c>
      <c r="M176" s="703" t="s">
        <v>114</v>
      </c>
      <c r="N176" s="269"/>
      <c r="P176" s="270"/>
    </row>
    <row r="177" spans="9:16" x14ac:dyDescent="0.25">
      <c r="I177" s="703" t="s">
        <v>58</v>
      </c>
      <c r="J177" s="703" t="s">
        <v>1422</v>
      </c>
      <c r="K177" s="712">
        <v>24940</v>
      </c>
      <c r="L177" s="702">
        <v>4000</v>
      </c>
      <c r="M177" s="703" t="s">
        <v>114</v>
      </c>
      <c r="N177" s="269"/>
      <c r="P177" s="270"/>
    </row>
    <row r="178" spans="9:16" x14ac:dyDescent="0.25">
      <c r="I178" s="703" t="s">
        <v>58</v>
      </c>
      <c r="J178" s="703" t="s">
        <v>1422</v>
      </c>
      <c r="K178" s="712">
        <v>16627</v>
      </c>
      <c r="L178" s="702">
        <v>2500</v>
      </c>
      <c r="M178" s="703" t="s">
        <v>114</v>
      </c>
      <c r="N178" s="269"/>
      <c r="P178" s="270"/>
    </row>
    <row r="179" spans="9:16" x14ac:dyDescent="0.25">
      <c r="I179" s="703" t="s">
        <v>58</v>
      </c>
      <c r="J179" s="703" t="s">
        <v>1422</v>
      </c>
      <c r="K179" s="712">
        <v>12154</v>
      </c>
      <c r="L179" s="702">
        <v>2000</v>
      </c>
      <c r="M179" s="703" t="s">
        <v>114</v>
      </c>
      <c r="N179" s="269"/>
      <c r="P179" s="270"/>
    </row>
    <row r="180" spans="9:16" x14ac:dyDescent="0.25">
      <c r="I180" s="703" t="s">
        <v>58</v>
      </c>
      <c r="J180" s="703" t="s">
        <v>1422</v>
      </c>
      <c r="K180" s="712">
        <v>10000</v>
      </c>
      <c r="L180" s="702">
        <v>2500</v>
      </c>
      <c r="M180" s="703" t="s">
        <v>114</v>
      </c>
      <c r="N180" s="269"/>
      <c r="P180" s="270"/>
    </row>
    <row r="181" spans="9:16" x14ac:dyDescent="0.25">
      <c r="I181" s="703" t="s">
        <v>58</v>
      </c>
      <c r="J181" s="703" t="s">
        <v>1422</v>
      </c>
      <c r="K181" s="712">
        <v>35154</v>
      </c>
      <c r="L181" s="702">
        <v>2000</v>
      </c>
      <c r="M181" s="703" t="s">
        <v>114</v>
      </c>
      <c r="N181" s="269"/>
      <c r="P181" s="270"/>
    </row>
    <row r="182" spans="9:16" x14ac:dyDescent="0.25">
      <c r="I182" s="703" t="s">
        <v>58</v>
      </c>
      <c r="J182" s="703" t="s">
        <v>1422</v>
      </c>
      <c r="K182" s="712">
        <v>17500</v>
      </c>
      <c r="L182" s="702">
        <v>4000</v>
      </c>
      <c r="M182" s="703" t="s">
        <v>114</v>
      </c>
      <c r="N182" s="269"/>
      <c r="P182" s="270"/>
    </row>
    <row r="183" spans="9:16" x14ac:dyDescent="0.25">
      <c r="I183" s="703" t="s">
        <v>58</v>
      </c>
      <c r="J183" s="703" t="s">
        <v>1422</v>
      </c>
      <c r="K183" s="712">
        <v>22899</v>
      </c>
      <c r="L183" s="702">
        <v>3000</v>
      </c>
      <c r="M183" s="703" t="s">
        <v>114</v>
      </c>
      <c r="N183" s="269"/>
      <c r="P183" s="270"/>
    </row>
    <row r="184" spans="9:16" x14ac:dyDescent="0.25">
      <c r="I184" s="703" t="s">
        <v>58</v>
      </c>
      <c r="J184" s="703" t="s">
        <v>1422</v>
      </c>
      <c r="K184" s="712">
        <v>6100</v>
      </c>
      <c r="L184" s="702">
        <v>1500</v>
      </c>
      <c r="M184" s="703" t="s">
        <v>114</v>
      </c>
      <c r="N184" s="269"/>
      <c r="P184" s="270"/>
    </row>
    <row r="185" spans="9:16" x14ac:dyDescent="0.25">
      <c r="I185" s="703" t="s">
        <v>58</v>
      </c>
      <c r="J185" s="703" t="s">
        <v>1422</v>
      </c>
      <c r="K185" s="712">
        <v>7201</v>
      </c>
      <c r="L185" s="702">
        <v>2000</v>
      </c>
      <c r="M185" s="703" t="s">
        <v>114</v>
      </c>
      <c r="N185" s="269"/>
      <c r="P185" s="270"/>
    </row>
    <row r="186" spans="9:16" x14ac:dyDescent="0.25">
      <c r="I186" s="703" t="s">
        <v>58</v>
      </c>
      <c r="J186" s="703" t="s">
        <v>1422</v>
      </c>
      <c r="K186" s="712">
        <v>6300</v>
      </c>
      <c r="L186" s="702">
        <v>3500</v>
      </c>
      <c r="M186" s="703" t="s">
        <v>114</v>
      </c>
      <c r="N186" s="269"/>
      <c r="P186" s="270"/>
    </row>
    <row r="187" spans="9:16" x14ac:dyDescent="0.25">
      <c r="I187" s="703" t="s">
        <v>58</v>
      </c>
      <c r="J187" s="703" t="s">
        <v>1422</v>
      </c>
      <c r="K187" s="712">
        <v>9400</v>
      </c>
      <c r="L187" s="702">
        <v>3000</v>
      </c>
      <c r="M187" s="703" t="s">
        <v>114</v>
      </c>
      <c r="N187" s="269"/>
      <c r="P187" s="270"/>
    </row>
    <row r="188" spans="9:16" x14ac:dyDescent="0.25">
      <c r="I188" s="703" t="s">
        <v>58</v>
      </c>
      <c r="J188" s="703" t="s">
        <v>1422</v>
      </c>
      <c r="K188" s="712">
        <v>29560</v>
      </c>
      <c r="L188" s="702">
        <v>4000</v>
      </c>
      <c r="M188" s="703" t="s">
        <v>114</v>
      </c>
      <c r="N188" s="269"/>
      <c r="P188" s="270"/>
    </row>
    <row r="189" spans="9:16" x14ac:dyDescent="0.25">
      <c r="I189" s="703" t="s">
        <v>58</v>
      </c>
      <c r="J189" s="703" t="s">
        <v>1422</v>
      </c>
      <c r="K189" s="712">
        <v>21308</v>
      </c>
      <c r="L189" s="702">
        <v>4000</v>
      </c>
      <c r="M189" s="703" t="s">
        <v>114</v>
      </c>
      <c r="N189" s="269"/>
      <c r="P189" s="270"/>
    </row>
    <row r="190" spans="9:16" x14ac:dyDescent="0.25">
      <c r="I190" s="703" t="s">
        <v>58</v>
      </c>
      <c r="J190" s="703" t="s">
        <v>1422</v>
      </c>
      <c r="K190" s="712">
        <v>7280</v>
      </c>
      <c r="L190" s="702">
        <v>2000</v>
      </c>
      <c r="M190" s="703" t="s">
        <v>114</v>
      </c>
      <c r="N190" s="269"/>
      <c r="P190" s="270"/>
    </row>
    <row r="191" spans="9:16" x14ac:dyDescent="0.25">
      <c r="I191" s="703" t="s">
        <v>58</v>
      </c>
      <c r="J191" s="703" t="s">
        <v>1422</v>
      </c>
      <c r="K191" s="712">
        <v>21705</v>
      </c>
      <c r="L191" s="702">
        <v>2500</v>
      </c>
      <c r="M191" s="703" t="s">
        <v>114</v>
      </c>
      <c r="N191" s="269"/>
      <c r="P191" s="270"/>
    </row>
    <row r="192" spans="9:16" x14ac:dyDescent="0.25">
      <c r="I192" s="703" t="s">
        <v>58</v>
      </c>
      <c r="J192" s="703" t="s">
        <v>1422</v>
      </c>
      <c r="K192" s="712">
        <v>13300</v>
      </c>
      <c r="L192" s="702">
        <v>2000</v>
      </c>
      <c r="M192" s="703" t="s">
        <v>114</v>
      </c>
      <c r="N192" s="269"/>
      <c r="P192" s="270"/>
    </row>
    <row r="193" spans="9:16" x14ac:dyDescent="0.25">
      <c r="I193" s="703" t="s">
        <v>58</v>
      </c>
      <c r="J193" s="703" t="s">
        <v>1422</v>
      </c>
      <c r="K193" s="712">
        <v>22960</v>
      </c>
      <c r="L193" s="702">
        <v>4000</v>
      </c>
      <c r="M193" s="703" t="s">
        <v>114</v>
      </c>
      <c r="N193" s="269"/>
      <c r="P193" s="270"/>
    </row>
    <row r="194" spans="9:16" x14ac:dyDescent="0.25">
      <c r="I194" s="703" t="s">
        <v>58</v>
      </c>
      <c r="J194" s="703" t="s">
        <v>1422</v>
      </c>
      <c r="K194" s="712">
        <v>25005</v>
      </c>
      <c r="L194" s="702">
        <v>2000</v>
      </c>
      <c r="M194" s="703" t="s">
        <v>114</v>
      </c>
      <c r="N194" s="269"/>
      <c r="P194" s="270"/>
    </row>
    <row r="195" spans="9:16" x14ac:dyDescent="0.25">
      <c r="I195" s="703" t="s">
        <v>58</v>
      </c>
      <c r="J195" s="703" t="s">
        <v>1422</v>
      </c>
      <c r="K195" s="712">
        <v>11560.61</v>
      </c>
      <c r="L195" s="702">
        <v>3500</v>
      </c>
      <c r="M195" s="703" t="s">
        <v>114</v>
      </c>
      <c r="N195" s="269"/>
      <c r="P195" s="270"/>
    </row>
    <row r="196" spans="9:16" x14ac:dyDescent="0.25">
      <c r="I196" s="703" t="s">
        <v>58</v>
      </c>
      <c r="J196" s="703" t="s">
        <v>1422</v>
      </c>
      <c r="K196" s="712">
        <v>7779</v>
      </c>
      <c r="L196" s="702">
        <v>2500</v>
      </c>
      <c r="M196" s="703" t="s">
        <v>114</v>
      </c>
      <c r="N196" s="269"/>
      <c r="P196" s="270"/>
    </row>
    <row r="197" spans="9:16" x14ac:dyDescent="0.25">
      <c r="I197" s="703" t="s">
        <v>58</v>
      </c>
      <c r="J197" s="703" t="s">
        <v>1422</v>
      </c>
      <c r="K197" s="712">
        <v>31219</v>
      </c>
      <c r="L197" s="702">
        <v>4000</v>
      </c>
      <c r="M197" s="703" t="s">
        <v>114</v>
      </c>
      <c r="N197" s="269"/>
      <c r="P197" s="270"/>
    </row>
    <row r="198" spans="9:16" x14ac:dyDescent="0.25">
      <c r="I198" s="703" t="s">
        <v>58</v>
      </c>
      <c r="J198" s="703" t="s">
        <v>1422</v>
      </c>
      <c r="K198" s="712">
        <v>5745</v>
      </c>
      <c r="L198" s="702">
        <v>1500</v>
      </c>
      <c r="M198" s="703" t="s">
        <v>114</v>
      </c>
      <c r="N198" s="269"/>
      <c r="P198" s="270"/>
    </row>
    <row r="199" spans="9:16" x14ac:dyDescent="0.25">
      <c r="I199" s="703" t="s">
        <v>58</v>
      </c>
      <c r="J199" s="703" t="s">
        <v>1422</v>
      </c>
      <c r="K199" s="712">
        <v>2772</v>
      </c>
      <c r="L199" s="702">
        <v>1500</v>
      </c>
      <c r="M199" s="703" t="s">
        <v>114</v>
      </c>
      <c r="N199" s="269"/>
      <c r="P199" s="270"/>
    </row>
    <row r="200" spans="9:16" x14ac:dyDescent="0.25">
      <c r="I200" s="703" t="s">
        <v>58</v>
      </c>
      <c r="J200" s="703" t="s">
        <v>1422</v>
      </c>
      <c r="K200" s="712">
        <v>14000.01</v>
      </c>
      <c r="L200" s="702">
        <v>4000</v>
      </c>
      <c r="M200" s="703" t="s">
        <v>114</v>
      </c>
      <c r="N200" s="269"/>
      <c r="P200" s="270"/>
    </row>
    <row r="201" spans="9:16" x14ac:dyDescent="0.25">
      <c r="I201" s="703" t="s">
        <v>58</v>
      </c>
      <c r="J201" s="703" t="s">
        <v>1422</v>
      </c>
      <c r="K201" s="712">
        <v>8279</v>
      </c>
      <c r="L201" s="702">
        <v>2500</v>
      </c>
      <c r="M201" s="703" t="s">
        <v>114</v>
      </c>
      <c r="N201" s="269"/>
      <c r="P201" s="270"/>
    </row>
    <row r="202" spans="9:16" x14ac:dyDescent="0.25">
      <c r="I202" s="703" t="s">
        <v>58</v>
      </c>
      <c r="J202" s="703" t="s">
        <v>1422</v>
      </c>
      <c r="K202" s="712">
        <v>19580</v>
      </c>
      <c r="L202" s="702">
        <v>3000</v>
      </c>
      <c r="M202" s="703" t="s">
        <v>114</v>
      </c>
      <c r="N202" s="269"/>
      <c r="P202" s="270"/>
    </row>
    <row r="203" spans="9:16" x14ac:dyDescent="0.25">
      <c r="I203" s="703" t="s">
        <v>58</v>
      </c>
      <c r="J203" s="703" t="s">
        <v>1422</v>
      </c>
      <c r="K203" s="712">
        <v>13155</v>
      </c>
      <c r="L203" s="702">
        <v>4000</v>
      </c>
      <c r="M203" s="703" t="s">
        <v>114</v>
      </c>
      <c r="N203" s="269"/>
      <c r="P203" s="270"/>
    </row>
    <row r="204" spans="9:16" x14ac:dyDescent="0.25">
      <c r="I204" s="703" t="s">
        <v>58</v>
      </c>
      <c r="J204" s="703" t="s">
        <v>1422</v>
      </c>
      <c r="K204" s="712">
        <v>9665</v>
      </c>
      <c r="L204" s="702">
        <v>3500</v>
      </c>
      <c r="M204" s="703" t="s">
        <v>114</v>
      </c>
      <c r="N204" s="269"/>
      <c r="P204" s="270"/>
    </row>
    <row r="205" spans="9:16" x14ac:dyDescent="0.25">
      <c r="I205" s="703" t="s">
        <v>58</v>
      </c>
      <c r="J205" s="703" t="s">
        <v>1422</v>
      </c>
      <c r="K205" s="712">
        <v>7700</v>
      </c>
      <c r="L205" s="702">
        <v>2000</v>
      </c>
      <c r="M205" s="703" t="s">
        <v>114</v>
      </c>
      <c r="N205" s="269"/>
      <c r="P205" s="270"/>
    </row>
    <row r="206" spans="9:16" x14ac:dyDescent="0.25">
      <c r="I206" s="703" t="s">
        <v>58</v>
      </c>
      <c r="J206" s="703" t="s">
        <v>1422</v>
      </c>
      <c r="K206" s="712">
        <v>19915</v>
      </c>
      <c r="L206" s="702">
        <v>4000</v>
      </c>
      <c r="M206" s="703" t="s">
        <v>114</v>
      </c>
      <c r="N206" s="269"/>
      <c r="P206" s="270"/>
    </row>
    <row r="207" spans="9:16" x14ac:dyDescent="0.25">
      <c r="I207" s="703" t="s">
        <v>58</v>
      </c>
      <c r="J207" s="703" t="s">
        <v>1422</v>
      </c>
      <c r="K207" s="712">
        <v>18148</v>
      </c>
      <c r="L207" s="702">
        <v>3000</v>
      </c>
      <c r="M207" s="703" t="s">
        <v>114</v>
      </c>
      <c r="N207" s="269"/>
      <c r="P207" s="271"/>
    </row>
    <row r="208" spans="9:16" x14ac:dyDescent="0.25">
      <c r="I208" s="703" t="s">
        <v>58</v>
      </c>
      <c r="J208" s="703" t="s">
        <v>1422</v>
      </c>
      <c r="K208" s="712">
        <v>18515.009999999998</v>
      </c>
      <c r="L208" s="702">
        <v>2500</v>
      </c>
      <c r="M208" s="703" t="s">
        <v>114</v>
      </c>
      <c r="N208" s="269"/>
      <c r="P208" s="270"/>
    </row>
    <row r="209" spans="9:16" x14ac:dyDescent="0.25">
      <c r="I209" s="703" t="s">
        <v>58</v>
      </c>
      <c r="J209" s="703" t="s">
        <v>1422</v>
      </c>
      <c r="K209" s="712">
        <v>14000</v>
      </c>
      <c r="L209" s="702">
        <v>4000</v>
      </c>
      <c r="M209" s="703" t="s">
        <v>114</v>
      </c>
      <c r="N209" s="269"/>
      <c r="P209" s="271"/>
    </row>
    <row r="210" spans="9:16" x14ac:dyDescent="0.25">
      <c r="I210" s="703" t="s">
        <v>58</v>
      </c>
      <c r="J210" s="703" t="s">
        <v>1422</v>
      </c>
      <c r="K210" s="712">
        <v>16116</v>
      </c>
      <c r="L210" s="702">
        <v>4000</v>
      </c>
      <c r="M210" s="703" t="s">
        <v>114</v>
      </c>
      <c r="N210" s="269"/>
      <c r="P210" s="271"/>
    </row>
    <row r="211" spans="9:16" x14ac:dyDescent="0.25">
      <c r="I211" s="703" t="s">
        <v>58</v>
      </c>
      <c r="J211" s="703" t="s">
        <v>1422</v>
      </c>
      <c r="K211" s="712">
        <v>7580</v>
      </c>
      <c r="L211" s="702">
        <v>2000</v>
      </c>
      <c r="M211" s="703" t="s">
        <v>114</v>
      </c>
      <c r="N211" s="269"/>
      <c r="P211" s="270"/>
    </row>
    <row r="212" spans="9:16" x14ac:dyDescent="0.25">
      <c r="I212" s="703" t="s">
        <v>58</v>
      </c>
      <c r="J212" s="703" t="s">
        <v>1422</v>
      </c>
      <c r="K212" s="712">
        <v>12633</v>
      </c>
      <c r="L212" s="702">
        <v>4000</v>
      </c>
      <c r="M212" s="703" t="s">
        <v>114</v>
      </c>
      <c r="N212" s="269"/>
      <c r="P212" s="270"/>
    </row>
    <row r="213" spans="9:16" x14ac:dyDescent="0.25">
      <c r="I213" s="703" t="s">
        <v>58</v>
      </c>
      <c r="J213" s="703" t="s">
        <v>1422</v>
      </c>
      <c r="K213" s="712">
        <v>18995</v>
      </c>
      <c r="L213" s="702">
        <v>2000</v>
      </c>
      <c r="M213" s="703" t="s">
        <v>114</v>
      </c>
      <c r="N213" s="269"/>
      <c r="P213" s="270"/>
    </row>
    <row r="214" spans="9:16" x14ac:dyDescent="0.25">
      <c r="I214" s="703" t="s">
        <v>58</v>
      </c>
      <c r="J214" s="703" t="s">
        <v>1422</v>
      </c>
      <c r="K214" s="712">
        <v>68091</v>
      </c>
      <c r="L214" s="702">
        <v>3000</v>
      </c>
      <c r="M214" s="703" t="s">
        <v>114</v>
      </c>
      <c r="N214" s="269"/>
      <c r="P214" s="270"/>
    </row>
    <row r="215" spans="9:16" x14ac:dyDescent="0.25">
      <c r="I215" s="703" t="s">
        <v>58</v>
      </c>
      <c r="J215" s="703" t="s">
        <v>1422</v>
      </c>
      <c r="K215" s="712">
        <v>13500</v>
      </c>
      <c r="L215" s="702">
        <v>2500</v>
      </c>
      <c r="M215" s="703" t="s">
        <v>114</v>
      </c>
      <c r="N215" s="269"/>
      <c r="P215" s="270"/>
    </row>
    <row r="216" spans="9:16" x14ac:dyDescent="0.25">
      <c r="I216" s="703" t="s">
        <v>58</v>
      </c>
      <c r="J216" s="703" t="s">
        <v>1422</v>
      </c>
      <c r="K216" s="712">
        <v>21879</v>
      </c>
      <c r="L216" s="702">
        <v>2000</v>
      </c>
      <c r="M216" s="703" t="s">
        <v>114</v>
      </c>
      <c r="N216" s="269"/>
      <c r="P216" s="270"/>
    </row>
    <row r="217" spans="9:16" x14ac:dyDescent="0.25">
      <c r="I217" s="703" t="s">
        <v>58</v>
      </c>
      <c r="J217" s="703" t="s">
        <v>1422</v>
      </c>
      <c r="K217" s="712">
        <v>41768</v>
      </c>
      <c r="L217" s="702">
        <v>2500</v>
      </c>
      <c r="M217" s="703" t="s">
        <v>114</v>
      </c>
      <c r="N217" s="269"/>
      <c r="P217" s="270"/>
    </row>
    <row r="218" spans="9:16" x14ac:dyDescent="0.25">
      <c r="I218" s="703" t="s">
        <v>58</v>
      </c>
      <c r="J218" s="703" t="s">
        <v>1422</v>
      </c>
      <c r="K218" s="712">
        <v>10828.84</v>
      </c>
      <c r="L218" s="702">
        <v>3000</v>
      </c>
      <c r="M218" s="703" t="s">
        <v>114</v>
      </c>
      <c r="N218" s="269"/>
      <c r="P218" s="270"/>
    </row>
    <row r="219" spans="9:16" x14ac:dyDescent="0.25">
      <c r="I219" s="703" t="s">
        <v>58</v>
      </c>
      <c r="J219" s="703" t="s">
        <v>1422</v>
      </c>
      <c r="K219" s="712">
        <v>9236</v>
      </c>
      <c r="L219" s="702">
        <v>3000</v>
      </c>
      <c r="M219" s="703" t="s">
        <v>114</v>
      </c>
      <c r="N219" s="269"/>
      <c r="P219" s="270"/>
    </row>
    <row r="220" spans="9:16" x14ac:dyDescent="0.25">
      <c r="I220" s="703" t="s">
        <v>58</v>
      </c>
      <c r="J220" s="703" t="s">
        <v>1422</v>
      </c>
      <c r="K220" s="712">
        <v>22000</v>
      </c>
      <c r="L220" s="702">
        <v>4000</v>
      </c>
      <c r="M220" s="703" t="s">
        <v>114</v>
      </c>
      <c r="N220" s="269"/>
      <c r="P220" s="270"/>
    </row>
    <row r="221" spans="9:16" x14ac:dyDescent="0.25">
      <c r="I221" s="703" t="s">
        <v>58</v>
      </c>
      <c r="J221" s="703" t="s">
        <v>1422</v>
      </c>
      <c r="K221" s="712">
        <v>21208</v>
      </c>
      <c r="L221" s="702">
        <v>2000</v>
      </c>
      <c r="M221" s="703" t="s">
        <v>114</v>
      </c>
      <c r="N221" s="269"/>
      <c r="P221" s="270"/>
    </row>
    <row r="222" spans="9:16" x14ac:dyDescent="0.25">
      <c r="I222" s="703" t="s">
        <v>58</v>
      </c>
      <c r="J222" s="703" t="s">
        <v>1422</v>
      </c>
      <c r="K222" s="712">
        <v>6750</v>
      </c>
      <c r="L222" s="702">
        <v>2500</v>
      </c>
      <c r="M222" s="703" t="s">
        <v>114</v>
      </c>
      <c r="N222" s="269"/>
      <c r="P222" s="270"/>
    </row>
    <row r="223" spans="9:16" x14ac:dyDescent="0.25">
      <c r="I223" s="703" t="s">
        <v>58</v>
      </c>
      <c r="J223" s="703" t="s">
        <v>1422</v>
      </c>
      <c r="K223" s="712">
        <v>12490</v>
      </c>
      <c r="L223" s="702">
        <v>3000</v>
      </c>
      <c r="M223" s="703" t="s">
        <v>114</v>
      </c>
      <c r="N223" s="269"/>
      <c r="P223" s="270"/>
    </row>
    <row r="224" spans="9:16" x14ac:dyDescent="0.25">
      <c r="I224" s="703" t="s">
        <v>58</v>
      </c>
      <c r="J224" s="703" t="s">
        <v>1422</v>
      </c>
      <c r="K224" s="712">
        <v>11945</v>
      </c>
      <c r="L224" s="702">
        <v>2500</v>
      </c>
      <c r="M224" s="703" t="s">
        <v>114</v>
      </c>
      <c r="N224" s="269"/>
      <c r="P224" s="270"/>
    </row>
    <row r="225" spans="9:16" x14ac:dyDescent="0.25">
      <c r="I225" s="703" t="s">
        <v>58</v>
      </c>
      <c r="J225" s="703" t="s">
        <v>1422</v>
      </c>
      <c r="K225" s="712">
        <v>7901.8</v>
      </c>
      <c r="L225" s="702">
        <v>1500</v>
      </c>
      <c r="M225" s="703" t="s">
        <v>114</v>
      </c>
      <c r="N225" s="269"/>
      <c r="P225" s="270"/>
    </row>
    <row r="226" spans="9:16" x14ac:dyDescent="0.25">
      <c r="I226" s="703" t="s">
        <v>58</v>
      </c>
      <c r="J226" s="703" t="s">
        <v>1422</v>
      </c>
      <c r="K226" s="712">
        <v>30640</v>
      </c>
      <c r="L226" s="702">
        <v>2500</v>
      </c>
      <c r="M226" s="703" t="s">
        <v>114</v>
      </c>
      <c r="N226" s="269"/>
      <c r="P226" s="270"/>
    </row>
    <row r="227" spans="9:16" x14ac:dyDescent="0.25">
      <c r="I227" s="703" t="s">
        <v>58</v>
      </c>
      <c r="J227" s="703" t="s">
        <v>1422</v>
      </c>
      <c r="K227" s="712">
        <v>18339</v>
      </c>
      <c r="L227" s="702">
        <v>2000</v>
      </c>
      <c r="M227" s="703" t="s">
        <v>114</v>
      </c>
      <c r="N227" s="269"/>
      <c r="P227" s="270"/>
    </row>
    <row r="228" spans="9:16" x14ac:dyDescent="0.25">
      <c r="I228" s="703" t="s">
        <v>58</v>
      </c>
      <c r="J228" s="703" t="s">
        <v>1422</v>
      </c>
      <c r="K228" s="712">
        <v>13347</v>
      </c>
      <c r="L228" s="702">
        <v>2000</v>
      </c>
      <c r="M228" s="703" t="s">
        <v>114</v>
      </c>
      <c r="N228" s="269"/>
      <c r="P228" s="270"/>
    </row>
    <row r="229" spans="9:16" x14ac:dyDescent="0.25">
      <c r="I229" s="703" t="s">
        <v>58</v>
      </c>
      <c r="J229" s="703" t="s">
        <v>1422</v>
      </c>
      <c r="K229" s="712">
        <v>27921</v>
      </c>
      <c r="L229" s="702">
        <v>4000</v>
      </c>
      <c r="M229" s="703" t="s">
        <v>114</v>
      </c>
      <c r="N229" s="269"/>
      <c r="P229" s="270"/>
    </row>
    <row r="230" spans="9:16" x14ac:dyDescent="0.25">
      <c r="I230" s="703" t="s">
        <v>58</v>
      </c>
      <c r="J230" s="703" t="s">
        <v>1422</v>
      </c>
      <c r="K230" s="712">
        <v>16554.009999999998</v>
      </c>
      <c r="L230" s="702">
        <v>2500</v>
      </c>
      <c r="M230" s="703" t="s">
        <v>114</v>
      </c>
      <c r="N230" s="269"/>
      <c r="P230" s="270"/>
    </row>
    <row r="231" spans="9:16" x14ac:dyDescent="0.25">
      <c r="I231" s="703" t="s">
        <v>58</v>
      </c>
      <c r="J231" s="703" t="s">
        <v>1422</v>
      </c>
      <c r="K231" s="712">
        <v>22840.01</v>
      </c>
      <c r="L231" s="702">
        <v>3000</v>
      </c>
      <c r="M231" s="703" t="s">
        <v>114</v>
      </c>
      <c r="N231" s="269"/>
      <c r="P231" s="270"/>
    </row>
    <row r="232" spans="9:16" x14ac:dyDescent="0.25">
      <c r="I232" s="703" t="s">
        <v>58</v>
      </c>
      <c r="J232" s="703" t="s">
        <v>1422</v>
      </c>
      <c r="K232" s="712">
        <v>12706</v>
      </c>
      <c r="L232" s="702">
        <v>3000</v>
      </c>
      <c r="M232" s="703" t="s">
        <v>114</v>
      </c>
      <c r="N232" s="269"/>
      <c r="P232" s="270"/>
    </row>
    <row r="233" spans="9:16" x14ac:dyDescent="0.25">
      <c r="I233" s="703" t="s">
        <v>58</v>
      </c>
      <c r="J233" s="703" t="s">
        <v>1422</v>
      </c>
      <c r="K233" s="712">
        <v>10770</v>
      </c>
      <c r="L233" s="702">
        <v>3000</v>
      </c>
      <c r="M233" s="703" t="s">
        <v>114</v>
      </c>
      <c r="N233" s="269"/>
      <c r="P233" s="270"/>
    </row>
    <row r="234" spans="9:16" x14ac:dyDescent="0.25">
      <c r="I234" s="703" t="s">
        <v>58</v>
      </c>
      <c r="J234" s="703" t="s">
        <v>1422</v>
      </c>
      <c r="K234" s="712">
        <v>10173</v>
      </c>
      <c r="L234" s="702">
        <v>2000</v>
      </c>
      <c r="M234" s="703" t="s">
        <v>114</v>
      </c>
      <c r="N234" s="269"/>
      <c r="P234" s="270"/>
    </row>
    <row r="235" spans="9:16" x14ac:dyDescent="0.25">
      <c r="I235" s="703" t="s">
        <v>58</v>
      </c>
      <c r="J235" s="703" t="s">
        <v>1422</v>
      </c>
      <c r="K235" s="712">
        <v>9776.51</v>
      </c>
      <c r="L235" s="702">
        <v>3500</v>
      </c>
      <c r="M235" s="703" t="s">
        <v>114</v>
      </c>
      <c r="N235" s="269"/>
      <c r="P235" s="270"/>
    </row>
    <row r="236" spans="9:16" x14ac:dyDescent="0.25">
      <c r="I236" s="703" t="s">
        <v>58</v>
      </c>
      <c r="J236" s="703" t="s">
        <v>1422</v>
      </c>
      <c r="K236" s="712">
        <v>16947</v>
      </c>
      <c r="L236" s="702">
        <v>3000</v>
      </c>
      <c r="M236" s="703" t="s">
        <v>114</v>
      </c>
      <c r="N236" s="269"/>
      <c r="P236" s="270"/>
    </row>
    <row r="237" spans="9:16" x14ac:dyDescent="0.25">
      <c r="I237" s="703" t="s">
        <v>58</v>
      </c>
      <c r="J237" s="703" t="s">
        <v>1422</v>
      </c>
      <c r="K237" s="712">
        <v>7992</v>
      </c>
      <c r="L237" s="702">
        <v>1500</v>
      </c>
      <c r="M237" s="703" t="s">
        <v>114</v>
      </c>
      <c r="N237" s="269"/>
      <c r="P237" s="270"/>
    </row>
    <row r="238" spans="9:16" x14ac:dyDescent="0.25">
      <c r="I238" s="703" t="s">
        <v>58</v>
      </c>
      <c r="J238" s="703" t="s">
        <v>1422</v>
      </c>
      <c r="K238" s="712">
        <v>17785</v>
      </c>
      <c r="L238" s="702">
        <v>4000</v>
      </c>
      <c r="M238" s="703" t="s">
        <v>114</v>
      </c>
      <c r="N238" s="269"/>
      <c r="P238" s="270"/>
    </row>
    <row r="239" spans="9:16" x14ac:dyDescent="0.25">
      <c r="I239" s="703" t="s">
        <v>58</v>
      </c>
      <c r="J239" s="703" t="s">
        <v>1422</v>
      </c>
      <c r="K239" s="712">
        <v>7275</v>
      </c>
      <c r="L239" s="702">
        <v>3500</v>
      </c>
      <c r="M239" s="703" t="s">
        <v>114</v>
      </c>
      <c r="N239" s="269"/>
      <c r="P239" s="270"/>
    </row>
    <row r="240" spans="9:16" x14ac:dyDescent="0.25">
      <c r="I240" s="703" t="s">
        <v>58</v>
      </c>
      <c r="J240" s="703" t="s">
        <v>1422</v>
      </c>
      <c r="K240" s="712">
        <v>19381</v>
      </c>
      <c r="L240" s="702">
        <v>2500</v>
      </c>
      <c r="M240" s="703" t="s">
        <v>114</v>
      </c>
      <c r="N240" s="269"/>
      <c r="P240" s="270"/>
    </row>
    <row r="241" spans="9:16" x14ac:dyDescent="0.25">
      <c r="I241" s="703" t="s">
        <v>58</v>
      </c>
      <c r="J241" s="703" t="s">
        <v>1422</v>
      </c>
      <c r="K241" s="712">
        <v>11780</v>
      </c>
      <c r="L241" s="702">
        <v>2000</v>
      </c>
      <c r="M241" s="703" t="s">
        <v>114</v>
      </c>
      <c r="N241" s="269"/>
      <c r="P241" s="270"/>
    </row>
    <row r="242" spans="9:16" x14ac:dyDescent="0.25">
      <c r="I242" s="703" t="s">
        <v>58</v>
      </c>
      <c r="J242" s="703" t="s">
        <v>1422</v>
      </c>
      <c r="K242" s="712">
        <v>18837</v>
      </c>
      <c r="L242" s="702">
        <v>3000</v>
      </c>
      <c r="M242" s="703" t="s">
        <v>114</v>
      </c>
      <c r="N242" s="269"/>
      <c r="P242" s="270"/>
    </row>
    <row r="243" spans="9:16" x14ac:dyDescent="0.25">
      <c r="I243" s="703" t="s">
        <v>58</v>
      </c>
      <c r="J243" s="703" t="s">
        <v>1422</v>
      </c>
      <c r="K243" s="712">
        <v>13149</v>
      </c>
      <c r="L243" s="702">
        <v>2000</v>
      </c>
      <c r="M243" s="703" t="s">
        <v>114</v>
      </c>
      <c r="N243" s="269"/>
      <c r="P243" s="270"/>
    </row>
    <row r="244" spans="9:16" x14ac:dyDescent="0.25">
      <c r="I244" s="703" t="s">
        <v>58</v>
      </c>
      <c r="J244" s="703" t="s">
        <v>1422</v>
      </c>
      <c r="K244" s="712">
        <v>11364</v>
      </c>
      <c r="L244" s="702">
        <v>4000</v>
      </c>
      <c r="M244" s="703" t="s">
        <v>114</v>
      </c>
      <c r="N244" s="269"/>
      <c r="P244" s="270"/>
    </row>
    <row r="245" spans="9:16" x14ac:dyDescent="0.25">
      <c r="I245" s="703" t="s">
        <v>58</v>
      </c>
      <c r="J245" s="703" t="s">
        <v>1422</v>
      </c>
      <c r="K245" s="712">
        <v>19350</v>
      </c>
      <c r="L245" s="702">
        <v>2000</v>
      </c>
      <c r="M245" s="703" t="s">
        <v>114</v>
      </c>
      <c r="N245" s="269"/>
      <c r="P245" s="270"/>
    </row>
    <row r="246" spans="9:16" x14ac:dyDescent="0.25">
      <c r="I246" s="703" t="s">
        <v>58</v>
      </c>
      <c r="J246" s="703" t="s">
        <v>1422</v>
      </c>
      <c r="K246" s="712">
        <v>11348</v>
      </c>
      <c r="L246" s="702">
        <v>2500</v>
      </c>
      <c r="M246" s="703" t="s">
        <v>114</v>
      </c>
      <c r="N246" s="269"/>
      <c r="P246" s="270"/>
    </row>
    <row r="247" spans="9:16" x14ac:dyDescent="0.25">
      <c r="I247" s="703" t="s">
        <v>58</v>
      </c>
      <c r="J247" s="703" t="s">
        <v>1422</v>
      </c>
      <c r="K247" s="712">
        <v>17325</v>
      </c>
      <c r="L247" s="702">
        <v>1500</v>
      </c>
      <c r="M247" s="703" t="s">
        <v>114</v>
      </c>
      <c r="N247" s="269"/>
      <c r="P247" s="270"/>
    </row>
    <row r="248" spans="9:16" x14ac:dyDescent="0.25">
      <c r="I248" s="703" t="s">
        <v>58</v>
      </c>
      <c r="J248" s="703" t="s">
        <v>1422</v>
      </c>
      <c r="K248" s="712">
        <v>15579</v>
      </c>
      <c r="L248" s="702">
        <v>4000</v>
      </c>
      <c r="M248" s="703" t="s">
        <v>114</v>
      </c>
      <c r="N248" s="269"/>
      <c r="P248" s="270"/>
    </row>
    <row r="249" spans="9:16" x14ac:dyDescent="0.25">
      <c r="I249" s="703" t="s">
        <v>58</v>
      </c>
      <c r="J249" s="703" t="s">
        <v>1422</v>
      </c>
      <c r="K249" s="712">
        <v>50000</v>
      </c>
      <c r="L249" s="702">
        <v>4000</v>
      </c>
      <c r="M249" s="703" t="s">
        <v>114</v>
      </c>
      <c r="N249" s="269"/>
      <c r="P249" s="270"/>
    </row>
    <row r="250" spans="9:16" x14ac:dyDescent="0.25">
      <c r="I250" s="703" t="s">
        <v>58</v>
      </c>
      <c r="J250" s="703" t="s">
        <v>1422</v>
      </c>
      <c r="K250" s="712">
        <v>7979</v>
      </c>
      <c r="L250" s="702">
        <v>4000</v>
      </c>
      <c r="M250" s="703" t="s">
        <v>114</v>
      </c>
      <c r="N250" s="269"/>
      <c r="P250" s="270"/>
    </row>
    <row r="251" spans="9:16" x14ac:dyDescent="0.25">
      <c r="I251" s="703" t="s">
        <v>58</v>
      </c>
      <c r="J251" s="703" t="s">
        <v>1422</v>
      </c>
      <c r="K251" s="712">
        <v>20605</v>
      </c>
      <c r="L251" s="702">
        <v>3000</v>
      </c>
      <c r="M251" s="703" t="s">
        <v>114</v>
      </c>
      <c r="N251" s="269"/>
      <c r="P251" s="271"/>
    </row>
    <row r="252" spans="9:16" x14ac:dyDescent="0.25">
      <c r="I252" s="703" t="s">
        <v>58</v>
      </c>
      <c r="J252" s="703" t="s">
        <v>1422</v>
      </c>
      <c r="K252" s="712">
        <v>19449</v>
      </c>
      <c r="L252" s="702">
        <v>2000</v>
      </c>
      <c r="M252" s="703" t="s">
        <v>114</v>
      </c>
      <c r="N252" s="269"/>
      <c r="P252" s="270"/>
    </row>
    <row r="253" spans="9:16" x14ac:dyDescent="0.25">
      <c r="I253" s="703" t="s">
        <v>58</v>
      </c>
      <c r="J253" s="703" t="s">
        <v>1422</v>
      </c>
      <c r="K253" s="712">
        <v>9700</v>
      </c>
      <c r="L253" s="702">
        <v>2500</v>
      </c>
      <c r="M253" s="703" t="s">
        <v>114</v>
      </c>
      <c r="N253" s="269"/>
      <c r="P253" s="270"/>
    </row>
    <row r="254" spans="9:16" x14ac:dyDescent="0.25">
      <c r="I254" s="703" t="s">
        <v>58</v>
      </c>
      <c r="J254" s="703" t="s">
        <v>1422</v>
      </c>
      <c r="K254" s="712">
        <v>10303</v>
      </c>
      <c r="L254" s="702">
        <v>4000</v>
      </c>
      <c r="M254" s="703" t="s">
        <v>114</v>
      </c>
      <c r="N254" s="269"/>
      <c r="P254" s="270"/>
    </row>
    <row r="255" spans="9:16" x14ac:dyDescent="0.25">
      <c r="I255" s="703" t="s">
        <v>58</v>
      </c>
      <c r="J255" s="703" t="s">
        <v>1422</v>
      </c>
      <c r="K255" s="712">
        <v>13260</v>
      </c>
      <c r="L255" s="702">
        <v>2500</v>
      </c>
      <c r="M255" s="703" t="s">
        <v>114</v>
      </c>
      <c r="N255" s="269"/>
      <c r="P255" s="270"/>
    </row>
    <row r="256" spans="9:16" x14ac:dyDescent="0.25">
      <c r="I256" s="703" t="s">
        <v>58</v>
      </c>
      <c r="J256" s="703" t="s">
        <v>1422</v>
      </c>
      <c r="K256" s="712">
        <v>6968</v>
      </c>
      <c r="L256" s="702">
        <v>4000</v>
      </c>
      <c r="M256" s="703" t="s">
        <v>114</v>
      </c>
      <c r="N256" s="269"/>
      <c r="P256" s="270"/>
    </row>
    <row r="257" spans="9:16" x14ac:dyDescent="0.25">
      <c r="I257" s="703" t="s">
        <v>58</v>
      </c>
      <c r="J257" s="703" t="s">
        <v>1422</v>
      </c>
      <c r="K257" s="712">
        <v>19546</v>
      </c>
      <c r="L257" s="702">
        <v>3000</v>
      </c>
      <c r="M257" s="703" t="s">
        <v>114</v>
      </c>
      <c r="N257" s="269"/>
      <c r="P257" s="270"/>
    </row>
    <row r="258" spans="9:16" x14ac:dyDescent="0.25">
      <c r="I258" s="703" t="s">
        <v>58</v>
      </c>
      <c r="J258" s="703" t="s">
        <v>1422</v>
      </c>
      <c r="K258" s="712">
        <v>15700</v>
      </c>
      <c r="L258" s="702">
        <v>3000</v>
      </c>
      <c r="M258" s="703" t="s">
        <v>114</v>
      </c>
      <c r="N258" s="269"/>
      <c r="P258" s="270"/>
    </row>
    <row r="259" spans="9:16" x14ac:dyDescent="0.25">
      <c r="I259" s="703" t="s">
        <v>58</v>
      </c>
      <c r="J259" s="703" t="s">
        <v>1422</v>
      </c>
      <c r="K259" s="712">
        <v>13187</v>
      </c>
      <c r="L259" s="702">
        <v>4000</v>
      </c>
      <c r="M259" s="703" t="s">
        <v>114</v>
      </c>
      <c r="N259" s="269"/>
      <c r="P259" s="270"/>
    </row>
    <row r="260" spans="9:16" x14ac:dyDescent="0.25">
      <c r="I260" s="703" t="s">
        <v>58</v>
      </c>
      <c r="J260" s="703" t="s">
        <v>1422</v>
      </c>
      <c r="K260" s="712">
        <v>7382</v>
      </c>
      <c r="L260" s="702">
        <v>3500</v>
      </c>
      <c r="M260" s="703" t="s">
        <v>114</v>
      </c>
      <c r="N260" s="269"/>
      <c r="P260" s="270"/>
    </row>
    <row r="261" spans="9:16" x14ac:dyDescent="0.25">
      <c r="I261" s="703" t="s">
        <v>58</v>
      </c>
      <c r="J261" s="703" t="s">
        <v>1422</v>
      </c>
      <c r="K261" s="712">
        <v>47853</v>
      </c>
      <c r="L261" s="702">
        <v>2000</v>
      </c>
      <c r="M261" s="703" t="s">
        <v>114</v>
      </c>
      <c r="N261" s="269"/>
      <c r="P261" s="270"/>
    </row>
    <row r="262" spans="9:16" x14ac:dyDescent="0.25">
      <c r="I262" s="703" t="s">
        <v>58</v>
      </c>
      <c r="J262" s="703" t="s">
        <v>1422</v>
      </c>
      <c r="K262" s="712">
        <v>21616</v>
      </c>
      <c r="L262" s="702">
        <v>4000</v>
      </c>
      <c r="M262" s="703" t="s">
        <v>114</v>
      </c>
      <c r="N262" s="269"/>
      <c r="P262" s="270"/>
    </row>
    <row r="263" spans="9:16" x14ac:dyDescent="0.25">
      <c r="I263" s="703" t="s">
        <v>58</v>
      </c>
      <c r="J263" s="703" t="s">
        <v>1422</v>
      </c>
      <c r="K263" s="712">
        <v>11624</v>
      </c>
      <c r="L263" s="702">
        <v>3500</v>
      </c>
      <c r="M263" s="703" t="s">
        <v>114</v>
      </c>
      <c r="N263" s="269"/>
      <c r="P263" s="270"/>
    </row>
    <row r="264" spans="9:16" x14ac:dyDescent="0.25">
      <c r="I264" s="703" t="s">
        <v>58</v>
      </c>
      <c r="J264" s="703" t="s">
        <v>1422</v>
      </c>
      <c r="K264" s="712">
        <v>7765</v>
      </c>
      <c r="L264" s="702">
        <v>2000</v>
      </c>
      <c r="M264" s="703" t="s">
        <v>114</v>
      </c>
      <c r="N264" s="269"/>
      <c r="P264" s="270"/>
    </row>
    <row r="265" spans="9:16" x14ac:dyDescent="0.25">
      <c r="I265" s="703" t="s">
        <v>58</v>
      </c>
      <c r="J265" s="703" t="s">
        <v>1422</v>
      </c>
      <c r="K265" s="712">
        <v>15118</v>
      </c>
      <c r="L265" s="702">
        <v>4000</v>
      </c>
      <c r="M265" s="703" t="s">
        <v>114</v>
      </c>
      <c r="N265" s="269"/>
      <c r="P265" s="270"/>
    </row>
    <row r="266" spans="9:16" x14ac:dyDescent="0.25">
      <c r="I266" s="703" t="s">
        <v>58</v>
      </c>
      <c r="J266" s="703" t="s">
        <v>1422</v>
      </c>
      <c r="K266" s="712">
        <v>12484</v>
      </c>
      <c r="L266" s="702">
        <v>2500</v>
      </c>
      <c r="M266" s="703" t="s">
        <v>114</v>
      </c>
      <c r="N266" s="269"/>
      <c r="P266" s="270"/>
    </row>
    <row r="267" spans="9:16" x14ac:dyDescent="0.25">
      <c r="I267" s="703" t="s">
        <v>58</v>
      </c>
      <c r="J267" s="703" t="s">
        <v>1422</v>
      </c>
      <c r="K267" s="712">
        <v>6797</v>
      </c>
      <c r="L267" s="702">
        <v>2500</v>
      </c>
      <c r="M267" s="703" t="s">
        <v>114</v>
      </c>
      <c r="N267" s="269"/>
      <c r="P267" s="270"/>
    </row>
    <row r="268" spans="9:16" x14ac:dyDescent="0.25">
      <c r="I268" s="703" t="s">
        <v>58</v>
      </c>
      <c r="J268" s="703" t="s">
        <v>1422</v>
      </c>
      <c r="K268" s="712">
        <v>12000</v>
      </c>
      <c r="L268" s="702">
        <v>4000</v>
      </c>
      <c r="M268" s="703" t="s">
        <v>114</v>
      </c>
      <c r="N268" s="269"/>
      <c r="P268" s="270"/>
    </row>
    <row r="269" spans="9:16" x14ac:dyDescent="0.25">
      <c r="I269" s="703" t="s">
        <v>58</v>
      </c>
      <c r="J269" s="703" t="s">
        <v>1422</v>
      </c>
      <c r="K269" s="712">
        <v>6630</v>
      </c>
      <c r="L269" s="702">
        <v>3500</v>
      </c>
      <c r="M269" s="703" t="s">
        <v>114</v>
      </c>
      <c r="N269" s="269"/>
      <c r="P269" s="270"/>
    </row>
    <row r="270" spans="9:16" x14ac:dyDescent="0.25">
      <c r="I270" s="703" t="s">
        <v>58</v>
      </c>
      <c r="J270" s="703" t="s">
        <v>1422</v>
      </c>
      <c r="K270" s="712">
        <v>57480</v>
      </c>
      <c r="L270" s="702">
        <v>4000</v>
      </c>
      <c r="M270" s="703" t="s">
        <v>114</v>
      </c>
      <c r="N270" s="269"/>
      <c r="P270" s="270"/>
    </row>
    <row r="271" spans="9:16" x14ac:dyDescent="0.25">
      <c r="I271" s="703" t="s">
        <v>58</v>
      </c>
      <c r="J271" s="703" t="s">
        <v>1422</v>
      </c>
      <c r="K271" s="713"/>
      <c r="L271" s="702">
        <v>3000</v>
      </c>
      <c r="M271" s="703" t="s">
        <v>114</v>
      </c>
      <c r="N271" s="269"/>
      <c r="P271" s="270"/>
    </row>
    <row r="272" spans="9:16" x14ac:dyDescent="0.25">
      <c r="I272" s="703" t="s">
        <v>58</v>
      </c>
      <c r="J272" s="703" t="s">
        <v>1422</v>
      </c>
      <c r="K272" s="712">
        <v>19095</v>
      </c>
      <c r="L272" s="702">
        <v>4000</v>
      </c>
      <c r="M272" s="703" t="s">
        <v>114</v>
      </c>
      <c r="N272" s="269"/>
      <c r="P272" s="270"/>
    </row>
    <row r="273" spans="9:16" x14ac:dyDescent="0.25">
      <c r="I273" s="703" t="s">
        <v>58</v>
      </c>
      <c r="J273" s="703" t="s">
        <v>1422</v>
      </c>
      <c r="K273" s="712">
        <v>7682</v>
      </c>
      <c r="L273" s="702">
        <v>2000</v>
      </c>
      <c r="M273" s="703" t="s">
        <v>114</v>
      </c>
      <c r="N273" s="269"/>
      <c r="P273" s="270"/>
    </row>
    <row r="274" spans="9:16" x14ac:dyDescent="0.25">
      <c r="I274" s="703" t="s">
        <v>58</v>
      </c>
      <c r="J274" s="703" t="s">
        <v>1422</v>
      </c>
      <c r="K274" s="712">
        <v>16100</v>
      </c>
      <c r="L274" s="702">
        <v>3000</v>
      </c>
      <c r="M274" s="703" t="s">
        <v>114</v>
      </c>
      <c r="N274" s="269"/>
      <c r="P274" s="270"/>
    </row>
    <row r="275" spans="9:16" x14ac:dyDescent="0.25">
      <c r="I275" s="703" t="s">
        <v>58</v>
      </c>
      <c r="J275" s="703" t="s">
        <v>1422</v>
      </c>
      <c r="K275" s="712">
        <v>26524</v>
      </c>
      <c r="L275" s="702">
        <v>2000</v>
      </c>
      <c r="M275" s="703" t="s">
        <v>114</v>
      </c>
      <c r="N275" s="269"/>
      <c r="P275" s="270"/>
    </row>
    <row r="276" spans="9:16" x14ac:dyDescent="0.25">
      <c r="I276" s="703" t="s">
        <v>58</v>
      </c>
      <c r="J276" s="703" t="s">
        <v>1422</v>
      </c>
      <c r="K276" s="712">
        <v>10584</v>
      </c>
      <c r="L276" s="702">
        <v>3000</v>
      </c>
      <c r="M276" s="703" t="s">
        <v>114</v>
      </c>
      <c r="N276" s="269"/>
      <c r="P276" s="270"/>
    </row>
    <row r="277" spans="9:16" x14ac:dyDescent="0.25">
      <c r="I277" s="703" t="s">
        <v>58</v>
      </c>
      <c r="J277" s="703" t="s">
        <v>1422</v>
      </c>
      <c r="K277" s="712">
        <v>13552.01</v>
      </c>
      <c r="L277" s="702">
        <v>3000</v>
      </c>
      <c r="M277" s="703" t="s">
        <v>114</v>
      </c>
      <c r="N277" s="269"/>
      <c r="P277" s="270"/>
    </row>
    <row r="278" spans="9:16" x14ac:dyDescent="0.25">
      <c r="I278" s="703" t="s">
        <v>58</v>
      </c>
      <c r="J278" s="703" t="s">
        <v>1422</v>
      </c>
      <c r="K278" s="712">
        <v>6200</v>
      </c>
      <c r="L278" s="702">
        <v>2000</v>
      </c>
      <c r="M278" s="703" t="s">
        <v>114</v>
      </c>
      <c r="N278" s="269"/>
      <c r="P278" s="270"/>
    </row>
    <row r="279" spans="9:16" x14ac:dyDescent="0.25">
      <c r="I279" s="703" t="s">
        <v>58</v>
      </c>
      <c r="J279" s="703" t="s">
        <v>1422</v>
      </c>
      <c r="K279" s="712">
        <v>14055</v>
      </c>
      <c r="L279" s="702">
        <v>1500</v>
      </c>
      <c r="M279" s="703" t="s">
        <v>114</v>
      </c>
      <c r="N279" s="269"/>
      <c r="P279" s="270"/>
    </row>
    <row r="280" spans="9:16" x14ac:dyDescent="0.25">
      <c r="I280" s="703" t="s">
        <v>58</v>
      </c>
      <c r="J280" s="703" t="s">
        <v>1422</v>
      </c>
      <c r="K280" s="712">
        <v>9440</v>
      </c>
      <c r="L280" s="702">
        <v>3000</v>
      </c>
      <c r="M280" s="703" t="s">
        <v>114</v>
      </c>
      <c r="N280" s="269"/>
      <c r="P280" s="270"/>
    </row>
    <row r="281" spans="9:16" x14ac:dyDescent="0.25">
      <c r="I281" s="703" t="s">
        <v>58</v>
      </c>
      <c r="J281" s="703" t="s">
        <v>1422</v>
      </c>
      <c r="K281" s="712">
        <v>16637</v>
      </c>
      <c r="L281" s="702">
        <v>2000</v>
      </c>
      <c r="M281" s="703" t="s">
        <v>114</v>
      </c>
      <c r="N281" s="269"/>
      <c r="P281" s="270"/>
    </row>
    <row r="282" spans="9:16" x14ac:dyDescent="0.25">
      <c r="I282" s="703" t="s">
        <v>58</v>
      </c>
      <c r="J282" s="703" t="s">
        <v>1422</v>
      </c>
      <c r="K282" s="712">
        <v>7855</v>
      </c>
      <c r="L282" s="702">
        <v>3000</v>
      </c>
      <c r="M282" s="703" t="s">
        <v>114</v>
      </c>
      <c r="N282" s="269"/>
      <c r="P282" s="270"/>
    </row>
    <row r="283" spans="9:16" x14ac:dyDescent="0.25">
      <c r="I283" s="703" t="s">
        <v>58</v>
      </c>
      <c r="J283" s="703" t="s">
        <v>1422</v>
      </c>
      <c r="K283" s="712">
        <v>14250</v>
      </c>
      <c r="L283" s="702">
        <v>2000</v>
      </c>
      <c r="M283" s="703" t="s">
        <v>114</v>
      </c>
      <c r="N283" s="269"/>
      <c r="P283" s="270"/>
    </row>
    <row r="284" spans="9:16" x14ac:dyDescent="0.25">
      <c r="I284" s="703" t="s">
        <v>58</v>
      </c>
      <c r="J284" s="703" t="s">
        <v>1422</v>
      </c>
      <c r="K284" s="712">
        <v>6052</v>
      </c>
      <c r="L284" s="702">
        <v>3000</v>
      </c>
      <c r="M284" s="703" t="s">
        <v>114</v>
      </c>
      <c r="N284" s="269"/>
      <c r="P284" s="270"/>
    </row>
    <row r="285" spans="9:16" x14ac:dyDescent="0.25">
      <c r="I285" s="703" t="s">
        <v>58</v>
      </c>
      <c r="J285" s="703" t="s">
        <v>1422</v>
      </c>
      <c r="K285" s="712">
        <v>17699</v>
      </c>
      <c r="L285" s="702">
        <v>4000</v>
      </c>
      <c r="M285" s="703" t="s">
        <v>114</v>
      </c>
      <c r="N285" s="269"/>
      <c r="P285" s="270"/>
    </row>
    <row r="286" spans="9:16" x14ac:dyDescent="0.25">
      <c r="I286" s="703" t="s">
        <v>58</v>
      </c>
      <c r="J286" s="703" t="s">
        <v>1422</v>
      </c>
      <c r="K286" s="712">
        <v>19393</v>
      </c>
      <c r="L286" s="702">
        <v>4000</v>
      </c>
      <c r="M286" s="703" t="s">
        <v>114</v>
      </c>
      <c r="N286" s="269"/>
      <c r="P286" s="270"/>
    </row>
    <row r="287" spans="9:16" x14ac:dyDescent="0.25">
      <c r="I287" s="703" t="s">
        <v>58</v>
      </c>
      <c r="J287" s="703" t="s">
        <v>1422</v>
      </c>
      <c r="K287" s="712">
        <v>11053</v>
      </c>
      <c r="L287" s="702">
        <v>4000</v>
      </c>
      <c r="M287" s="703" t="s">
        <v>114</v>
      </c>
      <c r="N287" s="269"/>
      <c r="P287" s="270"/>
    </row>
    <row r="288" spans="9:16" x14ac:dyDescent="0.25">
      <c r="I288" s="703" t="s">
        <v>58</v>
      </c>
      <c r="J288" s="703" t="s">
        <v>1422</v>
      </c>
      <c r="K288" s="712">
        <v>10058</v>
      </c>
      <c r="L288" s="702">
        <v>3500</v>
      </c>
      <c r="M288" s="703" t="s">
        <v>114</v>
      </c>
      <c r="N288" s="269"/>
      <c r="P288" s="270"/>
    </row>
    <row r="289" spans="9:16" x14ac:dyDescent="0.25">
      <c r="I289" s="703" t="s">
        <v>58</v>
      </c>
      <c r="J289" s="703" t="s">
        <v>1422</v>
      </c>
      <c r="K289" s="712">
        <v>21042</v>
      </c>
      <c r="L289" s="702">
        <v>4000</v>
      </c>
      <c r="M289" s="703" t="s">
        <v>114</v>
      </c>
      <c r="N289" s="269"/>
      <c r="P289" s="270"/>
    </row>
    <row r="290" spans="9:16" x14ac:dyDescent="0.25">
      <c r="I290" s="703" t="s">
        <v>58</v>
      </c>
      <c r="J290" s="703" t="s">
        <v>1422</v>
      </c>
      <c r="K290" s="712">
        <v>19836</v>
      </c>
      <c r="L290" s="702">
        <v>4000</v>
      </c>
      <c r="M290" s="703" t="s">
        <v>114</v>
      </c>
      <c r="N290" s="269"/>
      <c r="P290" s="270"/>
    </row>
    <row r="291" spans="9:16" x14ac:dyDescent="0.25">
      <c r="I291" s="703" t="s">
        <v>58</v>
      </c>
      <c r="J291" s="703" t="s">
        <v>1422</v>
      </c>
      <c r="K291" s="712">
        <v>5840</v>
      </c>
      <c r="L291" s="702">
        <v>2000</v>
      </c>
      <c r="M291" s="703" t="s">
        <v>114</v>
      </c>
      <c r="N291" s="269"/>
      <c r="P291" s="270"/>
    </row>
    <row r="292" spans="9:16" x14ac:dyDescent="0.25">
      <c r="I292" s="703" t="s">
        <v>58</v>
      </c>
      <c r="J292" s="703" t="s">
        <v>1422</v>
      </c>
      <c r="K292" s="712">
        <v>9625</v>
      </c>
      <c r="L292" s="702">
        <v>1500</v>
      </c>
      <c r="M292" s="703" t="s">
        <v>114</v>
      </c>
      <c r="N292" s="269"/>
      <c r="P292" s="270"/>
    </row>
    <row r="293" spans="9:16" x14ac:dyDescent="0.25">
      <c r="I293" s="703" t="s">
        <v>58</v>
      </c>
      <c r="J293" s="703" t="s">
        <v>1422</v>
      </c>
      <c r="K293" s="712">
        <v>14941</v>
      </c>
      <c r="L293" s="702">
        <v>2500</v>
      </c>
      <c r="M293" s="703" t="s">
        <v>114</v>
      </c>
      <c r="N293" s="269"/>
      <c r="P293" s="270"/>
    </row>
    <row r="294" spans="9:16" x14ac:dyDescent="0.25">
      <c r="I294" s="703" t="s">
        <v>58</v>
      </c>
      <c r="J294" s="703" t="s">
        <v>1422</v>
      </c>
      <c r="K294" s="712">
        <v>11634</v>
      </c>
      <c r="L294" s="702">
        <v>3000</v>
      </c>
      <c r="M294" s="703" t="s">
        <v>114</v>
      </c>
      <c r="N294" s="269"/>
      <c r="P294" s="270"/>
    </row>
    <row r="295" spans="9:16" x14ac:dyDescent="0.25">
      <c r="I295" s="703" t="s">
        <v>58</v>
      </c>
      <c r="J295" s="703" t="s">
        <v>1422</v>
      </c>
      <c r="K295" s="712">
        <v>4900</v>
      </c>
      <c r="L295" s="702">
        <v>1500</v>
      </c>
      <c r="M295" s="703" t="s">
        <v>114</v>
      </c>
      <c r="N295" s="269"/>
      <c r="P295" s="270"/>
    </row>
    <row r="296" spans="9:16" x14ac:dyDescent="0.25">
      <c r="I296" s="703" t="s">
        <v>58</v>
      </c>
      <c r="J296" s="703" t="s">
        <v>1422</v>
      </c>
      <c r="K296" s="712">
        <v>9437</v>
      </c>
      <c r="L296" s="702">
        <v>3000</v>
      </c>
      <c r="M296" s="703" t="s">
        <v>114</v>
      </c>
      <c r="N296" s="269"/>
      <c r="P296" s="270"/>
    </row>
    <row r="297" spans="9:16" x14ac:dyDescent="0.25">
      <c r="I297" s="703" t="s">
        <v>58</v>
      </c>
      <c r="J297" s="703" t="s">
        <v>1422</v>
      </c>
      <c r="K297" s="712">
        <v>10481</v>
      </c>
      <c r="L297" s="702">
        <v>2500</v>
      </c>
      <c r="M297" s="703" t="s">
        <v>114</v>
      </c>
      <c r="N297" s="269"/>
      <c r="P297" s="270"/>
    </row>
    <row r="298" spans="9:16" x14ac:dyDescent="0.25">
      <c r="I298" s="703" t="s">
        <v>58</v>
      </c>
      <c r="J298" s="703" t="s">
        <v>1422</v>
      </c>
      <c r="K298" s="713"/>
      <c r="L298" s="702">
        <v>3500</v>
      </c>
      <c r="M298" s="703" t="s">
        <v>114</v>
      </c>
      <c r="N298" s="269"/>
      <c r="P298" s="270"/>
    </row>
    <row r="299" spans="9:16" x14ac:dyDescent="0.25">
      <c r="I299" s="703" t="s">
        <v>58</v>
      </c>
      <c r="J299" s="703" t="s">
        <v>1422</v>
      </c>
      <c r="K299" s="712">
        <v>12873</v>
      </c>
      <c r="L299" s="702">
        <v>3500</v>
      </c>
      <c r="M299" s="703" t="s">
        <v>114</v>
      </c>
      <c r="N299" s="269"/>
      <c r="P299" s="270"/>
    </row>
    <row r="300" spans="9:16" x14ac:dyDescent="0.25">
      <c r="I300" s="703" t="s">
        <v>58</v>
      </c>
      <c r="J300" s="703" t="s">
        <v>1422</v>
      </c>
      <c r="K300" s="712">
        <v>8375</v>
      </c>
      <c r="L300" s="702">
        <v>2500</v>
      </c>
      <c r="M300" s="703" t="s">
        <v>114</v>
      </c>
      <c r="N300" s="269"/>
      <c r="P300" s="270"/>
    </row>
    <row r="301" spans="9:16" x14ac:dyDescent="0.25">
      <c r="I301" s="703" t="s">
        <v>58</v>
      </c>
      <c r="J301" s="703" t="s">
        <v>1422</v>
      </c>
      <c r="K301" s="712">
        <v>11863</v>
      </c>
      <c r="L301" s="702">
        <v>3000</v>
      </c>
      <c r="M301" s="703" t="s">
        <v>114</v>
      </c>
      <c r="N301" s="269"/>
      <c r="P301" s="270"/>
    </row>
    <row r="302" spans="9:16" x14ac:dyDescent="0.25">
      <c r="I302" s="703" t="s">
        <v>58</v>
      </c>
      <c r="J302" s="703" t="s">
        <v>1422</v>
      </c>
      <c r="K302" s="712">
        <v>6575</v>
      </c>
      <c r="L302" s="702">
        <v>2000</v>
      </c>
      <c r="M302" s="703" t="s">
        <v>114</v>
      </c>
      <c r="N302" s="269"/>
      <c r="P302" s="270"/>
    </row>
    <row r="303" spans="9:16" x14ac:dyDescent="0.25">
      <c r="I303" s="703" t="s">
        <v>58</v>
      </c>
      <c r="J303" s="703" t="s">
        <v>1422</v>
      </c>
      <c r="K303" s="712">
        <v>6647</v>
      </c>
      <c r="L303" s="702">
        <v>2500</v>
      </c>
      <c r="M303" s="703" t="s">
        <v>114</v>
      </c>
      <c r="N303" s="269"/>
      <c r="P303" s="270"/>
    </row>
    <row r="304" spans="9:16" x14ac:dyDescent="0.25">
      <c r="I304" s="703" t="s">
        <v>58</v>
      </c>
      <c r="J304" s="703" t="s">
        <v>1422</v>
      </c>
      <c r="K304" s="712">
        <v>18055</v>
      </c>
      <c r="L304" s="702">
        <v>2500</v>
      </c>
      <c r="M304" s="703" t="s">
        <v>114</v>
      </c>
      <c r="N304" s="269"/>
      <c r="P304" s="270"/>
    </row>
    <row r="305" spans="9:16" x14ac:dyDescent="0.25">
      <c r="I305" s="703" t="s">
        <v>58</v>
      </c>
      <c r="J305" s="703" t="s">
        <v>1422</v>
      </c>
      <c r="K305" s="712">
        <v>12927</v>
      </c>
      <c r="L305" s="702">
        <v>1500</v>
      </c>
      <c r="M305" s="703" t="s">
        <v>114</v>
      </c>
      <c r="N305" s="269"/>
      <c r="P305" s="270"/>
    </row>
    <row r="306" spans="9:16" x14ac:dyDescent="0.25">
      <c r="I306" s="703" t="s">
        <v>58</v>
      </c>
      <c r="J306" s="703" t="s">
        <v>1422</v>
      </c>
      <c r="K306" s="712">
        <v>14896</v>
      </c>
      <c r="L306" s="702">
        <v>2000</v>
      </c>
      <c r="M306" s="703" t="s">
        <v>114</v>
      </c>
      <c r="N306" s="269"/>
      <c r="P306" s="270"/>
    </row>
    <row r="307" spans="9:16" x14ac:dyDescent="0.25">
      <c r="I307" s="703" t="s">
        <v>58</v>
      </c>
      <c r="J307" s="703" t="s">
        <v>1422</v>
      </c>
      <c r="K307" s="712">
        <v>11937</v>
      </c>
      <c r="L307" s="702">
        <v>4000</v>
      </c>
      <c r="M307" s="703" t="s">
        <v>114</v>
      </c>
      <c r="N307" s="269"/>
      <c r="P307" s="271"/>
    </row>
    <row r="308" spans="9:16" x14ac:dyDescent="0.25">
      <c r="I308" s="703" t="s">
        <v>58</v>
      </c>
      <c r="J308" s="703" t="s">
        <v>1422</v>
      </c>
      <c r="K308" s="712">
        <v>9790.4</v>
      </c>
      <c r="L308" s="702">
        <v>3000</v>
      </c>
      <c r="M308" s="703" t="s">
        <v>114</v>
      </c>
      <c r="N308" s="269"/>
      <c r="P308" s="270"/>
    </row>
    <row r="309" spans="9:16" x14ac:dyDescent="0.25">
      <c r="I309" s="703" t="s">
        <v>58</v>
      </c>
      <c r="J309" s="703" t="s">
        <v>1422</v>
      </c>
      <c r="K309" s="712">
        <v>12492</v>
      </c>
      <c r="L309" s="702">
        <v>4000</v>
      </c>
      <c r="M309" s="703" t="s">
        <v>114</v>
      </c>
      <c r="N309" s="269"/>
      <c r="P309" s="270"/>
    </row>
    <row r="310" spans="9:16" x14ac:dyDescent="0.25">
      <c r="I310" s="703" t="s">
        <v>58</v>
      </c>
      <c r="J310" s="703" t="s">
        <v>1422</v>
      </c>
      <c r="K310" s="712">
        <v>25564</v>
      </c>
      <c r="L310" s="702">
        <v>2000</v>
      </c>
      <c r="M310" s="703" t="s">
        <v>114</v>
      </c>
      <c r="N310" s="266"/>
      <c r="O310" s="267"/>
      <c r="P310" s="268"/>
    </row>
    <row r="311" spans="9:16" x14ac:dyDescent="0.25">
      <c r="I311" s="703" t="s">
        <v>58</v>
      </c>
      <c r="J311" s="703" t="s">
        <v>1422</v>
      </c>
      <c r="K311" s="712">
        <v>7900</v>
      </c>
      <c r="L311" s="702">
        <v>2000</v>
      </c>
      <c r="M311" s="703" t="s">
        <v>114</v>
      </c>
    </row>
    <row r="312" spans="9:16" x14ac:dyDescent="0.25">
      <c r="I312" s="703" t="s">
        <v>58</v>
      </c>
      <c r="J312" s="703" t="s">
        <v>1422</v>
      </c>
      <c r="K312" s="712">
        <v>12506</v>
      </c>
      <c r="L312" s="702">
        <v>3500</v>
      </c>
      <c r="M312" s="703" t="s">
        <v>114</v>
      </c>
    </row>
    <row r="313" spans="9:16" x14ac:dyDescent="0.25">
      <c r="I313" s="703" t="s">
        <v>58</v>
      </c>
      <c r="J313" s="703" t="s">
        <v>1422</v>
      </c>
      <c r="K313" s="712">
        <v>47246</v>
      </c>
      <c r="L313" s="702">
        <v>1500</v>
      </c>
      <c r="M313" s="703" t="s">
        <v>114</v>
      </c>
    </row>
    <row r="314" spans="9:16" x14ac:dyDescent="0.25">
      <c r="I314" s="703" t="s">
        <v>58</v>
      </c>
      <c r="J314" s="703" t="s">
        <v>1422</v>
      </c>
      <c r="K314" s="712">
        <v>8414</v>
      </c>
      <c r="L314" s="702">
        <v>2500</v>
      </c>
      <c r="M314" s="703" t="s">
        <v>114</v>
      </c>
    </row>
    <row r="315" spans="9:16" x14ac:dyDescent="0.25">
      <c r="I315" s="703" t="s">
        <v>58</v>
      </c>
      <c r="J315" s="703" t="s">
        <v>1422</v>
      </c>
      <c r="K315" s="712">
        <v>12631</v>
      </c>
      <c r="L315" s="702">
        <v>2000</v>
      </c>
      <c r="M315" s="703" t="s">
        <v>114</v>
      </c>
    </row>
    <row r="316" spans="9:16" x14ac:dyDescent="0.25">
      <c r="I316" s="703" t="s">
        <v>58</v>
      </c>
      <c r="J316" s="703" t="s">
        <v>1422</v>
      </c>
      <c r="K316" s="712">
        <v>30072</v>
      </c>
      <c r="L316" s="702">
        <v>4000</v>
      </c>
      <c r="M316" s="703" t="s">
        <v>114</v>
      </c>
    </row>
    <row r="317" spans="9:16" x14ac:dyDescent="0.25">
      <c r="I317" s="703" t="s">
        <v>58</v>
      </c>
      <c r="J317" s="703" t="s">
        <v>1422</v>
      </c>
      <c r="K317" s="712">
        <v>13829</v>
      </c>
      <c r="L317" s="702">
        <v>3000</v>
      </c>
      <c r="M317" s="703" t="s">
        <v>114</v>
      </c>
    </row>
    <row r="318" spans="9:16" x14ac:dyDescent="0.25">
      <c r="I318" s="703" t="s">
        <v>58</v>
      </c>
      <c r="J318" s="703" t="s">
        <v>1422</v>
      </c>
      <c r="K318" s="712">
        <v>10000</v>
      </c>
      <c r="L318" s="702">
        <v>4000</v>
      </c>
      <c r="M318" s="703" t="s">
        <v>114</v>
      </c>
    </row>
    <row r="319" spans="9:16" x14ac:dyDescent="0.25">
      <c r="I319" s="703" t="s">
        <v>58</v>
      </c>
      <c r="J319" s="703" t="s">
        <v>1422</v>
      </c>
      <c r="K319" s="712">
        <v>20500</v>
      </c>
      <c r="L319" s="702">
        <v>4000</v>
      </c>
      <c r="M319" s="703" t="s">
        <v>114</v>
      </c>
    </row>
    <row r="320" spans="9:16" x14ac:dyDescent="0.25">
      <c r="I320" s="703" t="s">
        <v>58</v>
      </c>
      <c r="J320" s="703" t="s">
        <v>1422</v>
      </c>
      <c r="K320" s="712">
        <v>12000</v>
      </c>
      <c r="L320" s="702">
        <v>4000</v>
      </c>
      <c r="M320" s="703" t="s">
        <v>114</v>
      </c>
    </row>
    <row r="321" spans="9:13" x14ac:dyDescent="0.25">
      <c r="I321" s="703" t="s">
        <v>58</v>
      </c>
      <c r="J321" s="703" t="s">
        <v>1422</v>
      </c>
      <c r="K321" s="712">
        <v>24365</v>
      </c>
      <c r="L321" s="702">
        <v>3500</v>
      </c>
      <c r="M321" s="703" t="s">
        <v>114</v>
      </c>
    </row>
    <row r="322" spans="9:13" x14ac:dyDescent="0.25">
      <c r="I322" s="703" t="s">
        <v>58</v>
      </c>
      <c r="J322" s="703" t="s">
        <v>1422</v>
      </c>
      <c r="K322" s="712">
        <v>23373</v>
      </c>
      <c r="L322" s="702">
        <v>3000</v>
      </c>
      <c r="M322" s="703" t="s">
        <v>114</v>
      </c>
    </row>
    <row r="323" spans="9:13" x14ac:dyDescent="0.25">
      <c r="I323" s="703" t="s">
        <v>58</v>
      </c>
      <c r="J323" s="703" t="s">
        <v>1422</v>
      </c>
      <c r="K323" s="712">
        <v>16394</v>
      </c>
      <c r="L323" s="702">
        <v>2000</v>
      </c>
      <c r="M323" s="703" t="s">
        <v>114</v>
      </c>
    </row>
    <row r="324" spans="9:13" x14ac:dyDescent="0.25">
      <c r="I324" s="703" t="s">
        <v>58</v>
      </c>
      <c r="J324" s="703" t="s">
        <v>1422</v>
      </c>
      <c r="K324" s="712">
        <v>31564</v>
      </c>
      <c r="L324" s="702">
        <v>2000</v>
      </c>
      <c r="M324" s="703" t="s">
        <v>114</v>
      </c>
    </row>
    <row r="325" spans="9:13" x14ac:dyDescent="0.25">
      <c r="I325" s="703" t="s">
        <v>58</v>
      </c>
      <c r="J325" s="703" t="s">
        <v>1422</v>
      </c>
      <c r="K325" s="712">
        <v>21023</v>
      </c>
      <c r="L325" s="702">
        <v>4000</v>
      </c>
      <c r="M325" s="703" t="s">
        <v>114</v>
      </c>
    </row>
    <row r="326" spans="9:13" x14ac:dyDescent="0.25">
      <c r="I326" s="703" t="s">
        <v>58</v>
      </c>
      <c r="J326" s="703" t="s">
        <v>1422</v>
      </c>
      <c r="K326" s="712">
        <v>9785</v>
      </c>
      <c r="L326" s="702">
        <v>2000</v>
      </c>
      <c r="M326" s="703" t="s">
        <v>114</v>
      </c>
    </row>
    <row r="327" spans="9:13" x14ac:dyDescent="0.25">
      <c r="I327" s="703" t="s">
        <v>58</v>
      </c>
      <c r="J327" s="703" t="s">
        <v>1422</v>
      </c>
      <c r="K327" s="712">
        <v>12560.01</v>
      </c>
      <c r="L327" s="702">
        <v>2000</v>
      </c>
      <c r="M327" s="703" t="s">
        <v>114</v>
      </c>
    </row>
    <row r="328" spans="9:13" x14ac:dyDescent="0.25">
      <c r="I328" s="703" t="s">
        <v>58</v>
      </c>
      <c r="J328" s="703" t="s">
        <v>1422</v>
      </c>
      <c r="K328" s="712">
        <v>10310</v>
      </c>
      <c r="L328" s="702">
        <v>2000</v>
      </c>
      <c r="M328" s="703" t="s">
        <v>114</v>
      </c>
    </row>
    <row r="329" spans="9:13" x14ac:dyDescent="0.25">
      <c r="I329" s="703" t="s">
        <v>58</v>
      </c>
      <c r="J329" s="703" t="s">
        <v>1422</v>
      </c>
      <c r="K329" s="712">
        <v>10000</v>
      </c>
      <c r="L329" s="702">
        <v>4000</v>
      </c>
      <c r="M329" s="703" t="s">
        <v>114</v>
      </c>
    </row>
    <row r="330" spans="9:13" x14ac:dyDescent="0.25">
      <c r="I330" s="703" t="s">
        <v>58</v>
      </c>
      <c r="J330" s="703" t="s">
        <v>1422</v>
      </c>
      <c r="K330" s="712">
        <v>17000</v>
      </c>
      <c r="L330" s="702">
        <v>3500</v>
      </c>
      <c r="M330" s="703" t="s">
        <v>114</v>
      </c>
    </row>
    <row r="331" spans="9:13" x14ac:dyDescent="0.25">
      <c r="I331" s="703" t="s">
        <v>58</v>
      </c>
      <c r="J331" s="703" t="s">
        <v>1422</v>
      </c>
      <c r="K331" s="712">
        <v>10400</v>
      </c>
      <c r="L331" s="702">
        <v>3000</v>
      </c>
      <c r="M331" s="703" t="s">
        <v>114</v>
      </c>
    </row>
    <row r="332" spans="9:13" x14ac:dyDescent="0.25">
      <c r="I332" s="703" t="s">
        <v>58</v>
      </c>
      <c r="J332" s="703" t="s">
        <v>1422</v>
      </c>
      <c r="K332" s="712">
        <v>14450</v>
      </c>
      <c r="L332" s="702">
        <v>2500</v>
      </c>
      <c r="M332" s="703" t="s">
        <v>114</v>
      </c>
    </row>
    <row r="333" spans="9:13" x14ac:dyDescent="0.25">
      <c r="I333" s="703" t="s">
        <v>58</v>
      </c>
      <c r="J333" s="703" t="s">
        <v>1422</v>
      </c>
      <c r="K333" s="712">
        <v>18500</v>
      </c>
      <c r="L333" s="702">
        <v>1500</v>
      </c>
      <c r="M333" s="703" t="s">
        <v>114</v>
      </c>
    </row>
    <row r="334" spans="9:13" x14ac:dyDescent="0.25">
      <c r="I334" s="703" t="s">
        <v>58</v>
      </c>
      <c r="J334" s="703" t="s">
        <v>1422</v>
      </c>
      <c r="K334" s="712">
        <v>25475</v>
      </c>
      <c r="L334" s="702">
        <v>3000</v>
      </c>
      <c r="M334" s="703" t="s">
        <v>114</v>
      </c>
    </row>
    <row r="335" spans="9:13" x14ac:dyDescent="0.25">
      <c r="I335" s="703" t="s">
        <v>58</v>
      </c>
      <c r="J335" s="703" t="s">
        <v>1422</v>
      </c>
      <c r="K335" s="712">
        <v>9100</v>
      </c>
      <c r="L335" s="702">
        <v>4000</v>
      </c>
      <c r="M335" s="703" t="s">
        <v>114</v>
      </c>
    </row>
    <row r="336" spans="9:13" x14ac:dyDescent="0.25">
      <c r="I336" s="703" t="s">
        <v>58</v>
      </c>
      <c r="J336" s="703" t="s">
        <v>1422</v>
      </c>
      <c r="K336" s="712">
        <v>12767</v>
      </c>
      <c r="L336" s="702">
        <v>2500</v>
      </c>
      <c r="M336" s="703" t="s">
        <v>114</v>
      </c>
    </row>
    <row r="337" spans="9:13" x14ac:dyDescent="0.25">
      <c r="I337" s="703" t="s">
        <v>58</v>
      </c>
      <c r="J337" s="703" t="s">
        <v>1422</v>
      </c>
      <c r="K337" s="712">
        <v>32504</v>
      </c>
      <c r="L337" s="702">
        <v>2500</v>
      </c>
      <c r="M337" s="703" t="s">
        <v>114</v>
      </c>
    </row>
    <row r="338" spans="9:13" x14ac:dyDescent="0.25">
      <c r="I338" s="703" t="s">
        <v>58</v>
      </c>
      <c r="J338" s="703" t="s">
        <v>1422</v>
      </c>
      <c r="K338" s="712">
        <v>6991</v>
      </c>
      <c r="L338" s="702">
        <v>1500</v>
      </c>
      <c r="M338" s="703" t="s">
        <v>114</v>
      </c>
    </row>
    <row r="339" spans="9:13" x14ac:dyDescent="0.25">
      <c r="I339" s="703" t="s">
        <v>58</v>
      </c>
      <c r="J339" s="703" t="s">
        <v>1422</v>
      </c>
      <c r="K339" s="712">
        <v>23806</v>
      </c>
      <c r="L339" s="702">
        <v>3000</v>
      </c>
      <c r="M339" s="703" t="s">
        <v>114</v>
      </c>
    </row>
    <row r="340" spans="9:13" x14ac:dyDescent="0.25">
      <c r="I340" s="703" t="s">
        <v>58</v>
      </c>
      <c r="J340" s="703" t="s">
        <v>1422</v>
      </c>
      <c r="K340" s="712">
        <v>22928.01</v>
      </c>
      <c r="L340" s="702">
        <v>1500</v>
      </c>
      <c r="M340" s="703" t="s">
        <v>114</v>
      </c>
    </row>
    <row r="341" spans="9:13" x14ac:dyDescent="0.25">
      <c r="I341" s="703" t="s">
        <v>58</v>
      </c>
      <c r="J341" s="703" t="s">
        <v>1422</v>
      </c>
      <c r="K341" s="712">
        <v>17558</v>
      </c>
      <c r="L341" s="702">
        <v>4000</v>
      </c>
      <c r="M341" s="703" t="s">
        <v>114</v>
      </c>
    </row>
    <row r="342" spans="9:13" x14ac:dyDescent="0.25">
      <c r="I342" s="703" t="s">
        <v>58</v>
      </c>
      <c r="J342" s="703" t="s">
        <v>1422</v>
      </c>
      <c r="K342" s="712">
        <v>9430</v>
      </c>
      <c r="L342" s="702">
        <v>2000</v>
      </c>
      <c r="M342" s="703" t="s">
        <v>114</v>
      </c>
    </row>
    <row r="343" spans="9:13" x14ac:dyDescent="0.25">
      <c r="I343" s="703" t="s">
        <v>58</v>
      </c>
      <c r="J343" s="703" t="s">
        <v>1422</v>
      </c>
      <c r="K343" s="712">
        <v>19072</v>
      </c>
      <c r="L343" s="702">
        <v>4000</v>
      </c>
      <c r="M343" s="703" t="s">
        <v>114</v>
      </c>
    </row>
    <row r="344" spans="9:13" x14ac:dyDescent="0.25">
      <c r="I344" s="703" t="s">
        <v>58</v>
      </c>
      <c r="J344" s="703" t="s">
        <v>1422</v>
      </c>
      <c r="K344" s="712">
        <v>23699.01</v>
      </c>
      <c r="L344" s="702">
        <v>3500</v>
      </c>
      <c r="M344" s="703" t="s">
        <v>114</v>
      </c>
    </row>
    <row r="345" spans="9:13" x14ac:dyDescent="0.25">
      <c r="I345" s="703" t="s">
        <v>58</v>
      </c>
      <c r="J345" s="703" t="s">
        <v>1422</v>
      </c>
      <c r="K345" s="712">
        <v>23849</v>
      </c>
      <c r="L345" s="702">
        <v>3500</v>
      </c>
      <c r="M345" s="703" t="s">
        <v>114</v>
      </c>
    </row>
    <row r="346" spans="9:13" x14ac:dyDescent="0.25">
      <c r="I346" s="703" t="s">
        <v>58</v>
      </c>
      <c r="J346" s="703" t="s">
        <v>1422</v>
      </c>
      <c r="K346" s="712">
        <v>7575</v>
      </c>
      <c r="L346" s="702">
        <v>2500</v>
      </c>
      <c r="M346" s="703" t="s">
        <v>114</v>
      </c>
    </row>
    <row r="347" spans="9:13" x14ac:dyDescent="0.25">
      <c r="I347" s="703" t="s">
        <v>58</v>
      </c>
      <c r="J347" s="703" t="s">
        <v>1422</v>
      </c>
      <c r="K347" s="712">
        <v>2000</v>
      </c>
      <c r="L347" s="702">
        <v>1500</v>
      </c>
      <c r="M347" s="703" t="s">
        <v>114</v>
      </c>
    </row>
    <row r="348" spans="9:13" x14ac:dyDescent="0.25">
      <c r="I348" s="703" t="s">
        <v>58</v>
      </c>
      <c r="J348" s="703" t="s">
        <v>1422</v>
      </c>
      <c r="K348" s="712">
        <v>18081</v>
      </c>
      <c r="L348" s="702">
        <v>2000</v>
      </c>
      <c r="M348" s="703" t="s">
        <v>114</v>
      </c>
    </row>
    <row r="349" spans="9:13" x14ac:dyDescent="0.25">
      <c r="I349" s="703" t="s">
        <v>58</v>
      </c>
      <c r="J349" s="703" t="s">
        <v>1422</v>
      </c>
      <c r="K349" s="712">
        <v>5700</v>
      </c>
      <c r="L349" s="702">
        <v>2000</v>
      </c>
      <c r="M349" s="703" t="s">
        <v>114</v>
      </c>
    </row>
    <row r="350" spans="9:13" x14ac:dyDescent="0.25">
      <c r="I350" s="703" t="s">
        <v>58</v>
      </c>
      <c r="J350" s="703" t="s">
        <v>1422</v>
      </c>
      <c r="K350" s="712">
        <v>6395</v>
      </c>
      <c r="L350" s="702">
        <v>2500</v>
      </c>
      <c r="M350" s="703" t="s">
        <v>114</v>
      </c>
    </row>
    <row r="351" spans="9:13" x14ac:dyDescent="0.25">
      <c r="I351" s="703" t="s">
        <v>58</v>
      </c>
      <c r="J351" s="703" t="s">
        <v>1422</v>
      </c>
      <c r="K351" s="712">
        <v>8695</v>
      </c>
      <c r="L351" s="702">
        <v>1500</v>
      </c>
      <c r="M351" s="703" t="s">
        <v>114</v>
      </c>
    </row>
    <row r="352" spans="9:13" x14ac:dyDescent="0.25">
      <c r="I352" s="703" t="s">
        <v>58</v>
      </c>
      <c r="J352" s="703" t="s">
        <v>1422</v>
      </c>
      <c r="K352" s="712">
        <v>16946</v>
      </c>
      <c r="L352" s="702">
        <v>4000</v>
      </c>
      <c r="M352" s="703" t="s">
        <v>114</v>
      </c>
    </row>
    <row r="353" spans="9:13" x14ac:dyDescent="0.25">
      <c r="I353" s="703" t="s">
        <v>58</v>
      </c>
      <c r="J353" s="703" t="s">
        <v>1422</v>
      </c>
      <c r="K353" s="712">
        <v>10471</v>
      </c>
      <c r="L353" s="702">
        <v>1500</v>
      </c>
      <c r="M353" s="703" t="s">
        <v>114</v>
      </c>
    </row>
    <row r="354" spans="9:13" x14ac:dyDescent="0.25">
      <c r="I354" s="703" t="s">
        <v>58</v>
      </c>
      <c r="J354" s="703" t="s">
        <v>1422</v>
      </c>
      <c r="K354" s="712">
        <v>3500</v>
      </c>
      <c r="L354" s="702">
        <v>2000</v>
      </c>
      <c r="M354" s="703" t="s">
        <v>114</v>
      </c>
    </row>
    <row r="355" spans="9:13" x14ac:dyDescent="0.25">
      <c r="I355" s="703" t="s">
        <v>58</v>
      </c>
      <c r="J355" s="703" t="s">
        <v>1422</v>
      </c>
      <c r="K355" s="712">
        <v>13984</v>
      </c>
      <c r="L355" s="702">
        <v>1500</v>
      </c>
      <c r="M355" s="703" t="s">
        <v>114</v>
      </c>
    </row>
    <row r="356" spans="9:13" x14ac:dyDescent="0.25">
      <c r="I356" s="703" t="s">
        <v>58</v>
      </c>
      <c r="J356" s="703" t="s">
        <v>1422</v>
      </c>
      <c r="K356" s="712">
        <v>11143</v>
      </c>
      <c r="L356" s="702">
        <v>2500</v>
      </c>
      <c r="M356" s="703" t="s">
        <v>114</v>
      </c>
    </row>
    <row r="357" spans="9:13" x14ac:dyDescent="0.25">
      <c r="I357" s="703" t="s">
        <v>58</v>
      </c>
      <c r="J357" s="703" t="s">
        <v>1422</v>
      </c>
      <c r="K357" s="712">
        <v>11428</v>
      </c>
      <c r="L357" s="702">
        <v>2500</v>
      </c>
      <c r="M357" s="703" t="s">
        <v>114</v>
      </c>
    </row>
    <row r="358" spans="9:13" x14ac:dyDescent="0.25">
      <c r="I358" s="703" t="s">
        <v>58</v>
      </c>
      <c r="J358" s="703" t="s">
        <v>1422</v>
      </c>
      <c r="K358" s="712">
        <v>5640</v>
      </c>
      <c r="L358" s="702">
        <v>2500</v>
      </c>
      <c r="M358" s="703" t="s">
        <v>114</v>
      </c>
    </row>
    <row r="359" spans="9:13" x14ac:dyDescent="0.25">
      <c r="I359" s="703" t="s">
        <v>58</v>
      </c>
      <c r="J359" s="703" t="s">
        <v>1422</v>
      </c>
      <c r="K359" s="712">
        <v>13450</v>
      </c>
      <c r="L359" s="702">
        <v>2000</v>
      </c>
      <c r="M359" s="703" t="s">
        <v>114</v>
      </c>
    </row>
    <row r="360" spans="9:13" x14ac:dyDescent="0.25">
      <c r="I360" s="703" t="s">
        <v>58</v>
      </c>
      <c r="J360" s="703" t="s">
        <v>1422</v>
      </c>
      <c r="K360" s="712">
        <v>18063</v>
      </c>
      <c r="L360" s="702">
        <v>2000</v>
      </c>
      <c r="M360" s="703" t="s">
        <v>114</v>
      </c>
    </row>
    <row r="361" spans="9:13" x14ac:dyDescent="0.25">
      <c r="I361" s="703" t="s">
        <v>58</v>
      </c>
      <c r="J361" s="703" t="s">
        <v>1422</v>
      </c>
      <c r="K361" s="712">
        <v>19475</v>
      </c>
      <c r="L361" s="702">
        <v>2000</v>
      </c>
      <c r="M361" s="703" t="s">
        <v>114</v>
      </c>
    </row>
    <row r="362" spans="9:13" x14ac:dyDescent="0.25">
      <c r="I362" s="703" t="s">
        <v>58</v>
      </c>
      <c r="J362" s="703" t="s">
        <v>1422</v>
      </c>
      <c r="K362" s="712">
        <v>8175</v>
      </c>
      <c r="L362" s="702">
        <v>1500</v>
      </c>
      <c r="M362" s="703" t="s">
        <v>114</v>
      </c>
    </row>
    <row r="363" spans="9:13" x14ac:dyDescent="0.25">
      <c r="I363" s="703" t="s">
        <v>58</v>
      </c>
      <c r="J363" s="703" t="s">
        <v>1422</v>
      </c>
      <c r="K363" s="712">
        <v>22128</v>
      </c>
      <c r="L363" s="702">
        <v>4000</v>
      </c>
      <c r="M363" s="703" t="s">
        <v>114</v>
      </c>
    </row>
    <row r="364" spans="9:13" x14ac:dyDescent="0.25">
      <c r="I364" s="703" t="s">
        <v>58</v>
      </c>
      <c r="J364" s="703" t="s">
        <v>1422</v>
      </c>
      <c r="K364" s="712">
        <v>8463</v>
      </c>
      <c r="L364" s="702">
        <v>4000</v>
      </c>
      <c r="M364" s="703" t="s">
        <v>114</v>
      </c>
    </row>
    <row r="365" spans="9:13" x14ac:dyDescent="0.25">
      <c r="I365" s="703" t="s">
        <v>58</v>
      </c>
      <c r="J365" s="703" t="s">
        <v>1422</v>
      </c>
      <c r="K365" s="712">
        <v>21050</v>
      </c>
      <c r="L365" s="702">
        <v>4000</v>
      </c>
      <c r="M365" s="703" t="s">
        <v>114</v>
      </c>
    </row>
    <row r="366" spans="9:13" x14ac:dyDescent="0.25">
      <c r="I366" s="703" t="s">
        <v>58</v>
      </c>
      <c r="J366" s="703" t="s">
        <v>1422</v>
      </c>
      <c r="K366" s="712">
        <v>18240</v>
      </c>
      <c r="L366" s="702">
        <v>4000</v>
      </c>
      <c r="M366" s="703" t="s">
        <v>114</v>
      </c>
    </row>
    <row r="367" spans="9:13" x14ac:dyDescent="0.25">
      <c r="I367" s="703" t="s">
        <v>58</v>
      </c>
      <c r="J367" s="703" t="s">
        <v>1422</v>
      </c>
      <c r="K367" s="712">
        <v>19497</v>
      </c>
      <c r="L367" s="702">
        <v>3000</v>
      </c>
      <c r="M367" s="703" t="s">
        <v>114</v>
      </c>
    </row>
    <row r="368" spans="9:13" x14ac:dyDescent="0.25">
      <c r="I368" s="703" t="s">
        <v>58</v>
      </c>
      <c r="J368" s="703" t="s">
        <v>1422</v>
      </c>
      <c r="K368" s="712">
        <v>5020</v>
      </c>
      <c r="L368" s="702">
        <v>1500</v>
      </c>
      <c r="M368" s="703" t="s">
        <v>114</v>
      </c>
    </row>
    <row r="369" spans="9:13" x14ac:dyDescent="0.25">
      <c r="I369" s="703" t="s">
        <v>58</v>
      </c>
      <c r="J369" s="703" t="s">
        <v>1422</v>
      </c>
      <c r="K369" s="712">
        <v>25108</v>
      </c>
      <c r="L369" s="702">
        <v>2500</v>
      </c>
      <c r="M369" s="703" t="s">
        <v>114</v>
      </c>
    </row>
    <row r="370" spans="9:13" x14ac:dyDescent="0.25">
      <c r="I370" s="703" t="s">
        <v>58</v>
      </c>
      <c r="J370" s="703" t="s">
        <v>1422</v>
      </c>
      <c r="K370" s="712">
        <v>10020</v>
      </c>
      <c r="L370" s="702">
        <v>3000</v>
      </c>
      <c r="M370" s="703" t="s">
        <v>114</v>
      </c>
    </row>
    <row r="371" spans="9:13" x14ac:dyDescent="0.25">
      <c r="I371" s="703" t="s">
        <v>58</v>
      </c>
      <c r="J371" s="703" t="s">
        <v>1422</v>
      </c>
      <c r="K371" s="712">
        <v>10934</v>
      </c>
      <c r="L371" s="702">
        <v>4000</v>
      </c>
      <c r="M371" s="703" t="s">
        <v>114</v>
      </c>
    </row>
    <row r="372" spans="9:13" x14ac:dyDescent="0.25">
      <c r="I372" s="703" t="s">
        <v>58</v>
      </c>
      <c r="J372" s="703" t="s">
        <v>1422</v>
      </c>
      <c r="K372" s="712">
        <v>10150</v>
      </c>
      <c r="L372" s="702">
        <v>3000</v>
      </c>
      <c r="M372" s="703" t="s">
        <v>114</v>
      </c>
    </row>
    <row r="373" spans="9:13" x14ac:dyDescent="0.25">
      <c r="I373" s="703" t="s">
        <v>58</v>
      </c>
      <c r="J373" s="703" t="s">
        <v>1422</v>
      </c>
      <c r="K373" s="712">
        <v>17847</v>
      </c>
      <c r="L373" s="702">
        <v>3000</v>
      </c>
      <c r="M373" s="703" t="s">
        <v>114</v>
      </c>
    </row>
    <row r="374" spans="9:13" x14ac:dyDescent="0.25">
      <c r="I374" s="703" t="s">
        <v>58</v>
      </c>
      <c r="J374" s="703" t="s">
        <v>1422</v>
      </c>
      <c r="K374" s="712">
        <v>7565</v>
      </c>
      <c r="L374" s="702">
        <v>2500</v>
      </c>
      <c r="M374" s="703" t="s">
        <v>114</v>
      </c>
    </row>
    <row r="375" spans="9:13" x14ac:dyDescent="0.25">
      <c r="I375" s="703" t="s">
        <v>58</v>
      </c>
      <c r="J375" s="703" t="s">
        <v>1422</v>
      </c>
      <c r="K375" s="712">
        <v>23026</v>
      </c>
      <c r="L375" s="702">
        <v>2500</v>
      </c>
      <c r="M375" s="703" t="s">
        <v>114</v>
      </c>
    </row>
    <row r="376" spans="9:13" x14ac:dyDescent="0.25">
      <c r="I376" s="703" t="s">
        <v>58</v>
      </c>
      <c r="J376" s="703" t="s">
        <v>1422</v>
      </c>
      <c r="K376" s="712">
        <v>13651</v>
      </c>
      <c r="L376" s="702">
        <v>4000</v>
      </c>
      <c r="M376" s="703" t="s">
        <v>114</v>
      </c>
    </row>
    <row r="377" spans="9:13" x14ac:dyDescent="0.25">
      <c r="I377" s="703" t="s">
        <v>58</v>
      </c>
      <c r="J377" s="703" t="s">
        <v>1422</v>
      </c>
      <c r="K377" s="712">
        <v>22107</v>
      </c>
      <c r="L377" s="702">
        <v>4000</v>
      </c>
      <c r="M377" s="703" t="s">
        <v>114</v>
      </c>
    </row>
    <row r="378" spans="9:13" x14ac:dyDescent="0.25">
      <c r="I378" s="703" t="s">
        <v>58</v>
      </c>
      <c r="J378" s="703" t="s">
        <v>1422</v>
      </c>
      <c r="K378" s="712">
        <v>17036</v>
      </c>
      <c r="L378" s="702">
        <v>3000</v>
      </c>
      <c r="M378" s="703" t="s">
        <v>114</v>
      </c>
    </row>
    <row r="379" spans="9:13" x14ac:dyDescent="0.25">
      <c r="I379" s="703" t="s">
        <v>58</v>
      </c>
      <c r="J379" s="703" t="s">
        <v>1422</v>
      </c>
      <c r="K379" s="712">
        <v>9136</v>
      </c>
      <c r="L379" s="702">
        <v>1500</v>
      </c>
      <c r="M379" s="703" t="s">
        <v>114</v>
      </c>
    </row>
    <row r="380" spans="9:13" x14ac:dyDescent="0.25">
      <c r="I380" s="703" t="s">
        <v>58</v>
      </c>
      <c r="J380" s="703" t="s">
        <v>1422</v>
      </c>
      <c r="K380" s="712">
        <v>21432</v>
      </c>
      <c r="L380" s="702">
        <v>2000</v>
      </c>
      <c r="M380" s="703" t="s">
        <v>114</v>
      </c>
    </row>
    <row r="381" spans="9:13" x14ac:dyDescent="0.25">
      <c r="I381" s="703" t="s">
        <v>58</v>
      </c>
      <c r="J381" s="703" t="s">
        <v>1422</v>
      </c>
      <c r="K381" s="712">
        <v>8939</v>
      </c>
      <c r="L381" s="702">
        <v>3500</v>
      </c>
      <c r="M381" s="703" t="s">
        <v>114</v>
      </c>
    </row>
    <row r="382" spans="9:13" x14ac:dyDescent="0.25">
      <c r="I382" s="703" t="s">
        <v>58</v>
      </c>
      <c r="J382" s="703" t="s">
        <v>1422</v>
      </c>
      <c r="K382" s="712">
        <v>36241</v>
      </c>
      <c r="L382" s="702">
        <v>3500</v>
      </c>
      <c r="M382" s="703" t="s">
        <v>114</v>
      </c>
    </row>
    <row r="383" spans="9:13" x14ac:dyDescent="0.25">
      <c r="I383" s="703" t="s">
        <v>58</v>
      </c>
      <c r="J383" s="703" t="s">
        <v>1422</v>
      </c>
      <c r="K383" s="712">
        <v>10447</v>
      </c>
      <c r="L383" s="702">
        <v>2500</v>
      </c>
      <c r="M383" s="703" t="s">
        <v>114</v>
      </c>
    </row>
    <row r="384" spans="9:13" x14ac:dyDescent="0.25">
      <c r="I384" s="703" t="s">
        <v>58</v>
      </c>
      <c r="J384" s="703" t="s">
        <v>1422</v>
      </c>
      <c r="K384" s="712">
        <v>41740</v>
      </c>
      <c r="L384" s="702">
        <v>1500</v>
      </c>
      <c r="M384" s="703" t="s">
        <v>114</v>
      </c>
    </row>
    <row r="385" spans="9:13" x14ac:dyDescent="0.25">
      <c r="I385" s="703" t="s">
        <v>58</v>
      </c>
      <c r="J385" s="703" t="s">
        <v>1422</v>
      </c>
      <c r="K385" s="712">
        <v>16598</v>
      </c>
      <c r="L385" s="702">
        <v>3000</v>
      </c>
      <c r="M385" s="703" t="s">
        <v>114</v>
      </c>
    </row>
    <row r="386" spans="9:13" x14ac:dyDescent="0.25">
      <c r="I386" s="703" t="s">
        <v>58</v>
      </c>
      <c r="J386" s="703" t="s">
        <v>1422</v>
      </c>
      <c r="K386" s="712">
        <v>18672</v>
      </c>
      <c r="L386" s="702">
        <v>3000</v>
      </c>
      <c r="M386" s="703" t="s">
        <v>114</v>
      </c>
    </row>
    <row r="387" spans="9:13" x14ac:dyDescent="0.25">
      <c r="I387" s="703" t="s">
        <v>58</v>
      </c>
      <c r="J387" s="703" t="s">
        <v>1422</v>
      </c>
      <c r="K387" s="712">
        <v>23833</v>
      </c>
      <c r="L387" s="702">
        <v>2000</v>
      </c>
      <c r="M387" s="703" t="s">
        <v>114</v>
      </c>
    </row>
    <row r="388" spans="9:13" x14ac:dyDescent="0.25">
      <c r="I388" s="703" t="s">
        <v>58</v>
      </c>
      <c r="J388" s="703" t="s">
        <v>1422</v>
      </c>
      <c r="K388" s="712">
        <v>11013</v>
      </c>
      <c r="L388" s="702">
        <v>3000</v>
      </c>
      <c r="M388" s="703" t="s">
        <v>114</v>
      </c>
    </row>
    <row r="389" spans="9:13" x14ac:dyDescent="0.25">
      <c r="I389" s="703" t="s">
        <v>58</v>
      </c>
      <c r="J389" s="703" t="s">
        <v>1422</v>
      </c>
      <c r="K389" s="712">
        <v>19558</v>
      </c>
      <c r="L389" s="702">
        <v>3000</v>
      </c>
      <c r="M389" s="703" t="s">
        <v>114</v>
      </c>
    </row>
    <row r="390" spans="9:13" x14ac:dyDescent="0.25">
      <c r="I390" s="703" t="s">
        <v>58</v>
      </c>
      <c r="J390" s="703" t="s">
        <v>1422</v>
      </c>
      <c r="K390" s="712">
        <v>12246</v>
      </c>
      <c r="L390" s="702">
        <v>1500</v>
      </c>
      <c r="M390" s="703" t="s">
        <v>114</v>
      </c>
    </row>
    <row r="391" spans="9:13" x14ac:dyDescent="0.25">
      <c r="I391" s="703" t="s">
        <v>58</v>
      </c>
      <c r="J391" s="703" t="s">
        <v>1422</v>
      </c>
      <c r="K391" s="712">
        <v>30918</v>
      </c>
      <c r="L391" s="702">
        <v>3000</v>
      </c>
      <c r="M391" s="703" t="s">
        <v>114</v>
      </c>
    </row>
    <row r="392" spans="9:13" x14ac:dyDescent="0.25">
      <c r="I392" s="703" t="s">
        <v>58</v>
      </c>
      <c r="J392" s="703" t="s">
        <v>1422</v>
      </c>
      <c r="K392" s="712">
        <v>36073</v>
      </c>
      <c r="L392" s="702">
        <v>3500</v>
      </c>
      <c r="M392" s="703" t="s">
        <v>114</v>
      </c>
    </row>
    <row r="393" spans="9:13" x14ac:dyDescent="0.25">
      <c r="I393" s="703" t="s">
        <v>58</v>
      </c>
      <c r="J393" s="703" t="s">
        <v>1422</v>
      </c>
      <c r="K393" s="712">
        <v>36325</v>
      </c>
      <c r="L393" s="702">
        <v>2000</v>
      </c>
      <c r="M393" s="703" t="s">
        <v>114</v>
      </c>
    </row>
    <row r="394" spans="9:13" x14ac:dyDescent="0.25">
      <c r="I394" s="703" t="s">
        <v>58</v>
      </c>
      <c r="J394" s="703" t="s">
        <v>1422</v>
      </c>
      <c r="K394" s="712">
        <v>6582</v>
      </c>
      <c r="L394" s="702">
        <v>2500</v>
      </c>
      <c r="M394" s="703" t="s">
        <v>114</v>
      </c>
    </row>
    <row r="395" spans="9:13" x14ac:dyDescent="0.25">
      <c r="I395" s="703" t="s">
        <v>58</v>
      </c>
      <c r="J395" s="703" t="s">
        <v>1422</v>
      </c>
      <c r="K395" s="712">
        <v>5707</v>
      </c>
      <c r="L395" s="702">
        <v>2000</v>
      </c>
      <c r="M395" s="703" t="s">
        <v>114</v>
      </c>
    </row>
    <row r="396" spans="9:13" x14ac:dyDescent="0.25">
      <c r="I396" s="703" t="s">
        <v>58</v>
      </c>
      <c r="J396" s="703" t="s">
        <v>1422</v>
      </c>
      <c r="K396" s="712">
        <v>5760</v>
      </c>
      <c r="L396" s="702">
        <v>3500</v>
      </c>
      <c r="M396" s="703" t="s">
        <v>114</v>
      </c>
    </row>
    <row r="397" spans="9:13" x14ac:dyDescent="0.25">
      <c r="I397" s="703" t="s">
        <v>58</v>
      </c>
      <c r="J397" s="703" t="s">
        <v>1422</v>
      </c>
      <c r="K397" s="712">
        <v>12115</v>
      </c>
      <c r="L397" s="702">
        <v>1500</v>
      </c>
      <c r="M397" s="703" t="s">
        <v>114</v>
      </c>
    </row>
    <row r="398" spans="9:13" x14ac:dyDescent="0.25">
      <c r="I398" s="703" t="s">
        <v>58</v>
      </c>
      <c r="J398" s="703" t="s">
        <v>1422</v>
      </c>
      <c r="K398" s="712">
        <v>6775</v>
      </c>
      <c r="L398" s="702">
        <v>1500</v>
      </c>
      <c r="M398" s="703" t="s">
        <v>114</v>
      </c>
    </row>
  </sheetData>
  <customSheetViews>
    <customSheetView guid="{679A3195-3DEA-4AC2-A535-82AAF5B552BC}" state="hidden">
      <selection activeCell="A7" sqref="A7"/>
      <pageMargins left="0.7" right="0.7" top="0.75" bottom="0.75" header="0.3" footer="0.3"/>
      <pageSetup orientation="landscape" horizontalDpi="4294967293" verticalDpi="4294967293" r:id="rId1"/>
    </customSheetView>
    <customSheetView guid="{7378B641-E8D1-4C14-8151-CF4CE159D121}" showAutoFilter="1">
      <selection activeCell="A4" sqref="A4"/>
      <pageMargins left="0.7" right="0.7" top="0.75" bottom="0.75" header="0.3" footer="0.3"/>
      <pageSetup orientation="landscape" horizontalDpi="4294967293" verticalDpi="4294967293" r:id="rId2"/>
      <autoFilter ref="K9:K398"/>
    </customSheetView>
    <customSheetView guid="{6D63B10B-E1E6-452A-80EB-4B2C7D61CF66}" state="hidden">
      <selection activeCell="A7" sqref="A7"/>
      <pageMargins left="0.7" right="0.7" top="0.75" bottom="0.75" header="0.3" footer="0.3"/>
      <pageSetup orientation="landscape" horizontalDpi="4294967293" verticalDpi="4294967293" r:id="rId3"/>
    </customSheetView>
  </customSheetViews>
  <mergeCells count="2">
    <mergeCell ref="B7:G7"/>
    <mergeCell ref="B8:G8"/>
  </mergeCells>
  <pageMargins left="0.7" right="0.7" top="0.75" bottom="0.75" header="0.3" footer="0.3"/>
  <pageSetup orientation="landscape" horizontalDpi="4294967293" verticalDpi="4294967293"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86"/>
  <sheetViews>
    <sheetView topLeftCell="C1"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6" customWidth="1"/>
    <col min="5" max="5" width="18.140625" customWidth="1"/>
    <col min="6" max="6" width="10.42578125" customWidth="1"/>
    <col min="7" max="7" width="16.28515625" customWidth="1"/>
    <col min="8" max="8" width="15.28515625" customWidth="1"/>
    <col min="9" max="9" width="11.85546875" customWidth="1"/>
    <col min="10" max="10" width="13.140625" customWidth="1"/>
    <col min="11" max="11" width="13.85546875" customWidth="1"/>
    <col min="12" max="14" width="24.85546875" customWidth="1"/>
  </cols>
  <sheetData>
    <row r="1" spans="1:14" ht="21" customHeight="1" x14ac:dyDescent="0.25">
      <c r="A1" s="3" t="s">
        <v>26</v>
      </c>
      <c r="B1" s="4" t="s">
        <v>3328</v>
      </c>
      <c r="C1" s="535" t="s">
        <v>3058</v>
      </c>
      <c r="D1" s="558" t="str">
        <f>B1</f>
        <v>Difference in Reported Savings Between Tracking Data and Project Files</v>
      </c>
    </row>
    <row r="2" spans="1:14" x14ac:dyDescent="0.25">
      <c r="A2" t="s">
        <v>20</v>
      </c>
      <c r="B2" s="2" t="s">
        <v>60</v>
      </c>
      <c r="C2" s="536" t="s">
        <v>3059</v>
      </c>
    </row>
    <row r="3" spans="1:14" x14ac:dyDescent="0.25">
      <c r="A3" t="s">
        <v>1184</v>
      </c>
      <c r="B3" s="2" t="s">
        <v>1198</v>
      </c>
      <c r="C3" s="536" t="s">
        <v>1193</v>
      </c>
    </row>
    <row r="4" spans="1:14" x14ac:dyDescent="0.25">
      <c r="A4" t="s">
        <v>3136</v>
      </c>
      <c r="B4" s="2" t="s">
        <v>2194</v>
      </c>
      <c r="D4" s="602"/>
      <c r="E4" s="618"/>
      <c r="F4" s="734" t="s">
        <v>3195</v>
      </c>
      <c r="G4" s="735"/>
      <c r="H4" s="736"/>
      <c r="I4" s="735" t="s">
        <v>3172</v>
      </c>
      <c r="J4" s="735"/>
      <c r="K4" s="736"/>
      <c r="L4" s="615"/>
      <c r="M4" s="614"/>
      <c r="N4" s="614"/>
    </row>
    <row r="5" spans="1:14" ht="33" customHeight="1" x14ac:dyDescent="0.25">
      <c r="B5" s="2"/>
      <c r="C5" s="2"/>
      <c r="D5" s="619"/>
      <c r="E5" s="620" t="s">
        <v>1904</v>
      </c>
      <c r="F5" s="658" t="s">
        <v>2250</v>
      </c>
      <c r="G5" s="621" t="s">
        <v>2252</v>
      </c>
      <c r="H5" s="622" t="s">
        <v>3196</v>
      </c>
      <c r="I5" s="621" t="s">
        <v>2250</v>
      </c>
      <c r="J5" s="621" t="s">
        <v>2252</v>
      </c>
      <c r="K5" s="623" t="s">
        <v>3196</v>
      </c>
      <c r="L5" s="613"/>
      <c r="M5" s="613"/>
      <c r="N5" s="613"/>
    </row>
    <row r="6" spans="1:14" ht="57" x14ac:dyDescent="0.25">
      <c r="D6" s="624" t="s">
        <v>3197</v>
      </c>
      <c r="E6" s="625" t="s">
        <v>1422</v>
      </c>
      <c r="F6" s="659">
        <v>4</v>
      </c>
      <c r="G6" s="626">
        <v>3</v>
      </c>
      <c r="H6" s="627">
        <v>52</v>
      </c>
      <c r="I6" s="626">
        <v>1</v>
      </c>
      <c r="J6" s="626">
        <v>1</v>
      </c>
      <c r="K6" s="628">
        <v>1</v>
      </c>
      <c r="L6" s="613"/>
      <c r="M6" s="613"/>
      <c r="N6" s="613"/>
    </row>
    <row r="7" spans="1:14" ht="128.25" x14ac:dyDescent="0.25">
      <c r="D7" s="629" t="s">
        <v>3198</v>
      </c>
      <c r="E7" s="630" t="s">
        <v>1422</v>
      </c>
      <c r="F7" s="660">
        <v>1</v>
      </c>
      <c r="G7" s="631">
        <v>1</v>
      </c>
      <c r="H7" s="632" t="s">
        <v>2189</v>
      </c>
      <c r="I7" s="631">
        <v>2</v>
      </c>
      <c r="J7" s="631">
        <v>2</v>
      </c>
      <c r="K7" s="632">
        <v>2</v>
      </c>
      <c r="L7" s="613"/>
      <c r="M7" s="613"/>
      <c r="N7" s="613"/>
    </row>
    <row r="8" spans="1:14" x14ac:dyDescent="0.25">
      <c r="D8" s="610"/>
      <c r="E8" s="611"/>
      <c r="F8" s="612"/>
      <c r="G8" s="611"/>
      <c r="H8" s="611"/>
      <c r="I8" s="611"/>
      <c r="J8" s="611"/>
      <c r="K8" s="611"/>
      <c r="L8" s="613"/>
      <c r="M8" s="613"/>
      <c r="N8" s="613"/>
    </row>
    <row r="9" spans="1:14" x14ac:dyDescent="0.25">
      <c r="D9" s="610"/>
      <c r="E9" s="611"/>
      <c r="F9" s="612"/>
      <c r="G9" s="611"/>
      <c r="H9" s="611"/>
      <c r="I9" s="611"/>
      <c r="J9" s="611"/>
      <c r="K9" s="611"/>
      <c r="L9" s="613"/>
      <c r="M9" s="613"/>
      <c r="N9" s="613"/>
    </row>
    <row r="10" spans="1:14" x14ac:dyDescent="0.25">
      <c r="D10" s="610"/>
      <c r="E10" s="611"/>
      <c r="F10" s="612"/>
      <c r="G10" s="611"/>
      <c r="H10" s="611"/>
      <c r="I10" s="611"/>
      <c r="J10" s="611"/>
      <c r="K10" s="611"/>
      <c r="L10" s="613"/>
      <c r="M10" s="613"/>
      <c r="N10" s="613"/>
    </row>
    <row r="11" spans="1:14" x14ac:dyDescent="0.25">
      <c r="D11" s="610"/>
      <c r="E11" s="611"/>
      <c r="F11" s="612"/>
      <c r="G11" s="611"/>
      <c r="H11" s="611"/>
      <c r="I11" s="611"/>
      <c r="J11" s="611"/>
      <c r="K11" s="611"/>
      <c r="L11" s="613"/>
      <c r="M11" s="613"/>
      <c r="N11" s="613"/>
    </row>
    <row r="12" spans="1:14" x14ac:dyDescent="0.25">
      <c r="D12" s="610"/>
      <c r="E12" s="611"/>
      <c r="F12" s="612"/>
      <c r="G12" s="611"/>
      <c r="H12" s="611"/>
      <c r="I12" s="616"/>
      <c r="J12" s="616"/>
      <c r="K12" s="616"/>
      <c r="L12" s="613"/>
      <c r="M12" s="613"/>
      <c r="N12" s="613"/>
    </row>
    <row r="13" spans="1:14" x14ac:dyDescent="0.25">
      <c r="D13" s="610"/>
      <c r="E13" s="611"/>
      <c r="F13" s="612"/>
      <c r="G13" s="611"/>
      <c r="H13" s="611"/>
      <c r="I13" s="611"/>
      <c r="J13" s="611"/>
      <c r="K13" s="611"/>
      <c r="L13" s="613"/>
      <c r="M13" s="613"/>
      <c r="N13" s="613"/>
    </row>
    <row r="14" spans="1:14" x14ac:dyDescent="0.25">
      <c r="D14" s="610"/>
      <c r="E14" s="611"/>
      <c r="F14" s="612"/>
      <c r="G14" s="611"/>
      <c r="H14" s="611"/>
      <c r="I14" s="611"/>
      <c r="J14" s="611"/>
      <c r="K14" s="611"/>
      <c r="L14" s="613"/>
      <c r="M14" s="613"/>
      <c r="N14" s="613"/>
    </row>
    <row r="15" spans="1:14" x14ac:dyDescent="0.25">
      <c r="D15" s="610"/>
      <c r="E15" s="611"/>
      <c r="F15" s="612"/>
      <c r="G15" s="611"/>
      <c r="H15" s="611"/>
      <c r="I15" s="611"/>
      <c r="J15" s="611"/>
      <c r="K15" s="611"/>
      <c r="L15" s="613"/>
      <c r="M15" s="613"/>
      <c r="N15" s="613"/>
    </row>
    <row r="16" spans="1:14" x14ac:dyDescent="0.25">
      <c r="D16" s="610"/>
      <c r="E16" s="611"/>
      <c r="F16" s="612"/>
      <c r="G16" s="611"/>
      <c r="H16" s="611"/>
      <c r="I16" s="611"/>
      <c r="J16" s="611"/>
      <c r="K16" s="611"/>
      <c r="L16" s="613"/>
      <c r="M16" s="613"/>
      <c r="N16" s="613"/>
    </row>
    <row r="17" spans="4:14" x14ac:dyDescent="0.25">
      <c r="D17" s="610"/>
      <c r="E17" s="611"/>
      <c r="F17" s="612"/>
      <c r="G17" s="611"/>
      <c r="H17" s="611"/>
      <c r="I17" s="611"/>
      <c r="J17" s="611"/>
      <c r="K17" s="611"/>
      <c r="L17" s="613"/>
      <c r="M17" s="613"/>
      <c r="N17" s="613"/>
    </row>
    <row r="18" spans="4:14" x14ac:dyDescent="0.25">
      <c r="D18" s="610"/>
      <c r="E18" s="611"/>
      <c r="F18" s="612"/>
      <c r="G18" s="611"/>
      <c r="H18" s="611"/>
      <c r="I18" s="611"/>
      <c r="J18" s="611"/>
      <c r="K18" s="611"/>
      <c r="L18" s="613"/>
      <c r="M18" s="613"/>
      <c r="N18" s="613"/>
    </row>
    <row r="19" spans="4:14" x14ac:dyDescent="0.25">
      <c r="D19" s="610"/>
      <c r="E19" s="611"/>
      <c r="F19" s="612"/>
      <c r="G19" s="611"/>
      <c r="H19" s="611"/>
      <c r="I19" s="611"/>
      <c r="J19" s="611"/>
      <c r="K19" s="611"/>
      <c r="L19" s="613"/>
      <c r="M19" s="613"/>
      <c r="N19" s="613"/>
    </row>
    <row r="20" spans="4:14" x14ac:dyDescent="0.25">
      <c r="D20" s="610"/>
      <c r="E20" s="611"/>
      <c r="F20" s="612"/>
      <c r="G20" s="611"/>
      <c r="H20" s="611"/>
      <c r="I20" s="611"/>
      <c r="J20" s="611"/>
      <c r="K20" s="611"/>
      <c r="L20" s="613"/>
      <c r="M20" s="613"/>
      <c r="N20" s="613"/>
    </row>
    <row r="21" spans="4:14" x14ac:dyDescent="0.25">
      <c r="D21" s="610"/>
      <c r="E21" s="611"/>
      <c r="F21" s="612"/>
      <c r="G21" s="611"/>
      <c r="H21" s="611"/>
      <c r="I21" s="611"/>
      <c r="J21" s="611"/>
      <c r="K21" s="616"/>
      <c r="L21" s="613"/>
      <c r="M21" s="613"/>
      <c r="N21" s="613"/>
    </row>
    <row r="22" spans="4:14" x14ac:dyDescent="0.25">
      <c r="D22" s="610"/>
      <c r="E22" s="611"/>
      <c r="F22" s="612"/>
      <c r="G22" s="611"/>
      <c r="H22" s="611"/>
      <c r="I22" s="611"/>
      <c r="J22" s="611"/>
      <c r="K22" s="616"/>
      <c r="L22" s="613"/>
      <c r="M22" s="613"/>
      <c r="N22" s="613"/>
    </row>
    <row r="23" spans="4:14" x14ac:dyDescent="0.25">
      <c r="D23" s="610"/>
      <c r="E23" s="611"/>
      <c r="F23" s="612"/>
      <c r="G23" s="611"/>
      <c r="H23" s="611"/>
      <c r="I23" s="611"/>
      <c r="J23" s="611"/>
      <c r="K23" s="616"/>
      <c r="L23" s="613"/>
      <c r="M23" s="613"/>
      <c r="N23" s="613"/>
    </row>
    <row r="24" spans="4:14" x14ac:dyDescent="0.25">
      <c r="D24" s="610"/>
      <c r="E24" s="611"/>
      <c r="F24" s="612"/>
      <c r="G24" s="611"/>
      <c r="H24" s="611"/>
      <c r="I24" s="611"/>
      <c r="J24" s="611"/>
      <c r="K24" s="616"/>
      <c r="L24" s="613"/>
      <c r="M24" s="613"/>
      <c r="N24" s="613"/>
    </row>
    <row r="25" spans="4:14" x14ac:dyDescent="0.25">
      <c r="D25" s="610"/>
      <c r="E25" s="611"/>
      <c r="F25" s="612"/>
      <c r="G25" s="611"/>
      <c r="H25" s="611"/>
      <c r="I25" s="611"/>
      <c r="J25" s="611"/>
      <c r="K25" s="616"/>
      <c r="L25" s="613"/>
      <c r="M25" s="613"/>
      <c r="N25" s="613"/>
    </row>
    <row r="26" spans="4:14" x14ac:dyDescent="0.25">
      <c r="D26" s="610"/>
      <c r="E26" s="611"/>
      <c r="F26" s="612"/>
      <c r="G26" s="611"/>
      <c r="H26" s="611"/>
      <c r="I26" s="611"/>
      <c r="J26" s="611"/>
      <c r="K26" s="616"/>
      <c r="L26" s="613"/>
      <c r="M26" s="613"/>
      <c r="N26" s="613"/>
    </row>
    <row r="27" spans="4:14" x14ac:dyDescent="0.25">
      <c r="D27" s="610"/>
      <c r="E27" s="611"/>
      <c r="F27" s="612"/>
      <c r="G27" s="611"/>
      <c r="H27" s="611"/>
      <c r="I27" s="611"/>
      <c r="J27" s="611"/>
      <c r="K27" s="616"/>
      <c r="L27" s="613"/>
      <c r="M27" s="613"/>
      <c r="N27" s="613"/>
    </row>
    <row r="28" spans="4:14" x14ac:dyDescent="0.25">
      <c r="D28" s="610"/>
      <c r="E28" s="611"/>
      <c r="F28" s="612"/>
      <c r="G28" s="611"/>
      <c r="H28" s="611"/>
      <c r="I28" s="611"/>
      <c r="J28" s="611"/>
      <c r="K28" s="616"/>
      <c r="L28" s="613"/>
      <c r="M28" s="613"/>
      <c r="N28" s="613"/>
    </row>
    <row r="29" spans="4:14" x14ac:dyDescent="0.25">
      <c r="D29" s="610"/>
      <c r="E29" s="611"/>
      <c r="F29" s="612"/>
      <c r="G29" s="611"/>
      <c r="H29" s="611"/>
      <c r="I29" s="611"/>
      <c r="J29" s="611"/>
      <c r="K29" s="616"/>
      <c r="L29" s="613"/>
      <c r="M29" s="613"/>
      <c r="N29" s="613"/>
    </row>
    <row r="30" spans="4:14" x14ac:dyDescent="0.25">
      <c r="D30" s="610"/>
      <c r="E30" s="611"/>
      <c r="F30" s="612"/>
      <c r="G30" s="611"/>
      <c r="H30" s="611"/>
      <c r="I30" s="611"/>
      <c r="J30" s="611"/>
      <c r="K30" s="616"/>
      <c r="L30" s="613"/>
      <c r="M30" s="613"/>
      <c r="N30" s="613"/>
    </row>
    <row r="31" spans="4:14" x14ac:dyDescent="0.25">
      <c r="D31" s="610"/>
      <c r="E31" s="611"/>
      <c r="F31" s="612"/>
      <c r="G31" s="611"/>
      <c r="H31" s="611"/>
      <c r="I31" s="611"/>
      <c r="J31" s="611"/>
      <c r="K31" s="616"/>
      <c r="L31" s="613"/>
      <c r="M31" s="613"/>
      <c r="N31" s="613"/>
    </row>
    <row r="32" spans="4:14" x14ac:dyDescent="0.25">
      <c r="D32" s="610"/>
      <c r="E32" s="611"/>
      <c r="F32" s="612"/>
      <c r="G32" s="611"/>
      <c r="H32" s="611"/>
      <c r="I32" s="611"/>
      <c r="J32" s="611"/>
      <c r="K32" s="616"/>
      <c r="L32" s="613"/>
      <c r="M32" s="613"/>
      <c r="N32" s="613"/>
    </row>
    <row r="33" spans="4:14" x14ac:dyDescent="0.25">
      <c r="D33" s="610"/>
      <c r="E33" s="611"/>
      <c r="F33" s="612"/>
      <c r="G33" s="611"/>
      <c r="H33" s="611"/>
      <c r="I33" s="611"/>
      <c r="J33" s="611"/>
      <c r="K33" s="616"/>
      <c r="L33" s="613"/>
      <c r="M33" s="613"/>
      <c r="N33" s="613"/>
    </row>
    <row r="34" spans="4:14" x14ac:dyDescent="0.25">
      <c r="D34" s="610"/>
      <c r="E34" s="611"/>
      <c r="F34" s="612"/>
      <c r="G34" s="611"/>
      <c r="H34" s="611"/>
      <c r="I34" s="611"/>
      <c r="J34" s="611"/>
      <c r="K34" s="616"/>
      <c r="L34" s="613"/>
      <c r="M34" s="613"/>
      <c r="N34" s="613"/>
    </row>
    <row r="35" spans="4:14" x14ac:dyDescent="0.25">
      <c r="D35" s="610"/>
      <c r="E35" s="611"/>
      <c r="F35" s="612"/>
      <c r="G35" s="611"/>
      <c r="H35" s="611"/>
      <c r="I35" s="611"/>
      <c r="J35" s="611"/>
      <c r="K35" s="616"/>
      <c r="L35" s="613"/>
      <c r="M35" s="613"/>
      <c r="N35" s="613"/>
    </row>
    <row r="36" spans="4:14" x14ac:dyDescent="0.25">
      <c r="D36" s="610"/>
      <c r="E36" s="611"/>
      <c r="F36" s="612"/>
      <c r="G36" s="611"/>
      <c r="H36" s="611"/>
      <c r="I36" s="611"/>
      <c r="J36" s="611"/>
      <c r="K36" s="616"/>
      <c r="L36" s="613"/>
      <c r="M36" s="613"/>
      <c r="N36" s="613"/>
    </row>
    <row r="37" spans="4:14" x14ac:dyDescent="0.25">
      <c r="D37" s="610"/>
      <c r="E37" s="611"/>
      <c r="F37" s="612"/>
      <c r="G37" s="611"/>
      <c r="H37" s="611"/>
      <c r="I37" s="611"/>
      <c r="J37" s="611"/>
      <c r="K37" s="616"/>
      <c r="L37" s="613"/>
      <c r="M37" s="613"/>
      <c r="N37" s="613"/>
    </row>
    <row r="38" spans="4:14" x14ac:dyDescent="0.25">
      <c r="D38" s="610"/>
      <c r="E38" s="611"/>
      <c r="F38" s="612"/>
      <c r="G38" s="611"/>
      <c r="H38" s="611"/>
      <c r="I38" s="611"/>
      <c r="J38" s="611"/>
      <c r="K38" s="616"/>
      <c r="L38" s="613"/>
      <c r="M38" s="613"/>
      <c r="N38" s="613"/>
    </row>
    <row r="39" spans="4:14" x14ac:dyDescent="0.25">
      <c r="D39" s="610"/>
      <c r="E39" s="611"/>
      <c r="F39" s="612"/>
      <c r="G39" s="611"/>
      <c r="H39" s="611"/>
      <c r="I39" s="611"/>
      <c r="J39" s="611"/>
      <c r="K39" s="616"/>
      <c r="L39" s="613"/>
      <c r="M39" s="613"/>
      <c r="N39" s="613"/>
    </row>
    <row r="40" spans="4:14" x14ac:dyDescent="0.25">
      <c r="D40" s="610"/>
      <c r="E40" s="611"/>
      <c r="F40" s="612"/>
      <c r="G40" s="611"/>
      <c r="H40" s="611"/>
      <c r="I40" s="611"/>
      <c r="J40" s="611"/>
      <c r="K40" s="616"/>
      <c r="L40" s="613"/>
      <c r="M40" s="613"/>
      <c r="N40" s="613"/>
    </row>
    <row r="41" spans="4:14" x14ac:dyDescent="0.25">
      <c r="D41" s="610"/>
      <c r="E41" s="611"/>
      <c r="F41" s="612"/>
      <c r="G41" s="611"/>
      <c r="H41" s="611"/>
      <c r="I41" s="611"/>
      <c r="J41" s="611"/>
      <c r="K41" s="616"/>
      <c r="L41" s="613"/>
      <c r="M41" s="613"/>
      <c r="N41" s="613"/>
    </row>
    <row r="42" spans="4:14" x14ac:dyDescent="0.25">
      <c r="D42" s="610"/>
      <c r="E42" s="611"/>
      <c r="F42" s="612"/>
      <c r="G42" s="611"/>
      <c r="H42" s="611"/>
      <c r="I42" s="611"/>
      <c r="J42" s="611"/>
      <c r="K42" s="616"/>
      <c r="L42" s="613"/>
      <c r="M42" s="613"/>
      <c r="N42" s="613"/>
    </row>
    <row r="43" spans="4:14" x14ac:dyDescent="0.25">
      <c r="D43" s="610"/>
      <c r="E43" s="611"/>
      <c r="F43" s="612"/>
      <c r="G43" s="611"/>
      <c r="H43" s="611"/>
      <c r="I43" s="611"/>
      <c r="J43" s="611"/>
      <c r="K43" s="616"/>
      <c r="L43" s="613"/>
      <c r="M43" s="613"/>
      <c r="N43" s="613"/>
    </row>
    <row r="44" spans="4:14" x14ac:dyDescent="0.25">
      <c r="D44" s="610"/>
      <c r="E44" s="611"/>
      <c r="F44" s="612"/>
      <c r="G44" s="611"/>
      <c r="H44" s="611"/>
      <c r="I44" s="611"/>
      <c r="J44" s="611"/>
      <c r="K44" s="616"/>
      <c r="L44" s="613"/>
      <c r="M44" s="613"/>
      <c r="N44" s="613"/>
    </row>
    <row r="45" spans="4:14" x14ac:dyDescent="0.25">
      <c r="D45" s="610"/>
      <c r="E45" s="611"/>
      <c r="F45" s="612"/>
      <c r="G45" s="611"/>
      <c r="H45" s="611"/>
      <c r="I45" s="611"/>
      <c r="J45" s="611"/>
      <c r="K45" s="616"/>
      <c r="L45" s="613"/>
      <c r="M45" s="613"/>
      <c r="N45" s="613"/>
    </row>
    <row r="46" spans="4:14" x14ac:dyDescent="0.25">
      <c r="D46" s="610"/>
      <c r="E46" s="611"/>
      <c r="F46" s="612"/>
      <c r="G46" s="611"/>
      <c r="H46" s="611"/>
      <c r="I46" s="611"/>
      <c r="J46" s="611"/>
      <c r="K46" s="616"/>
      <c r="L46" s="613"/>
      <c r="M46" s="613"/>
      <c r="N46" s="613"/>
    </row>
    <row r="47" spans="4:14" x14ac:dyDescent="0.25">
      <c r="D47" s="610"/>
      <c r="E47" s="611"/>
      <c r="F47" s="612"/>
      <c r="G47" s="611"/>
      <c r="H47" s="611"/>
      <c r="I47" s="611"/>
      <c r="J47" s="611"/>
      <c r="K47" s="616"/>
      <c r="L47" s="613"/>
      <c r="M47" s="613"/>
      <c r="N47" s="613"/>
    </row>
    <row r="48" spans="4:14" x14ac:dyDescent="0.25">
      <c r="D48" s="610"/>
      <c r="E48" s="611"/>
      <c r="F48" s="612"/>
      <c r="G48" s="611"/>
      <c r="H48" s="611"/>
      <c r="I48" s="611"/>
      <c r="J48" s="611"/>
      <c r="K48" s="616"/>
      <c r="L48" s="613"/>
      <c r="M48" s="613"/>
      <c r="N48" s="613"/>
    </row>
    <row r="49" spans="4:14" x14ac:dyDescent="0.25">
      <c r="D49" s="610"/>
      <c r="E49" s="611"/>
      <c r="F49" s="612"/>
      <c r="G49" s="611"/>
      <c r="H49" s="611"/>
      <c r="I49" s="611"/>
      <c r="J49" s="611"/>
      <c r="K49" s="616"/>
      <c r="L49" s="613"/>
      <c r="M49" s="613"/>
      <c r="N49" s="613"/>
    </row>
    <row r="50" spans="4:14" x14ac:dyDescent="0.25">
      <c r="D50" s="610"/>
      <c r="E50" s="611"/>
      <c r="F50" s="612"/>
      <c r="G50" s="611"/>
      <c r="H50" s="611"/>
      <c r="I50" s="611"/>
      <c r="J50" s="611"/>
      <c r="K50" s="616"/>
      <c r="L50" s="613"/>
      <c r="M50" s="613"/>
      <c r="N50" s="613"/>
    </row>
    <row r="51" spans="4:14" x14ac:dyDescent="0.25">
      <c r="D51" s="610"/>
      <c r="E51" s="611"/>
      <c r="F51" s="612"/>
      <c r="G51" s="611"/>
      <c r="H51" s="611"/>
      <c r="I51" s="611"/>
      <c r="J51" s="611"/>
      <c r="K51" s="616"/>
      <c r="L51" s="613"/>
      <c r="M51" s="613"/>
      <c r="N51" s="613"/>
    </row>
    <row r="52" spans="4:14" x14ac:dyDescent="0.25">
      <c r="D52" s="610"/>
      <c r="E52" s="611"/>
      <c r="F52" s="612"/>
      <c r="G52" s="611"/>
      <c r="H52" s="611"/>
      <c r="I52" s="611"/>
      <c r="J52" s="611"/>
      <c r="K52" s="616"/>
      <c r="L52" s="613"/>
      <c r="M52" s="613"/>
      <c r="N52" s="613"/>
    </row>
    <row r="53" spans="4:14" x14ac:dyDescent="0.25">
      <c r="D53" s="610"/>
      <c r="E53" s="611"/>
      <c r="F53" s="612"/>
      <c r="G53" s="611"/>
      <c r="H53" s="611"/>
      <c r="I53" s="611"/>
      <c r="J53" s="611"/>
      <c r="K53" s="616"/>
      <c r="L53" s="613"/>
      <c r="M53" s="613"/>
      <c r="N53" s="613"/>
    </row>
    <row r="54" spans="4:14" x14ac:dyDescent="0.25">
      <c r="D54" s="610"/>
      <c r="E54" s="611"/>
      <c r="F54" s="612"/>
      <c r="G54" s="611"/>
      <c r="H54" s="611"/>
      <c r="I54" s="611"/>
      <c r="J54" s="611"/>
      <c r="K54" s="616"/>
      <c r="L54" s="613"/>
      <c r="M54" s="613"/>
      <c r="N54" s="613"/>
    </row>
    <row r="55" spans="4:14" x14ac:dyDescent="0.25">
      <c r="D55" s="610"/>
      <c r="E55" s="611"/>
      <c r="F55" s="612"/>
      <c r="G55" s="611"/>
      <c r="H55" s="611"/>
      <c r="I55" s="611"/>
      <c r="J55" s="611"/>
      <c r="K55" s="616"/>
      <c r="L55" s="613"/>
      <c r="M55" s="613"/>
      <c r="N55" s="613"/>
    </row>
    <row r="56" spans="4:14" x14ac:dyDescent="0.25">
      <c r="D56" s="610"/>
      <c r="E56" s="611"/>
      <c r="F56" s="612"/>
      <c r="G56" s="611"/>
      <c r="H56" s="611"/>
      <c r="I56" s="611"/>
      <c r="J56" s="611"/>
      <c r="K56" s="616"/>
      <c r="L56" s="613"/>
      <c r="M56" s="613"/>
      <c r="N56" s="613"/>
    </row>
    <row r="57" spans="4:14" x14ac:dyDescent="0.25">
      <c r="D57" s="610"/>
      <c r="E57" s="611"/>
      <c r="F57" s="612"/>
      <c r="G57" s="611"/>
      <c r="H57" s="611"/>
      <c r="I57" s="611"/>
      <c r="J57" s="611"/>
      <c r="K57" s="616"/>
      <c r="L57" s="613"/>
      <c r="M57" s="613"/>
      <c r="N57" s="613"/>
    </row>
    <row r="58" spans="4:14" x14ac:dyDescent="0.25">
      <c r="D58" s="610"/>
      <c r="E58" s="611"/>
      <c r="F58" s="612"/>
      <c r="G58" s="611"/>
      <c r="H58" s="611"/>
      <c r="I58" s="611"/>
      <c r="J58" s="611"/>
      <c r="K58" s="616"/>
      <c r="L58" s="613"/>
      <c r="M58" s="613"/>
      <c r="N58" s="613"/>
    </row>
    <row r="59" spans="4:14" x14ac:dyDescent="0.25">
      <c r="D59" s="610"/>
      <c r="E59" s="611"/>
      <c r="F59" s="612"/>
      <c r="G59" s="611"/>
      <c r="H59" s="611"/>
      <c r="I59" s="611"/>
      <c r="J59" s="611"/>
      <c r="K59" s="616"/>
      <c r="L59" s="613"/>
      <c r="M59" s="613"/>
      <c r="N59" s="613"/>
    </row>
    <row r="60" spans="4:14" x14ac:dyDescent="0.25">
      <c r="D60" s="610"/>
      <c r="E60" s="611"/>
      <c r="F60" s="612"/>
      <c r="G60" s="611"/>
      <c r="H60" s="611"/>
      <c r="I60" s="611"/>
      <c r="J60" s="611"/>
      <c r="K60" s="616"/>
      <c r="L60" s="613"/>
      <c r="M60" s="613"/>
      <c r="N60" s="613"/>
    </row>
    <row r="61" spans="4:14" x14ac:dyDescent="0.25">
      <c r="D61" s="610"/>
      <c r="E61" s="611"/>
      <c r="F61" s="612"/>
      <c r="G61" s="611"/>
      <c r="H61" s="611"/>
      <c r="I61" s="611"/>
      <c r="J61" s="611"/>
      <c r="K61" s="616"/>
      <c r="L61" s="613"/>
      <c r="M61" s="613"/>
      <c r="N61" s="613"/>
    </row>
    <row r="62" spans="4:14" x14ac:dyDescent="0.25">
      <c r="D62" s="610"/>
      <c r="E62" s="611"/>
      <c r="F62" s="612"/>
      <c r="G62" s="611"/>
      <c r="H62" s="611"/>
      <c r="I62" s="611"/>
      <c r="J62" s="611"/>
      <c r="K62" s="616"/>
      <c r="L62" s="613"/>
      <c r="M62" s="613"/>
      <c r="N62" s="613"/>
    </row>
    <row r="63" spans="4:14" x14ac:dyDescent="0.25">
      <c r="D63" s="610"/>
      <c r="E63" s="611"/>
      <c r="F63" s="612"/>
      <c r="G63" s="611"/>
      <c r="H63" s="611"/>
      <c r="I63" s="611"/>
      <c r="J63" s="611"/>
      <c r="K63" s="616"/>
      <c r="L63" s="613"/>
      <c r="M63" s="613"/>
      <c r="N63" s="613"/>
    </row>
    <row r="64" spans="4:14" x14ac:dyDescent="0.25">
      <c r="D64" s="610"/>
      <c r="E64" s="611"/>
      <c r="F64" s="612"/>
      <c r="G64" s="611"/>
      <c r="H64" s="611"/>
      <c r="I64" s="611"/>
      <c r="J64" s="611"/>
      <c r="K64" s="616"/>
      <c r="L64" s="613"/>
      <c r="M64" s="613"/>
      <c r="N64" s="613"/>
    </row>
    <row r="65" spans="4:14" x14ac:dyDescent="0.25">
      <c r="D65" s="610"/>
      <c r="E65" s="611"/>
      <c r="F65" s="612"/>
      <c r="G65" s="611"/>
      <c r="H65" s="611"/>
      <c r="I65" s="611"/>
      <c r="J65" s="611"/>
      <c r="K65" s="616"/>
      <c r="L65" s="613"/>
      <c r="M65" s="613"/>
      <c r="N65" s="613"/>
    </row>
    <row r="66" spans="4:14" x14ac:dyDescent="0.25">
      <c r="D66" s="610"/>
      <c r="E66" s="611"/>
      <c r="F66" s="612"/>
      <c r="G66" s="611"/>
      <c r="H66" s="611"/>
      <c r="I66" s="611"/>
      <c r="J66" s="611"/>
      <c r="K66" s="616"/>
      <c r="L66" s="613"/>
      <c r="M66" s="613"/>
      <c r="N66" s="613"/>
    </row>
    <row r="67" spans="4:14" x14ac:dyDescent="0.25">
      <c r="D67" s="610"/>
      <c r="E67" s="611"/>
      <c r="F67" s="612"/>
      <c r="G67" s="611"/>
      <c r="H67" s="611"/>
      <c r="I67" s="611"/>
      <c r="J67" s="611"/>
      <c r="K67" s="616"/>
      <c r="L67" s="613"/>
      <c r="M67" s="613"/>
      <c r="N67" s="613"/>
    </row>
    <row r="68" spans="4:14" x14ac:dyDescent="0.25">
      <c r="D68" s="610"/>
      <c r="E68" s="611"/>
      <c r="F68" s="612"/>
      <c r="G68" s="611"/>
      <c r="H68" s="611"/>
      <c r="I68" s="611"/>
      <c r="J68" s="611"/>
      <c r="K68" s="616"/>
      <c r="L68" s="613"/>
      <c r="M68" s="613"/>
      <c r="N68" s="613"/>
    </row>
    <row r="69" spans="4:14" x14ac:dyDescent="0.25">
      <c r="D69" s="610"/>
      <c r="E69" s="611"/>
      <c r="F69" s="612"/>
      <c r="G69" s="611"/>
      <c r="H69" s="611"/>
      <c r="I69" s="611"/>
      <c r="J69" s="611"/>
      <c r="K69" s="616"/>
      <c r="L69" s="613"/>
      <c r="M69" s="613"/>
      <c r="N69" s="613"/>
    </row>
    <row r="70" spans="4:14" x14ac:dyDescent="0.25">
      <c r="D70" s="610"/>
      <c r="E70" s="611"/>
      <c r="F70" s="612"/>
      <c r="G70" s="611"/>
      <c r="H70" s="611"/>
      <c r="I70" s="611"/>
      <c r="J70" s="611"/>
      <c r="K70" s="616"/>
      <c r="L70" s="613"/>
      <c r="M70" s="613"/>
      <c r="N70" s="613"/>
    </row>
    <row r="71" spans="4:14" x14ac:dyDescent="0.25">
      <c r="D71" s="610"/>
      <c r="E71" s="611"/>
      <c r="F71" s="612"/>
      <c r="G71" s="611"/>
      <c r="H71" s="611"/>
      <c r="I71" s="611"/>
      <c r="J71" s="611"/>
      <c r="K71" s="616"/>
      <c r="L71" s="613"/>
      <c r="M71" s="613"/>
      <c r="N71" s="613"/>
    </row>
    <row r="72" spans="4:14" x14ac:dyDescent="0.25">
      <c r="D72" s="610"/>
      <c r="E72" s="611"/>
      <c r="F72" s="612"/>
      <c r="G72" s="611"/>
      <c r="H72" s="611"/>
      <c r="I72" s="611"/>
      <c r="J72" s="611"/>
      <c r="K72" s="616"/>
      <c r="L72" s="613"/>
      <c r="M72" s="613"/>
      <c r="N72" s="613"/>
    </row>
    <row r="73" spans="4:14" x14ac:dyDescent="0.25">
      <c r="D73" s="617"/>
      <c r="E73" s="617"/>
      <c r="F73" s="617"/>
      <c r="G73" s="617"/>
      <c r="H73" s="617"/>
      <c r="I73" s="617"/>
      <c r="J73" s="617"/>
      <c r="K73" s="617"/>
      <c r="L73" s="617"/>
      <c r="M73" s="617"/>
      <c r="N73" s="617"/>
    </row>
    <row r="74" spans="4:14" x14ac:dyDescent="0.25">
      <c r="D74" s="617"/>
      <c r="E74" s="617"/>
      <c r="F74" s="617"/>
      <c r="G74" s="617"/>
      <c r="H74" s="617"/>
      <c r="I74" s="617"/>
      <c r="J74" s="617"/>
      <c r="K74" s="617"/>
      <c r="L74" s="617"/>
      <c r="M74" s="617"/>
      <c r="N74" s="617"/>
    </row>
    <row r="75" spans="4:14" x14ac:dyDescent="0.25">
      <c r="D75" s="617"/>
      <c r="E75" s="617"/>
      <c r="F75" s="617"/>
      <c r="G75" s="617"/>
      <c r="H75" s="617"/>
      <c r="I75" s="617"/>
      <c r="J75" s="617"/>
      <c r="K75" s="617"/>
      <c r="L75" s="617"/>
      <c r="M75" s="617"/>
      <c r="N75" s="617"/>
    </row>
    <row r="76" spans="4:14" x14ac:dyDescent="0.25">
      <c r="D76" s="617"/>
      <c r="E76" s="617"/>
      <c r="F76" s="617"/>
      <c r="G76" s="617"/>
      <c r="H76" s="617"/>
      <c r="I76" s="617"/>
      <c r="J76" s="617"/>
      <c r="K76" s="617"/>
      <c r="L76" s="617"/>
      <c r="M76" s="617"/>
      <c r="N76" s="617"/>
    </row>
    <row r="77" spans="4:14" x14ac:dyDescent="0.25">
      <c r="D77" s="617"/>
      <c r="E77" s="617"/>
      <c r="F77" s="617"/>
      <c r="G77" s="617"/>
      <c r="H77" s="617"/>
      <c r="I77" s="617"/>
      <c r="J77" s="617"/>
      <c r="K77" s="617"/>
      <c r="L77" s="617"/>
      <c r="M77" s="617"/>
      <c r="N77" s="617"/>
    </row>
    <row r="78" spans="4:14" x14ac:dyDescent="0.25">
      <c r="D78" s="617"/>
      <c r="E78" s="617"/>
      <c r="F78" s="617"/>
      <c r="G78" s="617"/>
      <c r="H78" s="617"/>
      <c r="I78" s="617"/>
      <c r="J78" s="617"/>
      <c r="K78" s="617"/>
      <c r="L78" s="617"/>
      <c r="M78" s="617"/>
      <c r="N78" s="617"/>
    </row>
    <row r="79" spans="4:14" x14ac:dyDescent="0.25">
      <c r="D79" s="617"/>
      <c r="E79" s="617"/>
      <c r="F79" s="617"/>
      <c r="G79" s="617"/>
      <c r="H79" s="617"/>
      <c r="I79" s="617"/>
      <c r="J79" s="617"/>
      <c r="K79" s="617"/>
      <c r="L79" s="617"/>
      <c r="M79" s="617"/>
      <c r="N79" s="617"/>
    </row>
    <row r="80" spans="4:14" x14ac:dyDescent="0.25">
      <c r="D80" s="617"/>
      <c r="E80" s="617"/>
      <c r="F80" s="617"/>
      <c r="G80" s="617"/>
      <c r="H80" s="617"/>
      <c r="I80" s="617"/>
      <c r="J80" s="617"/>
      <c r="K80" s="617"/>
      <c r="L80" s="617"/>
      <c r="M80" s="617"/>
      <c r="N80" s="617"/>
    </row>
    <row r="81" spans="4:14" x14ac:dyDescent="0.25">
      <c r="D81" s="617"/>
      <c r="E81" s="617"/>
      <c r="F81" s="617"/>
      <c r="G81" s="617"/>
      <c r="H81" s="617"/>
      <c r="I81" s="617"/>
      <c r="J81" s="617"/>
      <c r="K81" s="617"/>
      <c r="L81" s="617"/>
      <c r="M81" s="617"/>
      <c r="N81" s="617"/>
    </row>
    <row r="82" spans="4:14" x14ac:dyDescent="0.25">
      <c r="D82" s="617"/>
      <c r="E82" s="617"/>
      <c r="F82" s="617"/>
      <c r="G82" s="617"/>
      <c r="H82" s="617"/>
      <c r="I82" s="617"/>
      <c r="J82" s="617"/>
      <c r="K82" s="617"/>
      <c r="L82" s="617"/>
      <c r="M82" s="617"/>
      <c r="N82" s="617"/>
    </row>
    <row r="83" spans="4:14" x14ac:dyDescent="0.25">
      <c r="D83" s="617"/>
      <c r="E83" s="617"/>
      <c r="F83" s="617"/>
      <c r="G83" s="617"/>
      <c r="H83" s="617"/>
      <c r="I83" s="617"/>
      <c r="J83" s="617"/>
      <c r="K83" s="617"/>
      <c r="L83" s="617"/>
      <c r="M83" s="617"/>
      <c r="N83" s="617"/>
    </row>
    <row r="84" spans="4:14" x14ac:dyDescent="0.25">
      <c r="D84" s="617"/>
      <c r="E84" s="617"/>
      <c r="F84" s="617"/>
      <c r="G84" s="617"/>
      <c r="H84" s="617"/>
      <c r="I84" s="617"/>
      <c r="J84" s="617"/>
      <c r="K84" s="617"/>
      <c r="L84" s="617"/>
      <c r="M84" s="617"/>
      <c r="N84" s="617"/>
    </row>
    <row r="85" spans="4:14" x14ac:dyDescent="0.25">
      <c r="D85" s="617"/>
      <c r="E85" s="617"/>
      <c r="F85" s="617"/>
      <c r="G85" s="617"/>
      <c r="H85" s="617"/>
      <c r="I85" s="617"/>
      <c r="J85" s="617"/>
      <c r="K85" s="617"/>
      <c r="L85" s="617"/>
      <c r="M85" s="617"/>
      <c r="N85" s="617"/>
    </row>
    <row r="86" spans="4:14" x14ac:dyDescent="0.25">
      <c r="D86" s="617"/>
      <c r="E86" s="617"/>
      <c r="F86" s="617"/>
      <c r="G86" s="617"/>
      <c r="H86" s="617"/>
      <c r="I86" s="617"/>
      <c r="J86" s="617"/>
      <c r="K86" s="617"/>
      <c r="L86" s="617"/>
      <c r="M86" s="617"/>
      <c r="N86" s="617"/>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M7" sqref="M7"/>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mergeCells count="2">
    <mergeCell ref="F4:H4"/>
    <mergeCell ref="I4:K4"/>
  </mergeCells>
  <conditionalFormatting sqref="L5:N72">
    <cfRule type="cellIs" dxfId="1" priority="1" operator="equal">
      <formula>TRUE</formula>
    </cfRule>
  </conditionalFormatting>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69"/>
  <sheetViews>
    <sheetView workbookViewId="0">
      <selection activeCell="A7" sqref="A7"/>
    </sheetView>
  </sheetViews>
  <sheetFormatPr defaultRowHeight="15" x14ac:dyDescent="0.25"/>
  <cols>
    <col min="1" max="5" width="16.7109375" customWidth="1"/>
    <col min="6" max="6" width="13.5703125" customWidth="1"/>
    <col min="7" max="7" width="12" customWidth="1"/>
    <col min="8" max="8" width="16" customWidth="1"/>
    <col min="9" max="9" width="14.85546875" customWidth="1"/>
  </cols>
  <sheetData>
    <row r="1" spans="1:11" x14ac:dyDescent="0.25">
      <c r="A1" s="278" t="s">
        <v>1492</v>
      </c>
      <c r="B1" s="278" t="s">
        <v>1415</v>
      </c>
      <c r="C1" s="278" t="s">
        <v>1518</v>
      </c>
      <c r="D1" s="278" t="s">
        <v>1520</v>
      </c>
      <c r="E1" s="278" t="s">
        <v>1521</v>
      </c>
      <c r="F1" s="278" t="s">
        <v>1600</v>
      </c>
      <c r="G1" s="278" t="s">
        <v>1601</v>
      </c>
      <c r="H1" s="278" t="s">
        <v>1602</v>
      </c>
      <c r="I1" s="181" t="s">
        <v>2228</v>
      </c>
      <c r="J1" s="283" t="s">
        <v>2229</v>
      </c>
      <c r="K1" s="283"/>
    </row>
    <row r="2" spans="1:11" x14ac:dyDescent="0.25">
      <c r="A2" s="279" t="s">
        <v>59</v>
      </c>
      <c r="B2" s="280" t="s">
        <v>1422</v>
      </c>
      <c r="C2" s="281">
        <v>5500</v>
      </c>
      <c r="D2" s="280">
        <v>184</v>
      </c>
      <c r="E2" s="280">
        <v>0.32</v>
      </c>
      <c r="F2" s="280">
        <v>5676</v>
      </c>
      <c r="G2" s="280">
        <v>193</v>
      </c>
      <c r="H2" s="280">
        <v>0.33</v>
      </c>
      <c r="I2" s="179" t="b">
        <f>IF(ABS((F2-C2)/C2)&gt;0.01,TRUE,FALSE)</f>
        <v>1</v>
      </c>
      <c r="J2" s="179" t="b">
        <f>IF(ABS((G2-D2)/D2)&gt;0.01,TRUE,FALSE)</f>
        <v>1</v>
      </c>
      <c r="K2" s="179" t="b">
        <f>IF(ABS((H2-E2)/E2)&gt;0.01,TRUE,FALSE)</f>
        <v>1</v>
      </c>
    </row>
    <row r="3" spans="1:11" ht="45" x14ac:dyDescent="0.25">
      <c r="A3" s="279" t="s">
        <v>3176</v>
      </c>
      <c r="B3" s="280" t="s">
        <v>1422</v>
      </c>
      <c r="C3" s="281">
        <v>2014</v>
      </c>
      <c r="D3" s="280">
        <v>133</v>
      </c>
      <c r="E3" s="280">
        <v>0.17</v>
      </c>
      <c r="F3" s="280">
        <v>2014</v>
      </c>
      <c r="G3" s="280">
        <v>133</v>
      </c>
      <c r="H3" s="280">
        <v>0.17</v>
      </c>
      <c r="I3" s="179" t="b">
        <f t="shared" ref="I3:K37" si="0">IF(ABS((F3-C3)/C3)&gt;0.01,TRUE,FALSE)</f>
        <v>0</v>
      </c>
      <c r="J3" s="179" t="b">
        <f t="shared" si="0"/>
        <v>0</v>
      </c>
      <c r="K3" s="179" t="b">
        <f t="shared" si="0"/>
        <v>0</v>
      </c>
    </row>
    <row r="4" spans="1:11" ht="45" x14ac:dyDescent="0.25">
      <c r="A4" s="279" t="s">
        <v>3177</v>
      </c>
      <c r="B4" s="280" t="s">
        <v>1422</v>
      </c>
      <c r="C4" s="281">
        <v>4401</v>
      </c>
      <c r="D4" s="280">
        <v>178</v>
      </c>
      <c r="E4" s="280">
        <v>0.35</v>
      </c>
      <c r="F4" s="280">
        <v>4401</v>
      </c>
      <c r="G4" s="280">
        <v>178</v>
      </c>
      <c r="H4" s="280">
        <v>0.35</v>
      </c>
      <c r="I4" s="179" t="b">
        <f t="shared" si="0"/>
        <v>0</v>
      </c>
      <c r="J4" s="179" t="b">
        <f t="shared" si="0"/>
        <v>0</v>
      </c>
      <c r="K4" s="179" t="b">
        <f t="shared" si="0"/>
        <v>0</v>
      </c>
    </row>
    <row r="5" spans="1:11" x14ac:dyDescent="0.25">
      <c r="A5" s="279" t="s">
        <v>59</v>
      </c>
      <c r="B5" s="280" t="s">
        <v>1422</v>
      </c>
      <c r="C5" s="281">
        <v>2179</v>
      </c>
      <c r="D5" s="280">
        <v>100</v>
      </c>
      <c r="E5" s="280">
        <v>0.25</v>
      </c>
      <c r="F5" s="280">
        <v>2179</v>
      </c>
      <c r="G5" s="280">
        <v>100</v>
      </c>
      <c r="H5" s="280">
        <v>0.25</v>
      </c>
      <c r="I5" s="179" t="b">
        <f t="shared" si="0"/>
        <v>0</v>
      </c>
      <c r="J5" s="179" t="b">
        <f t="shared" si="0"/>
        <v>0</v>
      </c>
      <c r="K5" s="179" t="b">
        <f t="shared" si="0"/>
        <v>0</v>
      </c>
    </row>
    <row r="6" spans="1:11" ht="45" x14ac:dyDescent="0.25">
      <c r="A6" s="279" t="s">
        <v>3178</v>
      </c>
      <c r="B6" s="280" t="s">
        <v>1422</v>
      </c>
      <c r="C6" s="281">
        <v>420</v>
      </c>
      <c r="D6" s="280">
        <v>155</v>
      </c>
      <c r="E6" s="280">
        <v>0.16</v>
      </c>
      <c r="F6" s="280">
        <v>420</v>
      </c>
      <c r="G6" s="280">
        <v>155</v>
      </c>
      <c r="H6" s="280">
        <v>0.16</v>
      </c>
      <c r="I6" s="179" t="b">
        <f t="shared" si="0"/>
        <v>0</v>
      </c>
      <c r="J6" s="179" t="b">
        <f t="shared" si="0"/>
        <v>0</v>
      </c>
      <c r="K6" s="179" t="b">
        <f t="shared" si="0"/>
        <v>0</v>
      </c>
    </row>
    <row r="7" spans="1:11" ht="45" x14ac:dyDescent="0.25">
      <c r="A7" s="279" t="s">
        <v>3179</v>
      </c>
      <c r="B7" s="280" t="s">
        <v>1422</v>
      </c>
      <c r="C7" s="281">
        <v>3933</v>
      </c>
      <c r="D7" s="280">
        <v>112</v>
      </c>
      <c r="E7" s="280">
        <v>0.28999999999999998</v>
      </c>
      <c r="F7" s="280">
        <v>3933</v>
      </c>
      <c r="G7" s="280">
        <v>112</v>
      </c>
      <c r="H7" s="280">
        <v>0.28999999999999998</v>
      </c>
      <c r="I7" s="179" t="b">
        <f t="shared" si="0"/>
        <v>0</v>
      </c>
      <c r="J7" s="179" t="b">
        <f t="shared" si="0"/>
        <v>0</v>
      </c>
      <c r="K7" s="179" t="b">
        <f t="shared" si="0"/>
        <v>0</v>
      </c>
    </row>
    <row r="8" spans="1:11" x14ac:dyDescent="0.25">
      <c r="A8" s="279" t="s">
        <v>59</v>
      </c>
      <c r="B8" s="280" t="s">
        <v>1422</v>
      </c>
      <c r="C8" s="281">
        <v>1983</v>
      </c>
      <c r="D8" s="280">
        <v>81</v>
      </c>
      <c r="E8" s="280">
        <v>0.18</v>
      </c>
      <c r="F8" s="280">
        <v>1983</v>
      </c>
      <c r="G8" s="280">
        <v>81</v>
      </c>
      <c r="H8" s="280">
        <v>0.18</v>
      </c>
      <c r="I8" s="179" t="b">
        <f t="shared" si="0"/>
        <v>0</v>
      </c>
      <c r="J8" s="179" t="b">
        <f t="shared" si="0"/>
        <v>0</v>
      </c>
      <c r="K8" s="179" t="b">
        <f t="shared" si="0"/>
        <v>0</v>
      </c>
    </row>
    <row r="9" spans="1:11" x14ac:dyDescent="0.25">
      <c r="A9" s="279" t="s">
        <v>59</v>
      </c>
      <c r="B9" s="280" t="s">
        <v>1422</v>
      </c>
      <c r="C9" s="281">
        <v>2207</v>
      </c>
      <c r="D9" s="280">
        <v>173</v>
      </c>
      <c r="E9" s="280">
        <v>0.1</v>
      </c>
      <c r="F9" s="282"/>
      <c r="G9" s="282"/>
      <c r="H9" s="282"/>
      <c r="I9" s="179" t="b">
        <f t="shared" si="0"/>
        <v>1</v>
      </c>
      <c r="J9" s="179" t="b">
        <f t="shared" si="0"/>
        <v>1</v>
      </c>
      <c r="K9" s="179" t="b">
        <f t="shared" si="0"/>
        <v>1</v>
      </c>
    </row>
    <row r="10" spans="1:11" x14ac:dyDescent="0.25">
      <c r="A10" s="279" t="s">
        <v>59</v>
      </c>
      <c r="B10" s="280" t="s">
        <v>1422</v>
      </c>
      <c r="C10" s="281">
        <v>1976</v>
      </c>
      <c r="D10" s="280">
        <v>66</v>
      </c>
      <c r="E10" s="280">
        <v>0.18</v>
      </c>
      <c r="F10" s="280">
        <v>1976</v>
      </c>
      <c r="G10" s="280">
        <v>66</v>
      </c>
      <c r="H10" s="280">
        <v>0.18</v>
      </c>
      <c r="I10" s="179" t="b">
        <f t="shared" si="0"/>
        <v>0</v>
      </c>
      <c r="J10" s="179" t="b">
        <f t="shared" si="0"/>
        <v>0</v>
      </c>
      <c r="K10" s="179" t="b">
        <f t="shared" si="0"/>
        <v>0</v>
      </c>
    </row>
    <row r="11" spans="1:11" x14ac:dyDescent="0.25">
      <c r="A11" s="279" t="s">
        <v>59</v>
      </c>
      <c r="B11" s="280" t="s">
        <v>1422</v>
      </c>
      <c r="C11" s="281">
        <v>62</v>
      </c>
      <c r="D11" s="280">
        <v>76</v>
      </c>
      <c r="E11" s="280">
        <v>0.16</v>
      </c>
      <c r="F11" s="280">
        <v>62</v>
      </c>
      <c r="G11" s="280">
        <v>76</v>
      </c>
      <c r="H11" s="280">
        <v>0.16</v>
      </c>
      <c r="I11" s="179" t="b">
        <f t="shared" si="0"/>
        <v>0</v>
      </c>
      <c r="J11" s="179" t="b">
        <f t="shared" si="0"/>
        <v>0</v>
      </c>
      <c r="K11" s="179" t="b">
        <f t="shared" si="0"/>
        <v>0</v>
      </c>
    </row>
    <row r="12" spans="1:11" x14ac:dyDescent="0.25">
      <c r="A12" s="279" t="s">
        <v>59</v>
      </c>
      <c r="B12" s="280" t="s">
        <v>1422</v>
      </c>
      <c r="C12" s="281">
        <v>5795</v>
      </c>
      <c r="D12" s="280">
        <v>341</v>
      </c>
      <c r="E12" s="280">
        <v>0.45</v>
      </c>
      <c r="F12" s="280">
        <v>5795</v>
      </c>
      <c r="G12" s="280">
        <v>341</v>
      </c>
      <c r="H12" s="280">
        <v>0.45</v>
      </c>
      <c r="I12" s="179" t="b">
        <f t="shared" si="0"/>
        <v>0</v>
      </c>
      <c r="J12" s="179" t="b">
        <f t="shared" si="0"/>
        <v>0</v>
      </c>
      <c r="K12" s="179" t="b">
        <f t="shared" si="0"/>
        <v>0</v>
      </c>
    </row>
    <row r="13" spans="1:11" x14ac:dyDescent="0.25">
      <c r="A13" s="279" t="s">
        <v>59</v>
      </c>
      <c r="B13" s="280" t="s">
        <v>1422</v>
      </c>
      <c r="C13" s="281">
        <v>1428</v>
      </c>
      <c r="D13" s="280">
        <v>97</v>
      </c>
      <c r="E13" s="280">
        <v>0.25</v>
      </c>
      <c r="F13" s="280">
        <v>1428</v>
      </c>
      <c r="G13" s="280">
        <v>97</v>
      </c>
      <c r="H13" s="280">
        <v>0.25</v>
      </c>
      <c r="I13" s="179" t="b">
        <f t="shared" si="0"/>
        <v>0</v>
      </c>
      <c r="J13" s="179" t="b">
        <f t="shared" si="0"/>
        <v>0</v>
      </c>
      <c r="K13" s="179" t="b">
        <f t="shared" si="0"/>
        <v>0</v>
      </c>
    </row>
    <row r="14" spans="1:11" x14ac:dyDescent="0.25">
      <c r="A14" s="279" t="s">
        <v>59</v>
      </c>
      <c r="B14" s="280" t="s">
        <v>1422</v>
      </c>
      <c r="C14" s="281">
        <v>3668</v>
      </c>
      <c r="D14" s="280">
        <v>133</v>
      </c>
      <c r="E14" s="280">
        <v>0.4</v>
      </c>
      <c r="F14" s="280">
        <v>3477</v>
      </c>
      <c r="G14" s="280">
        <v>128</v>
      </c>
      <c r="H14" s="280">
        <v>0.39</v>
      </c>
      <c r="I14" s="179" t="b">
        <f t="shared" si="0"/>
        <v>1</v>
      </c>
      <c r="J14" s="179" t="b">
        <f t="shared" si="0"/>
        <v>1</v>
      </c>
      <c r="K14" s="179" t="b">
        <f t="shared" si="0"/>
        <v>1</v>
      </c>
    </row>
    <row r="15" spans="1:11" x14ac:dyDescent="0.25">
      <c r="A15" s="279" t="s">
        <v>59</v>
      </c>
      <c r="B15" s="280" t="s">
        <v>1422</v>
      </c>
      <c r="C15" s="281">
        <v>3263</v>
      </c>
      <c r="D15" s="280">
        <v>238</v>
      </c>
      <c r="E15" s="280">
        <v>0.36</v>
      </c>
      <c r="F15" s="280">
        <v>3263</v>
      </c>
      <c r="G15" s="280">
        <v>238</v>
      </c>
      <c r="H15" s="280">
        <v>0.36</v>
      </c>
      <c r="I15" s="179" t="b">
        <f t="shared" si="0"/>
        <v>0</v>
      </c>
      <c r="J15" s="179" t="b">
        <f t="shared" si="0"/>
        <v>0</v>
      </c>
      <c r="K15" s="179" t="b">
        <f t="shared" si="0"/>
        <v>0</v>
      </c>
    </row>
    <row r="16" spans="1:11" x14ac:dyDescent="0.25">
      <c r="A16" s="279" t="s">
        <v>59</v>
      </c>
      <c r="B16" s="280" t="s">
        <v>1422</v>
      </c>
      <c r="C16" s="281">
        <v>17</v>
      </c>
      <c r="D16" s="280">
        <v>84</v>
      </c>
      <c r="E16" s="280">
        <v>0.14000000000000001</v>
      </c>
      <c r="F16" s="280">
        <v>17</v>
      </c>
      <c r="G16" s="280">
        <v>84</v>
      </c>
      <c r="H16" s="280">
        <v>0.14000000000000001</v>
      </c>
      <c r="I16" s="179" t="b">
        <f t="shared" si="0"/>
        <v>0</v>
      </c>
      <c r="J16" s="179" t="b">
        <f t="shared" si="0"/>
        <v>0</v>
      </c>
      <c r="K16" s="179" t="b">
        <f t="shared" si="0"/>
        <v>0</v>
      </c>
    </row>
    <row r="17" spans="1:11" x14ac:dyDescent="0.25">
      <c r="A17" s="279" t="s">
        <v>59</v>
      </c>
      <c r="B17" s="280" t="s">
        <v>1422</v>
      </c>
      <c r="C17" s="281">
        <v>3249</v>
      </c>
      <c r="D17" s="280">
        <v>125</v>
      </c>
      <c r="E17" s="280">
        <v>0.2</v>
      </c>
      <c r="F17" s="280">
        <v>3249</v>
      </c>
      <c r="G17" s="280">
        <v>125</v>
      </c>
      <c r="H17" s="280">
        <v>0.2</v>
      </c>
      <c r="I17" s="179" t="b">
        <f t="shared" si="0"/>
        <v>0</v>
      </c>
      <c r="J17" s="179" t="b">
        <f t="shared" si="0"/>
        <v>0</v>
      </c>
      <c r="K17" s="179" t="b">
        <f t="shared" si="0"/>
        <v>0</v>
      </c>
    </row>
    <row r="18" spans="1:11" x14ac:dyDescent="0.25">
      <c r="A18" s="279" t="s">
        <v>58</v>
      </c>
      <c r="B18" s="280" t="s">
        <v>1422</v>
      </c>
      <c r="C18" s="281">
        <v>2109</v>
      </c>
      <c r="D18" s="280">
        <v>19857</v>
      </c>
      <c r="E18" s="280">
        <v>2109</v>
      </c>
      <c r="F18" s="280">
        <v>618</v>
      </c>
      <c r="G18" s="280">
        <v>199</v>
      </c>
      <c r="H18" s="282"/>
      <c r="I18" s="179" t="b">
        <f t="shared" si="0"/>
        <v>1</v>
      </c>
      <c r="J18" s="179" t="b">
        <f t="shared" si="0"/>
        <v>1</v>
      </c>
      <c r="K18" s="179" t="b">
        <f t="shared" si="0"/>
        <v>1</v>
      </c>
    </row>
    <row r="19" spans="1:11" x14ac:dyDescent="0.25">
      <c r="A19" s="279" t="s">
        <v>58</v>
      </c>
      <c r="B19" s="280" t="s">
        <v>1422</v>
      </c>
      <c r="C19" s="281">
        <v>4215</v>
      </c>
      <c r="D19" s="280">
        <v>288</v>
      </c>
      <c r="E19" s="280">
        <v>14387</v>
      </c>
      <c r="F19" s="280">
        <v>4220</v>
      </c>
      <c r="G19" s="280">
        <v>288</v>
      </c>
      <c r="H19" s="282"/>
      <c r="I19" s="179" t="b">
        <f t="shared" si="0"/>
        <v>0</v>
      </c>
      <c r="J19" s="179" t="b">
        <f t="shared" si="0"/>
        <v>0</v>
      </c>
      <c r="K19" s="179" t="b">
        <f t="shared" si="0"/>
        <v>1</v>
      </c>
    </row>
    <row r="20" spans="1:11" x14ac:dyDescent="0.25">
      <c r="A20" s="279" t="s">
        <v>58</v>
      </c>
      <c r="B20" s="280" t="s">
        <v>1422</v>
      </c>
      <c r="C20" s="281">
        <v>7764</v>
      </c>
      <c r="D20" s="280">
        <v>165</v>
      </c>
      <c r="E20" s="280">
        <v>26499</v>
      </c>
      <c r="F20" s="280">
        <v>7770</v>
      </c>
      <c r="G20" s="280">
        <v>165</v>
      </c>
      <c r="H20" s="282"/>
      <c r="I20" s="179" t="b">
        <f t="shared" si="0"/>
        <v>0</v>
      </c>
      <c r="J20" s="179" t="b">
        <f t="shared" si="0"/>
        <v>0</v>
      </c>
      <c r="K20" s="179" t="b">
        <f t="shared" si="0"/>
        <v>1</v>
      </c>
    </row>
    <row r="21" spans="1:11" x14ac:dyDescent="0.25">
      <c r="A21" s="279" t="s">
        <v>58</v>
      </c>
      <c r="B21" s="280" t="s">
        <v>1422</v>
      </c>
      <c r="C21" s="281">
        <v>364</v>
      </c>
      <c r="D21" s="280">
        <v>334</v>
      </c>
      <c r="E21" s="280">
        <v>1242</v>
      </c>
      <c r="F21" s="280">
        <v>364</v>
      </c>
      <c r="G21" s="280">
        <v>334</v>
      </c>
      <c r="H21" s="282"/>
      <c r="I21" s="179" t="b">
        <f t="shared" si="0"/>
        <v>0</v>
      </c>
      <c r="J21" s="179" t="b">
        <f t="shared" si="0"/>
        <v>0</v>
      </c>
      <c r="K21" s="179" t="b">
        <f t="shared" si="0"/>
        <v>1</v>
      </c>
    </row>
    <row r="22" spans="1:11" x14ac:dyDescent="0.25">
      <c r="A22" s="279" t="s">
        <v>58</v>
      </c>
      <c r="B22" s="280" t="s">
        <v>1422</v>
      </c>
      <c r="C22" s="281">
        <v>14684</v>
      </c>
      <c r="D22" s="280">
        <v>468</v>
      </c>
      <c r="E22" s="280">
        <v>50116</v>
      </c>
      <c r="F22" s="280">
        <v>147000</v>
      </c>
      <c r="G22" s="280">
        <v>468</v>
      </c>
      <c r="H22" s="282"/>
      <c r="I22" s="179" t="b">
        <f t="shared" si="0"/>
        <v>1</v>
      </c>
      <c r="J22" s="179" t="b">
        <f t="shared" si="0"/>
        <v>0</v>
      </c>
      <c r="K22" s="179" t="b">
        <f t="shared" si="0"/>
        <v>1</v>
      </c>
    </row>
    <row r="23" spans="1:11" x14ac:dyDescent="0.25">
      <c r="A23" s="279" t="s">
        <v>58</v>
      </c>
      <c r="B23" s="280" t="s">
        <v>1422</v>
      </c>
      <c r="C23" s="281">
        <v>1754</v>
      </c>
      <c r="D23" s="280">
        <v>174</v>
      </c>
      <c r="E23" s="280">
        <v>5985</v>
      </c>
      <c r="F23" s="280">
        <v>1750</v>
      </c>
      <c r="G23" s="280">
        <v>174</v>
      </c>
      <c r="H23" s="282"/>
      <c r="I23" s="179" t="b">
        <f t="shared" si="0"/>
        <v>0</v>
      </c>
      <c r="J23" s="179" t="b">
        <f t="shared" si="0"/>
        <v>0</v>
      </c>
      <c r="K23" s="179" t="b">
        <f t="shared" si="0"/>
        <v>1</v>
      </c>
    </row>
    <row r="24" spans="1:11" x14ac:dyDescent="0.25">
      <c r="A24" s="279" t="s">
        <v>58</v>
      </c>
      <c r="B24" s="280" t="s">
        <v>1422</v>
      </c>
      <c r="C24" s="281">
        <v>260</v>
      </c>
      <c r="D24" s="280">
        <v>297</v>
      </c>
      <c r="E24" s="280">
        <v>886</v>
      </c>
      <c r="F24" s="280">
        <v>260</v>
      </c>
      <c r="G24" s="280">
        <v>297</v>
      </c>
      <c r="H24" s="282"/>
      <c r="I24" s="179" t="b">
        <f t="shared" si="0"/>
        <v>0</v>
      </c>
      <c r="J24" s="179" t="b">
        <f t="shared" si="0"/>
        <v>0</v>
      </c>
      <c r="K24" s="179" t="b">
        <f t="shared" si="0"/>
        <v>1</v>
      </c>
    </row>
    <row r="25" spans="1:11" x14ac:dyDescent="0.25">
      <c r="A25" s="279" t="s">
        <v>58</v>
      </c>
      <c r="B25" s="280" t="s">
        <v>1422</v>
      </c>
      <c r="C25" s="281">
        <v>4547</v>
      </c>
      <c r="D25" s="280">
        <v>170</v>
      </c>
      <c r="E25" s="280">
        <v>15518</v>
      </c>
      <c r="F25" s="280">
        <v>4550</v>
      </c>
      <c r="G25" s="280">
        <v>170</v>
      </c>
      <c r="H25" s="282"/>
      <c r="I25" s="179" t="b">
        <f t="shared" si="0"/>
        <v>0</v>
      </c>
      <c r="J25" s="179" t="b">
        <f t="shared" si="0"/>
        <v>0</v>
      </c>
      <c r="K25" s="179" t="b">
        <f t="shared" si="0"/>
        <v>1</v>
      </c>
    </row>
    <row r="26" spans="1:11" x14ac:dyDescent="0.25">
      <c r="A26" s="279" t="s">
        <v>58</v>
      </c>
      <c r="B26" s="280" t="s">
        <v>1422</v>
      </c>
      <c r="C26" s="281">
        <v>1050</v>
      </c>
      <c r="D26" s="280">
        <v>723</v>
      </c>
      <c r="E26" s="280">
        <v>3585</v>
      </c>
      <c r="F26" s="280">
        <v>1050</v>
      </c>
      <c r="G26" s="280">
        <v>723</v>
      </c>
      <c r="H26" s="282"/>
      <c r="I26" s="179" t="b">
        <f t="shared" si="0"/>
        <v>0</v>
      </c>
      <c r="J26" s="179" t="b">
        <f t="shared" si="0"/>
        <v>0</v>
      </c>
      <c r="K26" s="179" t="b">
        <f t="shared" si="0"/>
        <v>1</v>
      </c>
    </row>
    <row r="27" spans="1:11" x14ac:dyDescent="0.25">
      <c r="A27" s="279" t="s">
        <v>58</v>
      </c>
      <c r="B27" s="280" t="s">
        <v>1422</v>
      </c>
      <c r="C27" s="281">
        <v>6202</v>
      </c>
      <c r="D27" s="280">
        <v>266</v>
      </c>
      <c r="E27" s="280">
        <v>21166</v>
      </c>
      <c r="F27" s="280">
        <v>6200</v>
      </c>
      <c r="G27" s="280">
        <v>266</v>
      </c>
      <c r="H27" s="282"/>
      <c r="I27" s="179" t="b">
        <f t="shared" si="0"/>
        <v>0</v>
      </c>
      <c r="J27" s="179" t="b">
        <f t="shared" si="0"/>
        <v>0</v>
      </c>
      <c r="K27" s="179" t="b">
        <f t="shared" si="0"/>
        <v>1</v>
      </c>
    </row>
    <row r="28" spans="1:11" x14ac:dyDescent="0.25">
      <c r="A28" s="279" t="s">
        <v>58</v>
      </c>
      <c r="B28" s="280" t="s">
        <v>1422</v>
      </c>
      <c r="C28" s="281">
        <v>2716</v>
      </c>
      <c r="D28" s="280">
        <v>685</v>
      </c>
      <c r="E28" s="280">
        <v>9268</v>
      </c>
      <c r="F28" s="280">
        <v>2720</v>
      </c>
      <c r="G28" s="280">
        <v>685</v>
      </c>
      <c r="H28" s="282"/>
      <c r="I28" s="179" t="b">
        <f t="shared" si="0"/>
        <v>0</v>
      </c>
      <c r="J28" s="179" t="b">
        <f t="shared" si="0"/>
        <v>0</v>
      </c>
      <c r="K28" s="179" t="b">
        <f t="shared" si="0"/>
        <v>1</v>
      </c>
    </row>
    <row r="29" spans="1:11" x14ac:dyDescent="0.25">
      <c r="A29" s="279" t="s">
        <v>58</v>
      </c>
      <c r="B29" s="280" t="s">
        <v>1422</v>
      </c>
      <c r="C29" s="281">
        <v>333</v>
      </c>
      <c r="D29" s="280">
        <v>400</v>
      </c>
      <c r="E29" s="280">
        <v>1135</v>
      </c>
      <c r="F29" s="280">
        <v>333</v>
      </c>
      <c r="G29" s="280">
        <v>400</v>
      </c>
      <c r="H29" s="282"/>
      <c r="I29" s="179" t="b">
        <f t="shared" si="0"/>
        <v>0</v>
      </c>
      <c r="J29" s="179" t="b">
        <f t="shared" si="0"/>
        <v>0</v>
      </c>
      <c r="K29" s="179" t="b">
        <f t="shared" si="0"/>
        <v>1</v>
      </c>
    </row>
    <row r="30" spans="1:11" x14ac:dyDescent="0.25">
      <c r="A30" s="279" t="s">
        <v>58</v>
      </c>
      <c r="B30" s="280" t="s">
        <v>1422</v>
      </c>
      <c r="C30" s="281">
        <v>3801</v>
      </c>
      <c r="D30" s="280">
        <v>172</v>
      </c>
      <c r="E30" s="280">
        <v>12971</v>
      </c>
      <c r="F30" s="280">
        <v>3800</v>
      </c>
      <c r="G30" s="280">
        <v>172</v>
      </c>
      <c r="H30" s="282"/>
      <c r="I30" s="179" t="b">
        <f t="shared" si="0"/>
        <v>0</v>
      </c>
      <c r="J30" s="179" t="b">
        <f t="shared" si="0"/>
        <v>0</v>
      </c>
      <c r="K30" s="179" t="b">
        <f t="shared" si="0"/>
        <v>1</v>
      </c>
    </row>
    <row r="31" spans="1:11" x14ac:dyDescent="0.25">
      <c r="A31" s="279" t="s">
        <v>58</v>
      </c>
      <c r="B31" s="280" t="s">
        <v>1422</v>
      </c>
      <c r="C31" s="281">
        <v>250</v>
      </c>
      <c r="D31" s="280">
        <v>539</v>
      </c>
      <c r="E31" s="280">
        <v>853</v>
      </c>
      <c r="F31" s="280">
        <v>250</v>
      </c>
      <c r="G31" s="280">
        <v>539</v>
      </c>
      <c r="H31" s="282"/>
      <c r="I31" s="179" t="b">
        <f t="shared" si="0"/>
        <v>0</v>
      </c>
      <c r="J31" s="179" t="b">
        <f t="shared" si="0"/>
        <v>0</v>
      </c>
      <c r="K31" s="179" t="b">
        <f t="shared" si="0"/>
        <v>1</v>
      </c>
    </row>
    <row r="32" spans="1:11" x14ac:dyDescent="0.25">
      <c r="A32" s="279" t="s">
        <v>58</v>
      </c>
      <c r="B32" s="280" t="s">
        <v>1422</v>
      </c>
      <c r="C32" s="281">
        <v>445</v>
      </c>
      <c r="D32" s="280">
        <v>346</v>
      </c>
      <c r="E32" s="280">
        <v>1519</v>
      </c>
      <c r="F32" s="280">
        <v>445</v>
      </c>
      <c r="G32" s="280">
        <v>346</v>
      </c>
      <c r="H32" s="282"/>
      <c r="I32" s="179" t="b">
        <f t="shared" si="0"/>
        <v>0</v>
      </c>
      <c r="J32" s="179" t="b">
        <f t="shared" si="0"/>
        <v>0</v>
      </c>
      <c r="K32" s="179" t="b">
        <f t="shared" si="0"/>
        <v>1</v>
      </c>
    </row>
    <row r="33" spans="1:11" x14ac:dyDescent="0.25">
      <c r="A33" s="279" t="s">
        <v>58</v>
      </c>
      <c r="B33" s="280" t="s">
        <v>1422</v>
      </c>
      <c r="C33" s="281">
        <v>263</v>
      </c>
      <c r="D33" s="280">
        <v>279</v>
      </c>
      <c r="E33" s="280">
        <v>898</v>
      </c>
      <c r="F33" s="280">
        <v>263</v>
      </c>
      <c r="G33" s="280">
        <v>279</v>
      </c>
      <c r="H33" s="282"/>
      <c r="I33" s="179" t="b">
        <f t="shared" si="0"/>
        <v>0</v>
      </c>
      <c r="J33" s="179" t="b">
        <f t="shared" si="0"/>
        <v>0</v>
      </c>
      <c r="K33" s="179" t="b">
        <f t="shared" si="0"/>
        <v>1</v>
      </c>
    </row>
    <row r="34" spans="1:11" x14ac:dyDescent="0.25">
      <c r="A34" s="279" t="s">
        <v>58</v>
      </c>
      <c r="B34" s="280" t="s">
        <v>1422</v>
      </c>
      <c r="C34" s="281">
        <v>3691</v>
      </c>
      <c r="D34" s="280">
        <v>173</v>
      </c>
      <c r="E34" s="280">
        <v>12596</v>
      </c>
      <c r="F34" s="280">
        <v>3690</v>
      </c>
      <c r="G34" s="280">
        <v>173</v>
      </c>
      <c r="H34" s="282"/>
      <c r="I34" s="179" t="b">
        <f t="shared" si="0"/>
        <v>0</v>
      </c>
      <c r="J34" s="179" t="b">
        <f t="shared" si="0"/>
        <v>0</v>
      </c>
      <c r="K34" s="179" t="b">
        <f t="shared" si="0"/>
        <v>1</v>
      </c>
    </row>
    <row r="35" spans="1:11" x14ac:dyDescent="0.25">
      <c r="A35" s="279" t="s">
        <v>58</v>
      </c>
      <c r="B35" s="280" t="s">
        <v>1422</v>
      </c>
      <c r="C35" s="281">
        <v>193</v>
      </c>
      <c r="D35" s="280">
        <v>210</v>
      </c>
      <c r="E35" s="280">
        <v>660</v>
      </c>
      <c r="F35" s="280">
        <v>193</v>
      </c>
      <c r="G35" s="280">
        <v>210</v>
      </c>
      <c r="H35" s="282"/>
      <c r="I35" s="179" t="b">
        <f t="shared" si="0"/>
        <v>0</v>
      </c>
      <c r="J35" s="179" t="b">
        <f t="shared" si="0"/>
        <v>0</v>
      </c>
      <c r="K35" s="179" t="b">
        <f t="shared" si="0"/>
        <v>1</v>
      </c>
    </row>
    <row r="36" spans="1:11" x14ac:dyDescent="0.25">
      <c r="A36" s="279" t="s">
        <v>58</v>
      </c>
      <c r="B36" s="280" t="s">
        <v>1422</v>
      </c>
      <c r="C36" s="281">
        <v>618</v>
      </c>
      <c r="D36" s="280">
        <v>199</v>
      </c>
      <c r="E36" s="280">
        <v>2109</v>
      </c>
      <c r="F36" s="280">
        <v>618</v>
      </c>
      <c r="G36" s="280">
        <v>199</v>
      </c>
      <c r="H36" s="282"/>
      <c r="I36" s="179" t="b">
        <f t="shared" si="0"/>
        <v>0</v>
      </c>
      <c r="J36" s="179" t="b">
        <f t="shared" si="0"/>
        <v>0</v>
      </c>
      <c r="K36" s="179" t="b">
        <f t="shared" si="0"/>
        <v>1</v>
      </c>
    </row>
    <row r="37" spans="1:11" x14ac:dyDescent="0.25">
      <c r="A37" s="279" t="s">
        <v>58</v>
      </c>
      <c r="B37" s="280" t="s">
        <v>1422</v>
      </c>
      <c r="C37" s="281">
        <v>5363</v>
      </c>
      <c r="D37" s="280">
        <v>363</v>
      </c>
      <c r="E37" s="280">
        <v>18303</v>
      </c>
      <c r="F37" s="280">
        <v>5360</v>
      </c>
      <c r="G37" s="280">
        <v>363</v>
      </c>
      <c r="H37" s="282"/>
      <c r="I37" s="179" t="b">
        <f t="shared" si="0"/>
        <v>0</v>
      </c>
      <c r="J37" s="179" t="b">
        <f t="shared" si="0"/>
        <v>0</v>
      </c>
      <c r="K37" s="179" t="b">
        <f t="shared" si="0"/>
        <v>1</v>
      </c>
    </row>
    <row r="38" spans="1:11" x14ac:dyDescent="0.25">
      <c r="A38" s="279" t="s">
        <v>58</v>
      </c>
      <c r="B38" s="280" t="s">
        <v>1422</v>
      </c>
      <c r="C38" s="281">
        <v>0</v>
      </c>
      <c r="D38" s="280">
        <v>0</v>
      </c>
      <c r="E38" s="280">
        <v>0</v>
      </c>
      <c r="F38" s="280">
        <v>-445</v>
      </c>
      <c r="G38" s="280">
        <v>227</v>
      </c>
      <c r="H38" s="282"/>
      <c r="I38" s="179" t="e">
        <f t="shared" ref="I38:K53" si="1">IF(ABS((F38-C38)/C38)&gt;0.01,TRUE,FALSE)</f>
        <v>#DIV/0!</v>
      </c>
      <c r="J38" s="179" t="e">
        <f t="shared" si="1"/>
        <v>#DIV/0!</v>
      </c>
      <c r="K38" s="179" t="e">
        <f t="shared" si="1"/>
        <v>#DIV/0!</v>
      </c>
    </row>
    <row r="39" spans="1:11" x14ac:dyDescent="0.25">
      <c r="A39" s="279" t="s">
        <v>58</v>
      </c>
      <c r="B39" s="280" t="s">
        <v>1422</v>
      </c>
      <c r="C39" s="281">
        <v>335</v>
      </c>
      <c r="D39" s="280">
        <v>376</v>
      </c>
      <c r="E39" s="280">
        <v>1144</v>
      </c>
      <c r="F39" s="280">
        <v>335</v>
      </c>
      <c r="G39" s="280">
        <v>376</v>
      </c>
      <c r="H39" s="282"/>
      <c r="I39" s="179" t="b">
        <f t="shared" si="1"/>
        <v>0</v>
      </c>
      <c r="J39" s="179" t="b">
        <f t="shared" si="1"/>
        <v>0</v>
      </c>
      <c r="K39" s="179" t="b">
        <f t="shared" si="1"/>
        <v>1</v>
      </c>
    </row>
    <row r="40" spans="1:11" x14ac:dyDescent="0.25">
      <c r="A40" s="279" t="s">
        <v>58</v>
      </c>
      <c r="B40" s="280" t="s">
        <v>1422</v>
      </c>
      <c r="C40" s="281">
        <v>3046</v>
      </c>
      <c r="D40" s="280">
        <v>258</v>
      </c>
      <c r="E40" s="280">
        <v>10397</v>
      </c>
      <c r="F40" s="280">
        <v>3050</v>
      </c>
      <c r="G40" s="280">
        <v>258</v>
      </c>
      <c r="H40" s="282"/>
      <c r="I40" s="179" t="b">
        <f t="shared" si="1"/>
        <v>0</v>
      </c>
      <c r="J40" s="179" t="b">
        <f t="shared" si="1"/>
        <v>0</v>
      </c>
      <c r="K40" s="179" t="b">
        <f t="shared" si="1"/>
        <v>1</v>
      </c>
    </row>
    <row r="41" spans="1:11" x14ac:dyDescent="0.25">
      <c r="A41" s="279" t="s">
        <v>58</v>
      </c>
      <c r="B41" s="280" t="s">
        <v>1422</v>
      </c>
      <c r="C41" s="281">
        <v>3746</v>
      </c>
      <c r="D41" s="280">
        <v>206</v>
      </c>
      <c r="E41" s="280">
        <v>12784</v>
      </c>
      <c r="F41" s="280">
        <v>3750</v>
      </c>
      <c r="G41" s="280">
        <v>206</v>
      </c>
      <c r="H41" s="282"/>
      <c r="I41" s="179" t="b">
        <f t="shared" si="1"/>
        <v>0</v>
      </c>
      <c r="J41" s="179" t="b">
        <f t="shared" si="1"/>
        <v>0</v>
      </c>
      <c r="K41" s="179" t="b">
        <f t="shared" si="1"/>
        <v>1</v>
      </c>
    </row>
    <row r="42" spans="1:11" x14ac:dyDescent="0.25">
      <c r="A42" s="279" t="s">
        <v>58</v>
      </c>
      <c r="B42" s="280" t="s">
        <v>1422</v>
      </c>
      <c r="C42" s="281">
        <v>2450</v>
      </c>
      <c r="D42" s="280">
        <v>168</v>
      </c>
      <c r="E42" s="280">
        <v>8361</v>
      </c>
      <c r="F42" s="280">
        <v>2450</v>
      </c>
      <c r="G42" s="280">
        <v>168</v>
      </c>
      <c r="H42" s="282"/>
      <c r="I42" s="179" t="b">
        <f t="shared" si="1"/>
        <v>0</v>
      </c>
      <c r="J42" s="179" t="b">
        <f t="shared" si="1"/>
        <v>0</v>
      </c>
      <c r="K42" s="179" t="b">
        <f t="shared" si="1"/>
        <v>1</v>
      </c>
    </row>
    <row r="43" spans="1:11" x14ac:dyDescent="0.25">
      <c r="A43" s="279" t="s">
        <v>58</v>
      </c>
      <c r="B43" s="280" t="s">
        <v>1422</v>
      </c>
      <c r="C43" s="281">
        <v>14635</v>
      </c>
      <c r="D43" s="280">
        <v>254</v>
      </c>
      <c r="E43" s="280">
        <v>49949</v>
      </c>
      <c r="F43" s="280">
        <v>14600</v>
      </c>
      <c r="G43" s="280">
        <v>254</v>
      </c>
      <c r="H43" s="282"/>
      <c r="I43" s="179" t="b">
        <f t="shared" si="1"/>
        <v>0</v>
      </c>
      <c r="J43" s="179" t="b">
        <f t="shared" si="1"/>
        <v>0</v>
      </c>
      <c r="K43" s="179" t="b">
        <f t="shared" si="1"/>
        <v>1</v>
      </c>
    </row>
    <row r="44" spans="1:11" x14ac:dyDescent="0.25">
      <c r="A44" s="279" t="s">
        <v>58</v>
      </c>
      <c r="B44" s="280" t="s">
        <v>1422</v>
      </c>
      <c r="C44" s="281">
        <v>45</v>
      </c>
      <c r="D44" s="280">
        <v>394</v>
      </c>
      <c r="E44" s="280">
        <v>153</v>
      </c>
      <c r="F44" s="280">
        <v>45.1</v>
      </c>
      <c r="G44" s="280">
        <v>394</v>
      </c>
      <c r="H44" s="282"/>
      <c r="I44" s="179" t="b">
        <f t="shared" si="1"/>
        <v>0</v>
      </c>
      <c r="J44" s="179" t="b">
        <f t="shared" si="1"/>
        <v>0</v>
      </c>
      <c r="K44" s="179" t="b">
        <f t="shared" si="1"/>
        <v>1</v>
      </c>
    </row>
    <row r="45" spans="1:11" x14ac:dyDescent="0.25">
      <c r="A45" s="279" t="s">
        <v>58</v>
      </c>
      <c r="B45" s="280" t="s">
        <v>1422</v>
      </c>
      <c r="C45" s="281">
        <v>384</v>
      </c>
      <c r="D45" s="280">
        <v>535</v>
      </c>
      <c r="E45" s="280">
        <v>1310</v>
      </c>
      <c r="F45" s="280">
        <v>384</v>
      </c>
      <c r="G45" s="280">
        <v>535</v>
      </c>
      <c r="H45" s="282"/>
      <c r="I45" s="179" t="b">
        <f t="shared" si="1"/>
        <v>0</v>
      </c>
      <c r="J45" s="179" t="b">
        <f t="shared" si="1"/>
        <v>0</v>
      </c>
      <c r="K45" s="179" t="b">
        <f t="shared" si="1"/>
        <v>1</v>
      </c>
    </row>
    <row r="46" spans="1:11" x14ac:dyDescent="0.25">
      <c r="A46" s="279" t="s">
        <v>58</v>
      </c>
      <c r="B46" s="280" t="s">
        <v>1422</v>
      </c>
      <c r="C46" s="281">
        <v>553</v>
      </c>
      <c r="D46" s="280">
        <v>255</v>
      </c>
      <c r="E46" s="280">
        <v>1888</v>
      </c>
      <c r="F46" s="280">
        <v>553</v>
      </c>
      <c r="G46" s="280">
        <v>255</v>
      </c>
      <c r="H46" s="282"/>
      <c r="I46" s="179" t="b">
        <f t="shared" si="1"/>
        <v>0</v>
      </c>
      <c r="J46" s="179" t="b">
        <f t="shared" si="1"/>
        <v>0</v>
      </c>
      <c r="K46" s="179" t="b">
        <f t="shared" si="1"/>
        <v>1</v>
      </c>
    </row>
    <row r="47" spans="1:11" x14ac:dyDescent="0.25">
      <c r="A47" s="279" t="s">
        <v>58</v>
      </c>
      <c r="B47" s="280" t="s">
        <v>1422</v>
      </c>
      <c r="C47" s="281">
        <v>5574</v>
      </c>
      <c r="D47" s="280">
        <v>677</v>
      </c>
      <c r="E47" s="280">
        <v>19024</v>
      </c>
      <c r="F47" s="280">
        <v>5580</v>
      </c>
      <c r="G47" s="280">
        <v>677</v>
      </c>
      <c r="H47" s="282"/>
      <c r="I47" s="179" t="b">
        <f t="shared" si="1"/>
        <v>0</v>
      </c>
      <c r="J47" s="179" t="b">
        <f t="shared" si="1"/>
        <v>0</v>
      </c>
      <c r="K47" s="179" t="b">
        <f t="shared" si="1"/>
        <v>1</v>
      </c>
    </row>
    <row r="48" spans="1:11" x14ac:dyDescent="0.25">
      <c r="A48" s="279" t="s">
        <v>58</v>
      </c>
      <c r="B48" s="280" t="s">
        <v>1422</v>
      </c>
      <c r="C48" s="281">
        <v>528</v>
      </c>
      <c r="D48" s="280">
        <v>333</v>
      </c>
      <c r="E48" s="280">
        <v>1801</v>
      </c>
      <c r="F48" s="280">
        <v>528</v>
      </c>
      <c r="G48" s="280">
        <v>333</v>
      </c>
      <c r="H48" s="282"/>
      <c r="I48" s="179" t="b">
        <f t="shared" si="1"/>
        <v>0</v>
      </c>
      <c r="J48" s="179" t="b">
        <f t="shared" si="1"/>
        <v>0</v>
      </c>
      <c r="K48" s="179" t="b">
        <f t="shared" si="1"/>
        <v>1</v>
      </c>
    </row>
    <row r="49" spans="1:11" x14ac:dyDescent="0.25">
      <c r="A49" s="279" t="s">
        <v>58</v>
      </c>
      <c r="B49" s="280" t="s">
        <v>1422</v>
      </c>
      <c r="C49" s="281">
        <v>0</v>
      </c>
      <c r="D49" s="280">
        <v>0</v>
      </c>
      <c r="E49" s="280">
        <v>0</v>
      </c>
      <c r="F49" s="280">
        <v>2040</v>
      </c>
      <c r="G49" s="280">
        <v>264</v>
      </c>
      <c r="H49" s="282"/>
      <c r="I49" s="179" t="e">
        <f t="shared" si="1"/>
        <v>#DIV/0!</v>
      </c>
      <c r="J49" s="179" t="e">
        <f t="shared" si="1"/>
        <v>#DIV/0!</v>
      </c>
      <c r="K49" s="179" t="e">
        <f t="shared" si="1"/>
        <v>#DIV/0!</v>
      </c>
    </row>
    <row r="50" spans="1:11" x14ac:dyDescent="0.25">
      <c r="A50" s="279" t="s">
        <v>58</v>
      </c>
      <c r="B50" s="280" t="s">
        <v>1422</v>
      </c>
      <c r="C50" s="281">
        <v>2459</v>
      </c>
      <c r="D50" s="280">
        <v>342</v>
      </c>
      <c r="E50" s="280">
        <v>8393</v>
      </c>
      <c r="F50" s="280">
        <v>2460</v>
      </c>
      <c r="G50" s="280">
        <v>342</v>
      </c>
      <c r="H50" s="282"/>
      <c r="I50" s="179" t="b">
        <f t="shared" si="1"/>
        <v>0</v>
      </c>
      <c r="J50" s="179" t="b">
        <f t="shared" si="1"/>
        <v>0</v>
      </c>
      <c r="K50" s="179" t="b">
        <f t="shared" si="1"/>
        <v>1</v>
      </c>
    </row>
    <row r="51" spans="1:11" x14ac:dyDescent="0.25">
      <c r="A51" s="279" t="s">
        <v>58</v>
      </c>
      <c r="B51" s="280" t="s">
        <v>1422</v>
      </c>
      <c r="C51" s="281">
        <v>2844</v>
      </c>
      <c r="D51" s="280">
        <v>288</v>
      </c>
      <c r="E51" s="280">
        <v>9705</v>
      </c>
      <c r="F51" s="280">
        <v>2840</v>
      </c>
      <c r="G51" s="280">
        <v>288</v>
      </c>
      <c r="H51" s="282"/>
      <c r="I51" s="179" t="b">
        <f t="shared" si="1"/>
        <v>0</v>
      </c>
      <c r="J51" s="179" t="b">
        <f t="shared" si="1"/>
        <v>0</v>
      </c>
      <c r="K51" s="179" t="b">
        <f t="shared" si="1"/>
        <v>1</v>
      </c>
    </row>
    <row r="52" spans="1:11" x14ac:dyDescent="0.25">
      <c r="A52" s="279" t="s">
        <v>58</v>
      </c>
      <c r="B52" s="280" t="s">
        <v>1422</v>
      </c>
      <c r="C52" s="281">
        <v>476</v>
      </c>
      <c r="D52" s="280">
        <v>399</v>
      </c>
      <c r="E52" s="280">
        <v>1626</v>
      </c>
      <c r="F52" s="280">
        <v>477</v>
      </c>
      <c r="G52" s="280">
        <v>399</v>
      </c>
      <c r="H52" s="282"/>
      <c r="I52" s="179" t="b">
        <f t="shared" si="1"/>
        <v>0</v>
      </c>
      <c r="J52" s="179" t="b">
        <f t="shared" si="1"/>
        <v>0</v>
      </c>
      <c r="K52" s="179" t="b">
        <f t="shared" si="1"/>
        <v>1</v>
      </c>
    </row>
    <row r="53" spans="1:11" x14ac:dyDescent="0.25">
      <c r="A53" s="279" t="s">
        <v>58</v>
      </c>
      <c r="B53" s="280" t="s">
        <v>1422</v>
      </c>
      <c r="C53" s="281">
        <v>1545</v>
      </c>
      <c r="D53" s="280">
        <v>116</v>
      </c>
      <c r="E53" s="280">
        <v>5274</v>
      </c>
      <c r="F53" s="280">
        <v>1550</v>
      </c>
      <c r="G53" s="280">
        <v>116</v>
      </c>
      <c r="H53" s="282"/>
      <c r="I53" s="179" t="b">
        <f t="shared" si="1"/>
        <v>0</v>
      </c>
      <c r="J53" s="179" t="b">
        <f t="shared" si="1"/>
        <v>0</v>
      </c>
      <c r="K53" s="179" t="b">
        <f t="shared" si="1"/>
        <v>1</v>
      </c>
    </row>
    <row r="54" spans="1:11" x14ac:dyDescent="0.25">
      <c r="A54" s="279" t="s">
        <v>58</v>
      </c>
      <c r="B54" s="280" t="s">
        <v>1422</v>
      </c>
      <c r="C54" s="281">
        <v>1183</v>
      </c>
      <c r="D54" s="280">
        <v>835</v>
      </c>
      <c r="E54" s="280">
        <v>4036</v>
      </c>
      <c r="F54" s="280">
        <v>1180</v>
      </c>
      <c r="G54" s="280">
        <v>835</v>
      </c>
      <c r="H54" s="282"/>
      <c r="I54" s="179" t="b">
        <f t="shared" ref="I54:K69" si="2">IF(ABS((F54-C54)/C54)&gt;0.01,TRUE,FALSE)</f>
        <v>0</v>
      </c>
      <c r="J54" s="179" t="b">
        <f t="shared" si="2"/>
        <v>0</v>
      </c>
      <c r="K54" s="179" t="b">
        <f t="shared" si="2"/>
        <v>1</v>
      </c>
    </row>
    <row r="55" spans="1:11" x14ac:dyDescent="0.25">
      <c r="A55" s="279" t="s">
        <v>58</v>
      </c>
      <c r="B55" s="280" t="s">
        <v>1422</v>
      </c>
      <c r="C55" s="281">
        <v>3869</v>
      </c>
      <c r="D55" s="280">
        <v>191</v>
      </c>
      <c r="E55" s="280">
        <v>13204</v>
      </c>
      <c r="F55" s="280">
        <v>3870</v>
      </c>
      <c r="G55" s="280">
        <v>191</v>
      </c>
      <c r="H55" s="282"/>
      <c r="I55" s="179" t="b">
        <f t="shared" si="2"/>
        <v>0</v>
      </c>
      <c r="J55" s="179" t="b">
        <f t="shared" si="2"/>
        <v>0</v>
      </c>
      <c r="K55" s="179" t="b">
        <f t="shared" si="2"/>
        <v>1</v>
      </c>
    </row>
    <row r="56" spans="1:11" x14ac:dyDescent="0.25">
      <c r="A56" s="279" t="s">
        <v>58</v>
      </c>
      <c r="B56" s="280" t="s">
        <v>1422</v>
      </c>
      <c r="C56" s="281">
        <v>1262</v>
      </c>
      <c r="D56" s="280">
        <v>257</v>
      </c>
      <c r="E56" s="280">
        <v>4307</v>
      </c>
      <c r="F56" s="280">
        <v>1260</v>
      </c>
      <c r="G56" s="280">
        <v>257</v>
      </c>
      <c r="H56" s="282"/>
      <c r="I56" s="179" t="b">
        <f t="shared" si="2"/>
        <v>0</v>
      </c>
      <c r="J56" s="179" t="b">
        <f t="shared" si="2"/>
        <v>0</v>
      </c>
      <c r="K56" s="179" t="b">
        <f t="shared" si="2"/>
        <v>1</v>
      </c>
    </row>
    <row r="57" spans="1:11" x14ac:dyDescent="0.25">
      <c r="A57" s="279" t="s">
        <v>58</v>
      </c>
      <c r="B57" s="280" t="s">
        <v>1422</v>
      </c>
      <c r="C57" s="281">
        <v>128</v>
      </c>
      <c r="D57" s="280">
        <v>239</v>
      </c>
      <c r="E57" s="280">
        <v>438</v>
      </c>
      <c r="F57" s="280">
        <v>128</v>
      </c>
      <c r="G57" s="280">
        <v>239</v>
      </c>
      <c r="H57" s="282"/>
      <c r="I57" s="179" t="b">
        <f t="shared" si="2"/>
        <v>0</v>
      </c>
      <c r="J57" s="179" t="b">
        <f t="shared" si="2"/>
        <v>0</v>
      </c>
      <c r="K57" s="179" t="b">
        <f t="shared" si="2"/>
        <v>1</v>
      </c>
    </row>
    <row r="58" spans="1:11" x14ac:dyDescent="0.25">
      <c r="A58" s="279" t="s">
        <v>58</v>
      </c>
      <c r="B58" s="280" t="s">
        <v>1422</v>
      </c>
      <c r="C58" s="281">
        <v>276</v>
      </c>
      <c r="D58" s="280">
        <v>183</v>
      </c>
      <c r="E58" s="280">
        <v>943</v>
      </c>
      <c r="F58" s="280">
        <v>276</v>
      </c>
      <c r="G58" s="280">
        <v>183</v>
      </c>
      <c r="H58" s="282"/>
      <c r="I58" s="179" t="b">
        <f t="shared" si="2"/>
        <v>0</v>
      </c>
      <c r="J58" s="179" t="b">
        <f t="shared" si="2"/>
        <v>0</v>
      </c>
      <c r="K58" s="179" t="b">
        <f t="shared" si="2"/>
        <v>1</v>
      </c>
    </row>
    <row r="59" spans="1:11" x14ac:dyDescent="0.25">
      <c r="A59" s="279" t="s">
        <v>58</v>
      </c>
      <c r="B59" s="280" t="s">
        <v>1422</v>
      </c>
      <c r="C59" s="281">
        <v>2747</v>
      </c>
      <c r="D59" s="280">
        <v>205</v>
      </c>
      <c r="E59" s="280">
        <v>9374</v>
      </c>
      <c r="F59" s="280">
        <v>2750</v>
      </c>
      <c r="G59" s="280">
        <v>205</v>
      </c>
      <c r="H59" s="282"/>
      <c r="I59" s="179" t="b">
        <f t="shared" si="2"/>
        <v>0</v>
      </c>
      <c r="J59" s="179" t="b">
        <f t="shared" si="2"/>
        <v>0</v>
      </c>
      <c r="K59" s="179" t="b">
        <f t="shared" si="2"/>
        <v>1</v>
      </c>
    </row>
    <row r="60" spans="1:11" x14ac:dyDescent="0.25">
      <c r="A60" s="279" t="s">
        <v>58</v>
      </c>
      <c r="B60" s="280" t="s">
        <v>1422</v>
      </c>
      <c r="C60" s="281">
        <v>4367</v>
      </c>
      <c r="D60" s="280">
        <v>275</v>
      </c>
      <c r="E60" s="280">
        <v>14905</v>
      </c>
      <c r="F60" s="280">
        <v>4370</v>
      </c>
      <c r="G60" s="280">
        <v>275</v>
      </c>
      <c r="H60" s="282"/>
      <c r="I60" s="179" t="b">
        <f t="shared" si="2"/>
        <v>0</v>
      </c>
      <c r="J60" s="179" t="b">
        <f t="shared" si="2"/>
        <v>0</v>
      </c>
      <c r="K60" s="179" t="b">
        <f t="shared" si="2"/>
        <v>1</v>
      </c>
    </row>
    <row r="61" spans="1:11" x14ac:dyDescent="0.25">
      <c r="A61" s="279" t="s">
        <v>58</v>
      </c>
      <c r="B61" s="280" t="s">
        <v>1422</v>
      </c>
      <c r="C61" s="281">
        <v>723</v>
      </c>
      <c r="D61" s="280">
        <v>273</v>
      </c>
      <c r="E61" s="280">
        <v>2468</v>
      </c>
      <c r="F61" s="280">
        <v>723</v>
      </c>
      <c r="G61" s="280">
        <v>273</v>
      </c>
      <c r="H61" s="282"/>
      <c r="I61" s="179" t="b">
        <f t="shared" si="2"/>
        <v>0</v>
      </c>
      <c r="J61" s="179" t="b">
        <f t="shared" si="2"/>
        <v>0</v>
      </c>
      <c r="K61" s="179" t="b">
        <f t="shared" si="2"/>
        <v>1</v>
      </c>
    </row>
    <row r="62" spans="1:11" x14ac:dyDescent="0.25">
      <c r="A62" s="279" t="s">
        <v>58</v>
      </c>
      <c r="B62" s="280" t="s">
        <v>1422</v>
      </c>
      <c r="C62" s="281">
        <v>502</v>
      </c>
      <c r="D62" s="280">
        <v>348</v>
      </c>
      <c r="E62" s="280">
        <v>1712</v>
      </c>
      <c r="F62" s="280">
        <v>502</v>
      </c>
      <c r="G62" s="280">
        <v>348</v>
      </c>
      <c r="H62" s="282"/>
      <c r="I62" s="179" t="b">
        <f t="shared" si="2"/>
        <v>0</v>
      </c>
      <c r="J62" s="179" t="b">
        <f t="shared" si="2"/>
        <v>0</v>
      </c>
      <c r="K62" s="179" t="b">
        <f t="shared" si="2"/>
        <v>1</v>
      </c>
    </row>
    <row r="63" spans="1:11" x14ac:dyDescent="0.25">
      <c r="A63" s="279" t="s">
        <v>58</v>
      </c>
      <c r="B63" s="280" t="s">
        <v>1422</v>
      </c>
      <c r="C63" s="281">
        <v>0</v>
      </c>
      <c r="D63" s="280">
        <v>0</v>
      </c>
      <c r="E63" s="280">
        <v>0</v>
      </c>
      <c r="F63" s="280">
        <v>400</v>
      </c>
      <c r="G63" s="280">
        <v>474</v>
      </c>
      <c r="H63" s="282"/>
      <c r="I63" s="179" t="e">
        <f t="shared" si="2"/>
        <v>#DIV/0!</v>
      </c>
      <c r="J63" s="179" t="e">
        <f t="shared" si="2"/>
        <v>#DIV/0!</v>
      </c>
      <c r="K63" s="179" t="e">
        <f t="shared" si="2"/>
        <v>#DIV/0!</v>
      </c>
    </row>
    <row r="64" spans="1:11" x14ac:dyDescent="0.25">
      <c r="A64" s="279" t="s">
        <v>58</v>
      </c>
      <c r="B64" s="280" t="s">
        <v>1422</v>
      </c>
      <c r="C64" s="281">
        <v>5461</v>
      </c>
      <c r="D64" s="280">
        <v>254</v>
      </c>
      <c r="E64" s="280">
        <v>18638</v>
      </c>
      <c r="F64" s="280">
        <v>5460</v>
      </c>
      <c r="G64" s="280">
        <v>254</v>
      </c>
      <c r="H64" s="282"/>
      <c r="I64" s="179" t="b">
        <f t="shared" si="2"/>
        <v>0</v>
      </c>
      <c r="J64" s="179" t="b">
        <f t="shared" si="2"/>
        <v>0</v>
      </c>
      <c r="K64" s="179" t="b">
        <f t="shared" si="2"/>
        <v>1</v>
      </c>
    </row>
    <row r="65" spans="1:11" x14ac:dyDescent="0.25">
      <c r="A65" s="279" t="s">
        <v>58</v>
      </c>
      <c r="B65" s="280" t="s">
        <v>1422</v>
      </c>
      <c r="C65" s="281">
        <v>3607</v>
      </c>
      <c r="D65" s="280">
        <v>126</v>
      </c>
      <c r="E65" s="280">
        <v>12310</v>
      </c>
      <c r="F65" s="280">
        <v>3610</v>
      </c>
      <c r="G65" s="280">
        <v>126</v>
      </c>
      <c r="H65" s="282"/>
      <c r="I65" s="179" t="b">
        <f t="shared" si="2"/>
        <v>0</v>
      </c>
      <c r="J65" s="179" t="b">
        <f t="shared" si="2"/>
        <v>0</v>
      </c>
      <c r="K65" s="179" t="b">
        <f t="shared" si="2"/>
        <v>1</v>
      </c>
    </row>
    <row r="66" spans="1:11" x14ac:dyDescent="0.25">
      <c r="A66" s="279" t="s">
        <v>58</v>
      </c>
      <c r="B66" s="280" t="s">
        <v>1422</v>
      </c>
      <c r="C66" s="281">
        <v>675</v>
      </c>
      <c r="D66" s="280">
        <v>466</v>
      </c>
      <c r="E66" s="280">
        <v>2304</v>
      </c>
      <c r="F66" s="280">
        <v>675</v>
      </c>
      <c r="G66" s="280">
        <v>466</v>
      </c>
      <c r="H66" s="282"/>
      <c r="I66" s="179" t="b">
        <f t="shared" si="2"/>
        <v>0</v>
      </c>
      <c r="J66" s="179" t="b">
        <f t="shared" si="2"/>
        <v>0</v>
      </c>
      <c r="K66" s="179" t="b">
        <f t="shared" si="2"/>
        <v>1</v>
      </c>
    </row>
    <row r="67" spans="1:11" x14ac:dyDescent="0.25">
      <c r="A67" s="279" t="s">
        <v>58</v>
      </c>
      <c r="B67" s="280" t="s">
        <v>1422</v>
      </c>
      <c r="C67" s="281">
        <v>2895</v>
      </c>
      <c r="D67" s="280">
        <v>145</v>
      </c>
      <c r="E67" s="280">
        <v>9881</v>
      </c>
      <c r="F67" s="280">
        <v>2900</v>
      </c>
      <c r="G67" s="280">
        <v>145</v>
      </c>
      <c r="H67" s="282"/>
      <c r="I67" s="179" t="b">
        <f t="shared" si="2"/>
        <v>0</v>
      </c>
      <c r="J67" s="179" t="b">
        <f t="shared" si="2"/>
        <v>0</v>
      </c>
      <c r="K67" s="179" t="b">
        <f t="shared" si="2"/>
        <v>1</v>
      </c>
    </row>
    <row r="68" spans="1:11" x14ac:dyDescent="0.25">
      <c r="A68" s="279" t="s">
        <v>58</v>
      </c>
      <c r="B68" s="280" t="s">
        <v>1422</v>
      </c>
      <c r="C68" s="281">
        <v>442</v>
      </c>
      <c r="D68" s="280">
        <v>222</v>
      </c>
      <c r="E68" s="280">
        <v>1509</v>
      </c>
      <c r="F68" s="280">
        <v>442</v>
      </c>
      <c r="G68" s="280">
        <v>222</v>
      </c>
      <c r="H68" s="282"/>
      <c r="I68" s="179" t="b">
        <f t="shared" si="2"/>
        <v>0</v>
      </c>
      <c r="J68" s="179" t="b">
        <f t="shared" si="2"/>
        <v>0</v>
      </c>
      <c r="K68" s="179" t="b">
        <f t="shared" si="2"/>
        <v>1</v>
      </c>
    </row>
    <row r="69" spans="1:11" x14ac:dyDescent="0.25">
      <c r="A69" s="279" t="s">
        <v>58</v>
      </c>
      <c r="B69" s="280" t="s">
        <v>1422</v>
      </c>
      <c r="C69" s="281">
        <v>-1124</v>
      </c>
      <c r="D69" s="280">
        <v>305</v>
      </c>
      <c r="E69" s="280">
        <v>-3835</v>
      </c>
      <c r="F69" s="280">
        <v>-1120</v>
      </c>
      <c r="G69" s="280">
        <v>305</v>
      </c>
      <c r="H69" s="282"/>
      <c r="I69" s="179" t="b">
        <f t="shared" si="2"/>
        <v>0</v>
      </c>
      <c r="J69" s="179" t="b">
        <f t="shared" si="2"/>
        <v>0</v>
      </c>
      <c r="K69" s="179" t="b">
        <f t="shared" si="2"/>
        <v>1</v>
      </c>
    </row>
  </sheetData>
  <customSheetViews>
    <customSheetView guid="{679A3195-3DEA-4AC2-A535-82AAF5B552BC}" state="hidden">
      <selection activeCell="A7" sqref="A7"/>
      <pageMargins left="0.7" right="0.7" top="0.75" bottom="0.75" header="0.3" footer="0.3"/>
    </customSheetView>
    <customSheetView guid="{7378B641-E8D1-4C14-8151-CF4CE159D121}">
      <selection activeCell="G18" sqref="G18"/>
      <pageMargins left="0.7" right="0.7" top="0.75" bottom="0.75" header="0.3" footer="0.3"/>
    </customSheetView>
    <customSheetView guid="{6D63B10B-E1E6-452A-80EB-4B2C7D61CF66}" state="hidden">
      <selection activeCell="A7" sqref="A7"/>
      <pageMargins left="0.7" right="0.7" top="0.75" bottom="0.75" header="0.3" footer="0.3"/>
    </customSheetView>
  </customSheetViews>
  <conditionalFormatting sqref="I2:K69">
    <cfRule type="cellIs" dxfId="0" priority="1" operator="equal">
      <formula>TRUE</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6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3" customWidth="1"/>
    <col min="5" max="5" width="20.140625" customWidth="1"/>
    <col min="6" max="6" width="14" customWidth="1"/>
    <col min="7" max="7" width="17.85546875" customWidth="1"/>
    <col min="8" max="8" width="18.28515625" customWidth="1"/>
    <col min="9" max="9" width="13.85546875" customWidth="1"/>
    <col min="10" max="10" width="12.140625" customWidth="1"/>
    <col min="11" max="11" width="12.28515625" customWidth="1"/>
  </cols>
  <sheetData>
    <row r="1" spans="1:11" ht="18.75" customHeight="1" x14ac:dyDescent="0.25">
      <c r="A1" s="3" t="s">
        <v>26</v>
      </c>
      <c r="B1" s="4" t="s">
        <v>3199</v>
      </c>
      <c r="C1" s="535" t="s">
        <v>3058</v>
      </c>
      <c r="D1" s="558" t="str">
        <f>B1</f>
        <v>Site inspections summary (Evaluation on-site surveys of PG&amp;E sites)</v>
      </c>
    </row>
    <row r="2" spans="1:11" x14ac:dyDescent="0.25">
      <c r="A2" t="s">
        <v>20</v>
      </c>
      <c r="B2" s="2" t="s">
        <v>58</v>
      </c>
      <c r="C2" s="536" t="s">
        <v>3059</v>
      </c>
    </row>
    <row r="3" spans="1:11" x14ac:dyDescent="0.25">
      <c r="A3" t="s">
        <v>1184</v>
      </c>
      <c r="B3" s="2" t="s">
        <v>3150</v>
      </c>
      <c r="C3" s="536" t="s">
        <v>1193</v>
      </c>
    </row>
    <row r="4" spans="1:11" ht="57" x14ac:dyDescent="0.25">
      <c r="B4" s="2"/>
      <c r="C4" s="2"/>
      <c r="D4" s="5"/>
      <c r="E4" s="605" t="str">
        <f>'16D'!B1</f>
        <v>Percent change in savings, application to reviewed</v>
      </c>
      <c r="F4" s="605" t="str">
        <f>'16D'!C1</f>
        <v>House leakage</v>
      </c>
      <c r="G4" s="605" t="str">
        <f>'16D'!D1</f>
        <v>Duct leakage</v>
      </c>
      <c r="H4" s="605" t="str">
        <f>'16D'!E1</f>
        <v>Model parameters</v>
      </c>
      <c r="I4" s="605" t="str">
        <f>'16D'!F1</f>
        <v>Measures installed</v>
      </c>
      <c r="J4" s="605" t="str">
        <f>'16D'!G1</f>
        <v>Measure quality</v>
      </c>
      <c r="K4" s="605" t="str">
        <f>'16D'!H1</f>
        <v>Safety</v>
      </c>
    </row>
    <row r="5" spans="1:11" ht="79.5" customHeight="1" x14ac:dyDescent="0.25">
      <c r="B5" s="2"/>
      <c r="C5" s="2"/>
      <c r="D5" s="81" t="str">
        <f>'16D'!A2</f>
        <v>Site 1</v>
      </c>
      <c r="E5" s="633">
        <f>'16D'!B2</f>
        <v>-0.23008849557522132</v>
      </c>
      <c r="F5" s="609" t="str">
        <f>'16D'!C2</f>
        <v>Failed - inspector was unable to reach -50 pascals pressure; contractor reported successful test</v>
      </c>
      <c r="G5" s="609" t="str">
        <f>'16D'!D2</f>
        <v>Pass</v>
      </c>
      <c r="H5" s="83" t="str">
        <f>'16D'!E2</f>
        <v>Fail - significant differences were found in building layout</v>
      </c>
      <c r="I5" s="83" t="str">
        <f>'16D'!F2</f>
        <v>Pass</v>
      </c>
      <c r="J5" s="83" t="str">
        <f>'16D'!G2</f>
        <v>Pass</v>
      </c>
      <c r="K5" s="83" t="str">
        <f>'16D'!H2</f>
        <v>Pass</v>
      </c>
    </row>
    <row r="6" spans="1:11" ht="75" x14ac:dyDescent="0.25">
      <c r="D6" s="81" t="str">
        <f>'16D'!A3</f>
        <v>Site 2</v>
      </c>
      <c r="E6" s="288">
        <f>'16D'!B3</f>
        <v>-0.20521172638436483</v>
      </c>
      <c r="F6" s="83" t="str">
        <f>'16D'!C3</f>
        <v>Pass</v>
      </c>
      <c r="G6" s="83" t="str">
        <f>'16D'!D3</f>
        <v>Fail - leakage was more than double that submitted</v>
      </c>
      <c r="H6" s="83" t="str">
        <f>'16D'!E3</f>
        <v>Fail - significant differences were found in building layout</v>
      </c>
      <c r="I6" s="83" t="str">
        <f>'16D'!F3</f>
        <v>Pass</v>
      </c>
      <c r="J6" s="83" t="str">
        <f>'16D'!G3</f>
        <v>Fail - attic insulation not uniformly applied</v>
      </c>
      <c r="K6" s="83" t="str">
        <f>'16D'!H3</f>
        <v>Fail - gas leak found</v>
      </c>
    </row>
    <row r="7" spans="1:11" ht="120" x14ac:dyDescent="0.25">
      <c r="D7" s="81" t="str">
        <f>'16D'!A4</f>
        <v>Site 3</v>
      </c>
      <c r="E7" s="288">
        <f>'16D'!B4</f>
        <v>-9.5049504950495023E-2</v>
      </c>
      <c r="F7" s="83" t="str">
        <f>'16D'!C4</f>
        <v>Pass</v>
      </c>
      <c r="G7" s="248" t="str">
        <f>'16D'!D4</f>
        <v>Pass</v>
      </c>
      <c r="H7" s="83" t="str">
        <f>'16D'!E4</f>
        <v>Pass - minor discrepancies found</v>
      </c>
      <c r="I7" s="83" t="str">
        <f>'16D'!F4</f>
        <v>Pass</v>
      </c>
      <c r="J7" s="83" t="str">
        <f>'16D'!G4</f>
        <v>Pass</v>
      </c>
      <c r="K7" s="83" t="str">
        <f>'16D'!H4</f>
        <v>Fail - floor insulation constitutes fire and mold hazard as installed;
gas leak found</v>
      </c>
    </row>
    <row r="8" spans="1:11" ht="45" x14ac:dyDescent="0.25">
      <c r="D8" s="81" t="str">
        <f>'16D'!A5</f>
        <v>Site 4</v>
      </c>
      <c r="E8" s="288">
        <f>'16D'!B5</f>
        <v>-9.5785440613026906E-2</v>
      </c>
      <c r="F8" s="83" t="str">
        <f>'16D'!C5</f>
        <v>Pass</v>
      </c>
      <c r="G8" s="83" t="str">
        <f>'16D'!D5</f>
        <v>Pass</v>
      </c>
      <c r="H8" s="83" t="str">
        <f>'16D'!E5</f>
        <v>Pass - minor discrepancies found</v>
      </c>
      <c r="I8" s="83" t="str">
        <f>'16D'!F5</f>
        <v>Pass</v>
      </c>
      <c r="J8" s="83" t="str">
        <f>'16D'!G5</f>
        <v>Pass</v>
      </c>
      <c r="K8" s="83" t="str">
        <f>'16D'!H5</f>
        <v>Pass</v>
      </c>
    </row>
    <row r="9" spans="1:11" x14ac:dyDescent="0.25">
      <c r="D9" s="81"/>
      <c r="E9" s="83"/>
      <c r="F9" s="83"/>
    </row>
    <row r="10" spans="1:11" x14ac:dyDescent="0.25">
      <c r="D10" s="81"/>
      <c r="E10" s="83"/>
      <c r="F10" s="83"/>
    </row>
    <row r="11" spans="1:11" x14ac:dyDescent="0.25">
      <c r="D11" s="81"/>
      <c r="E11" s="83"/>
      <c r="F11" s="83"/>
    </row>
    <row r="12" spans="1:11" x14ac:dyDescent="0.25">
      <c r="D12" s="81"/>
      <c r="E12" s="82"/>
      <c r="F12" s="84"/>
    </row>
    <row r="13" spans="1:11" x14ac:dyDescent="0.25">
      <c r="D13" s="81"/>
      <c r="E13" s="82"/>
      <c r="F13" s="84"/>
    </row>
    <row r="14" spans="1:11" x14ac:dyDescent="0.25">
      <c r="D14" s="81"/>
      <c r="E14" s="82"/>
      <c r="F14" s="84"/>
    </row>
    <row r="15" spans="1:11" x14ac:dyDescent="0.25">
      <c r="D15" s="81"/>
      <c r="E15" s="82"/>
    </row>
    <row r="16" spans="1:11" x14ac:dyDescent="0.25">
      <c r="D16" s="81"/>
      <c r="E16" s="82"/>
    </row>
    <row r="17" spans="4:5" x14ac:dyDescent="0.25">
      <c r="D17" s="81"/>
      <c r="E17" s="82"/>
    </row>
    <row r="18" spans="4:5" x14ac:dyDescent="0.25">
      <c r="D18" s="81"/>
      <c r="E18" s="82"/>
    </row>
    <row r="19" spans="4:5" x14ac:dyDescent="0.25">
      <c r="D19" s="81"/>
      <c r="E19" s="82"/>
    </row>
    <row r="20" spans="4:5" x14ac:dyDescent="0.25">
      <c r="D20" s="81"/>
      <c r="E20" s="82"/>
    </row>
    <row r="21" spans="4:5" x14ac:dyDescent="0.25">
      <c r="D21" s="81"/>
      <c r="E21" s="82"/>
    </row>
    <row r="22" spans="4:5" x14ac:dyDescent="0.25">
      <c r="D22" s="81"/>
      <c r="E22" s="82"/>
    </row>
    <row r="23" spans="4:5" x14ac:dyDescent="0.25">
      <c r="D23" s="81"/>
      <c r="E23" s="82"/>
    </row>
    <row r="24" spans="4:5" x14ac:dyDescent="0.25">
      <c r="D24" s="81"/>
      <c r="E24" s="82"/>
    </row>
    <row r="25" spans="4:5" x14ac:dyDescent="0.25">
      <c r="D25" s="81"/>
      <c r="E25" s="82"/>
    </row>
    <row r="26" spans="4:5" x14ac:dyDescent="0.25">
      <c r="D26" s="81"/>
      <c r="E26" s="82"/>
    </row>
    <row r="27" spans="4:5" x14ac:dyDescent="0.25">
      <c r="D27" s="81"/>
      <c r="E27" s="82"/>
    </row>
    <row r="28" spans="4:5" x14ac:dyDescent="0.25">
      <c r="D28" s="81"/>
      <c r="E28" s="82"/>
    </row>
    <row r="29" spans="4:5" x14ac:dyDescent="0.25">
      <c r="D29" s="81"/>
      <c r="E29" s="82"/>
    </row>
    <row r="30" spans="4:5" x14ac:dyDescent="0.25">
      <c r="D30" s="81"/>
      <c r="E30" s="82"/>
    </row>
    <row r="31" spans="4:5" x14ac:dyDescent="0.25">
      <c r="D31" s="81"/>
      <c r="E31" s="82"/>
    </row>
    <row r="32" spans="4:5" x14ac:dyDescent="0.25">
      <c r="D32" s="81"/>
      <c r="E32" s="82"/>
    </row>
    <row r="33" spans="4:5" x14ac:dyDescent="0.25">
      <c r="D33" s="81"/>
      <c r="E33" s="82"/>
    </row>
    <row r="34" spans="4:5" x14ac:dyDescent="0.25">
      <c r="D34" s="81"/>
      <c r="E34" s="82"/>
    </row>
    <row r="35" spans="4:5" x14ac:dyDescent="0.25">
      <c r="D35" s="81"/>
      <c r="E35" s="82"/>
    </row>
    <row r="36" spans="4:5" x14ac:dyDescent="0.25">
      <c r="D36" s="81"/>
      <c r="E36" s="82"/>
    </row>
    <row r="37" spans="4:5" x14ac:dyDescent="0.25">
      <c r="D37" s="81"/>
      <c r="E37" s="82"/>
    </row>
    <row r="38" spans="4:5" x14ac:dyDescent="0.25">
      <c r="D38" s="81"/>
      <c r="E38" s="82"/>
    </row>
    <row r="39" spans="4:5" x14ac:dyDescent="0.25">
      <c r="D39" s="81"/>
      <c r="E39" s="82"/>
    </row>
    <row r="40" spans="4:5" x14ac:dyDescent="0.25">
      <c r="D40" s="81"/>
      <c r="E40" s="82"/>
    </row>
    <row r="41" spans="4:5" x14ac:dyDescent="0.25">
      <c r="D41" s="81"/>
      <c r="E41" s="82"/>
    </row>
    <row r="42" spans="4:5" x14ac:dyDescent="0.25">
      <c r="D42" s="81"/>
      <c r="E42" s="82"/>
    </row>
    <row r="43" spans="4:5" x14ac:dyDescent="0.25">
      <c r="D43" s="81"/>
      <c r="E43" s="82"/>
    </row>
    <row r="44" spans="4:5" x14ac:dyDescent="0.25">
      <c r="D44" s="81"/>
      <c r="E44" s="82"/>
    </row>
    <row r="45" spans="4:5" x14ac:dyDescent="0.25">
      <c r="D45" s="81"/>
      <c r="E45" s="82"/>
    </row>
    <row r="46" spans="4:5" x14ac:dyDescent="0.25">
      <c r="D46" s="81"/>
      <c r="E46" s="82"/>
    </row>
    <row r="47" spans="4:5" x14ac:dyDescent="0.25">
      <c r="D47" s="81"/>
      <c r="E47" s="82"/>
    </row>
    <row r="48" spans="4:5" x14ac:dyDescent="0.25">
      <c r="D48" s="81"/>
      <c r="E48" s="82"/>
    </row>
    <row r="49" spans="5:5" x14ac:dyDescent="0.25">
      <c r="E49" s="82"/>
    </row>
    <row r="50" spans="5:5" x14ac:dyDescent="0.25">
      <c r="E50" s="82"/>
    </row>
    <row r="51" spans="5:5" x14ac:dyDescent="0.25">
      <c r="E51" s="82"/>
    </row>
    <row r="52" spans="5:5" x14ac:dyDescent="0.25">
      <c r="E52" s="82"/>
    </row>
    <row r="53" spans="5:5" x14ac:dyDescent="0.25">
      <c r="E53" s="82"/>
    </row>
    <row r="54" spans="5:5" x14ac:dyDescent="0.25">
      <c r="E54" s="82"/>
    </row>
    <row r="55" spans="5:5" x14ac:dyDescent="0.25">
      <c r="E55" s="82"/>
    </row>
    <row r="56" spans="5:5" x14ac:dyDescent="0.25">
      <c r="E56" s="82"/>
    </row>
    <row r="57" spans="5:5" x14ac:dyDescent="0.25">
      <c r="E57" s="82"/>
    </row>
    <row r="58" spans="5:5" x14ac:dyDescent="0.25">
      <c r="E58" s="82"/>
    </row>
    <row r="59" spans="5:5" x14ac:dyDescent="0.25">
      <c r="E59" s="82"/>
    </row>
    <row r="60" spans="5:5" x14ac:dyDescent="0.25">
      <c r="E60" s="82"/>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I19" sqref="I19"/>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S302"/>
  <sheetViews>
    <sheetView workbookViewId="0">
      <selection activeCell="A7" sqref="A7"/>
    </sheetView>
  </sheetViews>
  <sheetFormatPr defaultRowHeight="15" x14ac:dyDescent="0.25"/>
  <cols>
    <col min="1" max="1" width="16.5703125" customWidth="1"/>
    <col min="2" max="5" width="20.7109375" customWidth="1"/>
    <col min="6" max="6" width="16.7109375" customWidth="1"/>
    <col min="7" max="7" width="22.140625" customWidth="1"/>
    <col min="8" max="8" width="22.42578125" customWidth="1"/>
    <col min="9" max="19" width="16.7109375" customWidth="1"/>
  </cols>
  <sheetData>
    <row r="1" spans="1:19" ht="45" x14ac:dyDescent="0.25">
      <c r="A1" s="253"/>
      <c r="B1" s="253" t="s">
        <v>2234</v>
      </c>
      <c r="C1" s="253" t="s">
        <v>2235</v>
      </c>
      <c r="D1" s="243" t="s">
        <v>2236</v>
      </c>
      <c r="E1" s="243" t="s">
        <v>2237</v>
      </c>
      <c r="F1" s="243" t="s">
        <v>2238</v>
      </c>
      <c r="G1" s="241" t="s">
        <v>2239</v>
      </c>
      <c r="H1" s="86" t="s">
        <v>2240</v>
      </c>
      <c r="I1" s="256" t="s">
        <v>2241</v>
      </c>
      <c r="J1" s="256" t="s">
        <v>2242</v>
      </c>
      <c r="K1" s="256"/>
      <c r="L1" s="256"/>
      <c r="M1" s="256"/>
      <c r="N1" s="256"/>
      <c r="O1" s="256"/>
      <c r="P1" s="256"/>
      <c r="Q1" s="256"/>
      <c r="R1" s="256"/>
      <c r="S1" s="256"/>
    </row>
    <row r="2" spans="1:19" ht="75" x14ac:dyDescent="0.25">
      <c r="A2" s="186" t="s">
        <v>2230</v>
      </c>
      <c r="B2" s="284">
        <f>(J2-I2)/I2</f>
        <v>-0.23008849557522132</v>
      </c>
      <c r="C2" s="186" t="s">
        <v>2337</v>
      </c>
      <c r="D2" s="242" t="s">
        <v>2243</v>
      </c>
      <c r="E2" s="285" t="s">
        <v>2320</v>
      </c>
      <c r="F2" s="242" t="s">
        <v>2243</v>
      </c>
      <c r="G2" s="242" t="s">
        <v>2243</v>
      </c>
      <c r="H2" s="242" t="s">
        <v>2243</v>
      </c>
      <c r="I2" s="286">
        <v>0.45200000000000001</v>
      </c>
      <c r="J2" s="286">
        <v>0.34799999999999998</v>
      </c>
      <c r="K2" s="258"/>
      <c r="L2" s="258"/>
      <c r="M2" s="258"/>
      <c r="N2" s="258"/>
      <c r="O2" s="258"/>
      <c r="P2" s="258"/>
      <c r="Q2" s="258"/>
      <c r="R2" s="257"/>
      <c r="S2" s="259"/>
    </row>
    <row r="3" spans="1:19" ht="60" x14ac:dyDescent="0.25">
      <c r="A3" s="186" t="s">
        <v>2231</v>
      </c>
      <c r="B3" s="284">
        <f>(J3-I3)/I3</f>
        <v>-0.20521172638436483</v>
      </c>
      <c r="C3" s="242" t="s">
        <v>2243</v>
      </c>
      <c r="D3" s="242" t="s">
        <v>2244</v>
      </c>
      <c r="E3" s="285" t="s">
        <v>2320</v>
      </c>
      <c r="F3" s="242" t="s">
        <v>2243</v>
      </c>
      <c r="G3" s="285" t="s">
        <v>2246</v>
      </c>
      <c r="H3" s="287" t="s">
        <v>2247</v>
      </c>
      <c r="I3" s="286">
        <v>0.307</v>
      </c>
      <c r="J3" s="286">
        <v>0.24399999999999999</v>
      </c>
      <c r="K3" s="258"/>
      <c r="L3" s="258"/>
      <c r="M3" s="258"/>
      <c r="N3" s="258"/>
      <c r="O3" s="258"/>
      <c r="P3" s="258"/>
      <c r="Q3" s="258"/>
      <c r="R3" s="257"/>
      <c r="S3" s="259"/>
    </row>
    <row r="4" spans="1:19" ht="75" x14ac:dyDescent="0.25">
      <c r="A4" s="186" t="s">
        <v>2232</v>
      </c>
      <c r="B4" s="284">
        <f>(J4-I4)/I4</f>
        <v>-9.5049504950495023E-2</v>
      </c>
      <c r="C4" s="242" t="s">
        <v>2243</v>
      </c>
      <c r="D4" s="242" t="s">
        <v>2243</v>
      </c>
      <c r="E4" s="285" t="s">
        <v>2245</v>
      </c>
      <c r="F4" s="242" t="s">
        <v>2243</v>
      </c>
      <c r="G4" s="242" t="s">
        <v>2243</v>
      </c>
      <c r="H4" s="287" t="s">
        <v>2248</v>
      </c>
      <c r="I4" s="286">
        <v>0.505</v>
      </c>
      <c r="J4" s="286">
        <v>0.45700000000000002</v>
      </c>
      <c r="K4" s="258"/>
      <c r="L4" s="258"/>
      <c r="M4" s="258"/>
      <c r="N4" s="258"/>
      <c r="O4" s="258"/>
      <c r="P4" s="258"/>
      <c r="Q4" s="258"/>
      <c r="R4" s="257"/>
      <c r="S4" s="259"/>
    </row>
    <row r="5" spans="1:19" ht="30" x14ac:dyDescent="0.25">
      <c r="A5" s="186" t="s">
        <v>2233</v>
      </c>
      <c r="B5" s="284">
        <f>(J5-I5)/I5</f>
        <v>-9.5785440613026906E-2</v>
      </c>
      <c r="C5" s="242" t="s">
        <v>2243</v>
      </c>
      <c r="D5" s="242" t="s">
        <v>2243</v>
      </c>
      <c r="E5" s="285" t="s">
        <v>2245</v>
      </c>
      <c r="F5" s="242" t="s">
        <v>2243</v>
      </c>
      <c r="G5" s="242" t="s">
        <v>2243</v>
      </c>
      <c r="H5" s="242" t="s">
        <v>2243</v>
      </c>
      <c r="I5" s="286">
        <v>0.26100000000000001</v>
      </c>
      <c r="J5" s="286">
        <v>0.23599999999999999</v>
      </c>
      <c r="K5" s="258"/>
      <c r="L5" s="258"/>
      <c r="M5" s="258"/>
      <c r="N5" s="258"/>
      <c r="O5" s="258"/>
      <c r="P5" s="258"/>
      <c r="Q5" s="258"/>
      <c r="R5" s="257"/>
      <c r="S5" s="259"/>
    </row>
    <row r="6" spans="1:19" x14ac:dyDescent="0.25">
      <c r="A6" s="186"/>
      <c r="B6" s="186"/>
      <c r="C6" s="2"/>
      <c r="D6" s="242"/>
      <c r="E6" s="245"/>
      <c r="F6" s="244"/>
      <c r="G6" s="245"/>
      <c r="I6" s="257"/>
      <c r="J6" s="257"/>
      <c r="K6" s="258"/>
      <c r="L6" s="258"/>
      <c r="M6" s="258"/>
      <c r="N6" s="258"/>
      <c r="O6" s="258"/>
      <c r="P6" s="258"/>
      <c r="Q6" s="258"/>
      <c r="R6" s="257"/>
      <c r="S6" s="259"/>
    </row>
    <row r="7" spans="1:19" x14ac:dyDescent="0.25">
      <c r="A7" s="186"/>
      <c r="B7" s="96"/>
      <c r="C7" s="2"/>
      <c r="D7" s="242"/>
      <c r="E7" s="245"/>
      <c r="F7" s="244"/>
      <c r="G7" s="245"/>
      <c r="I7" s="257"/>
      <c r="J7" s="257"/>
      <c r="K7" s="258"/>
      <c r="L7" s="258"/>
      <c r="M7" s="258"/>
      <c r="N7" s="258"/>
      <c r="O7" s="258"/>
      <c r="P7" s="258"/>
      <c r="Q7" s="258"/>
      <c r="R7" s="257"/>
      <c r="S7" s="259"/>
    </row>
    <row r="8" spans="1:19" x14ac:dyDescent="0.25">
      <c r="A8" s="186"/>
      <c r="B8" s="96"/>
      <c r="C8" s="2"/>
      <c r="D8" s="242"/>
      <c r="E8" s="245"/>
      <c r="F8" s="244"/>
      <c r="G8" s="245"/>
      <c r="I8" s="257"/>
      <c r="J8" s="257"/>
      <c r="K8" s="258"/>
      <c r="L8" s="258"/>
      <c r="M8" s="258"/>
      <c r="N8" s="258"/>
      <c r="O8" s="258"/>
      <c r="P8" s="258"/>
      <c r="Q8" s="258"/>
      <c r="R8" s="257"/>
      <c r="S8" s="259"/>
    </row>
    <row r="9" spans="1:19" x14ac:dyDescent="0.25">
      <c r="A9" s="186"/>
      <c r="B9" s="96"/>
      <c r="C9" s="2"/>
      <c r="D9" s="242"/>
      <c r="E9" s="245"/>
      <c r="F9" s="244"/>
      <c r="G9" s="245"/>
      <c r="I9" s="257"/>
      <c r="J9" s="257"/>
      <c r="K9" s="258"/>
      <c r="L9" s="258"/>
      <c r="M9" s="258"/>
      <c r="N9" s="258"/>
      <c r="O9" s="258"/>
      <c r="P9" s="258"/>
      <c r="Q9" s="258"/>
      <c r="R9" s="257"/>
      <c r="S9" s="259"/>
    </row>
    <row r="10" spans="1:19" x14ac:dyDescent="0.25">
      <c r="A10" s="186"/>
      <c r="B10" s="96"/>
      <c r="C10" s="2"/>
      <c r="D10" s="242"/>
      <c r="E10" s="245"/>
      <c r="F10" s="244"/>
      <c r="G10" s="245"/>
    </row>
    <row r="11" spans="1:19" x14ac:dyDescent="0.25">
      <c r="A11" s="186"/>
      <c r="B11" s="96"/>
      <c r="C11" s="2"/>
      <c r="D11" s="242"/>
      <c r="E11" s="245"/>
      <c r="F11" s="244"/>
      <c r="G11" s="245"/>
    </row>
    <row r="12" spans="1:19" x14ac:dyDescent="0.25">
      <c r="A12" s="186"/>
      <c r="B12" s="96"/>
      <c r="C12" s="2"/>
      <c r="D12" s="242"/>
      <c r="E12" s="245"/>
      <c r="F12" s="244"/>
      <c r="G12" s="245"/>
    </row>
    <row r="13" spans="1:19" x14ac:dyDescent="0.25">
      <c r="A13" s="186"/>
      <c r="B13" s="250"/>
      <c r="C13" s="2"/>
      <c r="D13" s="242"/>
      <c r="E13" s="245"/>
      <c r="F13" s="244"/>
      <c r="G13" s="245"/>
    </row>
    <row r="14" spans="1:19" x14ac:dyDescent="0.25">
      <c r="A14" s="186"/>
      <c r="B14" s="96"/>
      <c r="C14" s="2"/>
      <c r="D14" s="242"/>
      <c r="E14" s="245"/>
      <c r="F14" s="244"/>
      <c r="G14" s="245"/>
    </row>
    <row r="15" spans="1:19" x14ac:dyDescent="0.25">
      <c r="A15" s="186"/>
      <c r="B15" s="96"/>
      <c r="C15" s="2"/>
      <c r="D15" s="242"/>
      <c r="E15" s="245"/>
      <c r="F15" s="244"/>
      <c r="G15" s="245"/>
    </row>
    <row r="16" spans="1:19" x14ac:dyDescent="0.25">
      <c r="A16" s="186"/>
      <c r="B16" s="96"/>
      <c r="C16" s="2"/>
      <c r="D16" s="242"/>
      <c r="E16" s="245"/>
      <c r="F16" s="244"/>
      <c r="G16" s="245"/>
    </row>
    <row r="17" spans="1:7" x14ac:dyDescent="0.25">
      <c r="A17" s="186"/>
      <c r="B17" s="96"/>
      <c r="C17" s="2"/>
      <c r="D17" s="242"/>
      <c r="E17" s="245"/>
      <c r="F17" s="244"/>
      <c r="G17" s="245"/>
    </row>
    <row r="18" spans="1:7" x14ac:dyDescent="0.25">
      <c r="A18" s="186"/>
      <c r="B18" s="96"/>
      <c r="C18" s="2"/>
      <c r="D18" s="242"/>
      <c r="E18" s="245"/>
      <c r="F18" s="244"/>
      <c r="G18" s="245"/>
    </row>
    <row r="19" spans="1:7" x14ac:dyDescent="0.25">
      <c r="A19" s="186"/>
      <c r="B19" s="96"/>
      <c r="C19" s="2"/>
      <c r="D19" s="242"/>
      <c r="E19" s="245"/>
      <c r="F19" s="244"/>
      <c r="G19" s="245"/>
    </row>
    <row r="20" spans="1:7" x14ac:dyDescent="0.25">
      <c r="A20" s="186"/>
      <c r="B20" s="250"/>
      <c r="C20" s="2"/>
      <c r="D20" s="242"/>
      <c r="E20" s="245"/>
      <c r="F20" s="244"/>
      <c r="G20" s="245"/>
    </row>
    <row r="21" spans="1:7" x14ac:dyDescent="0.25">
      <c r="A21" s="186"/>
      <c r="B21" s="96"/>
      <c r="C21" s="2"/>
      <c r="D21" s="242"/>
      <c r="E21" s="245"/>
      <c r="F21" s="244"/>
      <c r="G21" s="245"/>
    </row>
    <row r="22" spans="1:7" x14ac:dyDescent="0.25">
      <c r="A22" s="186"/>
      <c r="B22" s="96"/>
      <c r="C22" s="2"/>
      <c r="D22" s="242"/>
      <c r="E22" s="245"/>
      <c r="F22" s="244"/>
      <c r="G22" s="245"/>
    </row>
    <row r="23" spans="1:7" x14ac:dyDescent="0.25">
      <c r="A23" s="186"/>
      <c r="B23" s="96"/>
      <c r="C23" s="2"/>
      <c r="D23" s="242"/>
      <c r="E23" s="245"/>
      <c r="F23" s="244"/>
      <c r="G23" s="245"/>
    </row>
    <row r="24" spans="1:7" x14ac:dyDescent="0.25">
      <c r="A24" s="186"/>
      <c r="B24" s="96"/>
      <c r="C24" s="2"/>
      <c r="D24" s="242"/>
      <c r="E24" s="245" t="s">
        <v>2211</v>
      </c>
      <c r="F24" s="255" t="e">
        <f>AVERAGE(F2:F23)</f>
        <v>#DIV/0!</v>
      </c>
      <c r="G24" s="255" t="e">
        <f>AVERAGE(G2:G23)</f>
        <v>#DIV/0!</v>
      </c>
    </row>
    <row r="25" spans="1:7" x14ac:dyDescent="0.25">
      <c r="A25" s="186"/>
      <c r="B25" s="96"/>
      <c r="C25" s="2"/>
      <c r="D25" s="242"/>
      <c r="E25" s="245" t="s">
        <v>2210</v>
      </c>
      <c r="F25" s="255" t="e">
        <f>MEDIAN(F2:F24)</f>
        <v>#DIV/0!</v>
      </c>
      <c r="G25" s="255" t="e">
        <f>MEDIAN(G2:G24)</f>
        <v>#DIV/0!</v>
      </c>
    </row>
    <row r="26" spans="1:7" x14ac:dyDescent="0.25">
      <c r="A26" s="186"/>
      <c r="B26" s="250"/>
      <c r="C26" s="2"/>
      <c r="D26" s="242"/>
      <c r="E26" s="245"/>
      <c r="F26" s="244"/>
      <c r="G26" s="245"/>
    </row>
    <row r="27" spans="1:7" x14ac:dyDescent="0.25">
      <c r="A27" s="186"/>
      <c r="B27" s="96"/>
      <c r="C27" s="2"/>
      <c r="D27" s="242"/>
      <c r="E27" s="245"/>
      <c r="F27" s="244"/>
      <c r="G27" s="245"/>
    </row>
    <row r="28" spans="1:7" x14ac:dyDescent="0.25">
      <c r="A28" s="186"/>
      <c r="B28" s="96"/>
      <c r="C28" s="2"/>
      <c r="D28" s="242"/>
      <c r="E28" s="245"/>
      <c r="F28" s="244"/>
      <c r="G28" s="245"/>
    </row>
    <row r="29" spans="1:7" x14ac:dyDescent="0.25">
      <c r="A29" s="186"/>
      <c r="B29" s="96"/>
      <c r="C29" s="2"/>
      <c r="D29" s="242"/>
      <c r="E29" s="245"/>
      <c r="F29" s="244"/>
      <c r="G29" s="245"/>
    </row>
    <row r="30" spans="1:7" x14ac:dyDescent="0.25">
      <c r="A30" s="186"/>
      <c r="B30" s="96"/>
      <c r="C30" s="2"/>
      <c r="D30" s="242"/>
      <c r="E30" s="245"/>
      <c r="F30" s="244"/>
      <c r="G30" s="245"/>
    </row>
    <row r="31" spans="1:7" x14ac:dyDescent="0.25">
      <c r="A31" s="186"/>
      <c r="B31" s="250"/>
      <c r="C31" s="2"/>
      <c r="D31" s="242"/>
      <c r="E31" s="245"/>
      <c r="F31" s="244"/>
      <c r="G31" s="245"/>
    </row>
    <row r="32" spans="1:7" ht="65.25" customHeight="1" x14ac:dyDescent="0.25">
      <c r="A32" s="186"/>
      <c r="B32" s="96"/>
      <c r="C32" s="2"/>
      <c r="D32" s="242"/>
      <c r="E32" s="245"/>
      <c r="F32" s="244"/>
      <c r="G32" s="245"/>
    </row>
    <row r="33" spans="1:7" x14ac:dyDescent="0.25">
      <c r="A33" s="186"/>
      <c r="B33" s="96"/>
      <c r="C33" s="2"/>
      <c r="D33" s="242"/>
      <c r="E33" s="245"/>
      <c r="F33" s="244"/>
      <c r="G33" s="245"/>
    </row>
    <row r="34" spans="1:7" x14ac:dyDescent="0.25">
      <c r="A34" s="186"/>
      <c r="B34" s="96"/>
      <c r="C34" s="2"/>
      <c r="D34" s="242"/>
      <c r="E34" s="245"/>
      <c r="F34" s="244"/>
      <c r="G34" s="245"/>
    </row>
    <row r="35" spans="1:7" x14ac:dyDescent="0.25">
      <c r="A35" s="186"/>
      <c r="B35" s="250"/>
      <c r="C35" s="2"/>
      <c r="D35" s="242"/>
      <c r="E35" s="245"/>
      <c r="F35" s="244"/>
      <c r="G35" s="245"/>
    </row>
    <row r="36" spans="1:7" x14ac:dyDescent="0.25">
      <c r="A36" s="186"/>
      <c r="B36" s="96"/>
      <c r="C36" s="2"/>
      <c r="D36" s="242"/>
      <c r="E36" s="245"/>
      <c r="F36" s="244"/>
      <c r="G36" s="245"/>
    </row>
    <row r="37" spans="1:7" x14ac:dyDescent="0.25">
      <c r="A37" s="186"/>
      <c r="B37" s="87"/>
      <c r="C37" s="2"/>
      <c r="D37" s="242"/>
      <c r="E37" s="245"/>
      <c r="F37" s="244"/>
      <c r="G37" s="245"/>
    </row>
    <row r="38" spans="1:7" x14ac:dyDescent="0.25">
      <c r="A38" s="186"/>
      <c r="B38" s="252"/>
      <c r="C38" s="2"/>
      <c r="D38" s="242"/>
      <c r="E38" s="245"/>
      <c r="F38" s="244"/>
      <c r="G38" s="245"/>
    </row>
    <row r="39" spans="1:7" x14ac:dyDescent="0.25">
      <c r="A39" s="186"/>
      <c r="B39" s="252"/>
      <c r="C39" s="2"/>
      <c r="D39" s="242"/>
      <c r="E39" s="245"/>
      <c r="F39" s="244"/>
      <c r="G39" s="245"/>
    </row>
    <row r="40" spans="1:7" x14ac:dyDescent="0.25">
      <c r="A40" s="186"/>
      <c r="B40" s="252"/>
      <c r="C40" s="2"/>
      <c r="D40" s="242"/>
      <c r="E40" s="245"/>
      <c r="F40" s="244"/>
      <c r="G40" s="245"/>
    </row>
    <row r="41" spans="1:7" x14ac:dyDescent="0.25">
      <c r="A41" s="186"/>
      <c r="B41" s="252"/>
      <c r="C41" s="2"/>
      <c r="D41" s="242"/>
      <c r="E41" s="245"/>
      <c r="F41" s="244"/>
      <c r="G41" s="245"/>
    </row>
    <row r="42" spans="1:7" x14ac:dyDescent="0.25">
      <c r="A42" s="186"/>
      <c r="B42" s="252"/>
      <c r="C42" s="2"/>
      <c r="D42" s="242"/>
      <c r="E42" s="245"/>
      <c r="F42" s="244"/>
      <c r="G42" s="245"/>
    </row>
    <row r="43" spans="1:7" x14ac:dyDescent="0.25">
      <c r="A43" s="186"/>
      <c r="B43" s="252"/>
      <c r="C43" s="2"/>
      <c r="D43" s="242"/>
      <c r="E43" s="245"/>
      <c r="F43" s="244"/>
      <c r="G43" s="245"/>
    </row>
    <row r="44" spans="1:7" x14ac:dyDescent="0.25">
      <c r="A44" s="186"/>
      <c r="B44" s="252"/>
      <c r="C44" s="2"/>
      <c r="D44" s="242"/>
      <c r="E44" s="245"/>
      <c r="F44" s="244"/>
      <c r="G44" s="245"/>
    </row>
    <row r="45" spans="1:7" x14ac:dyDescent="0.25">
      <c r="A45" s="186"/>
      <c r="B45" s="252"/>
      <c r="C45" s="2"/>
      <c r="D45" s="242"/>
      <c r="E45" s="245"/>
      <c r="F45" s="244"/>
      <c r="G45" s="245"/>
    </row>
    <row r="46" spans="1:7" x14ac:dyDescent="0.25">
      <c r="A46" s="186"/>
      <c r="B46" s="252"/>
      <c r="C46" s="2"/>
      <c r="D46" s="242"/>
      <c r="E46" s="245"/>
      <c r="F46" s="244"/>
      <c r="G46" s="245"/>
    </row>
    <row r="47" spans="1:7" x14ac:dyDescent="0.25">
      <c r="A47" s="186"/>
      <c r="B47" s="252"/>
      <c r="C47" s="2"/>
      <c r="D47" s="242"/>
      <c r="E47" s="245"/>
      <c r="F47" s="244"/>
      <c r="G47" s="245"/>
    </row>
    <row r="48" spans="1:7" x14ac:dyDescent="0.25">
      <c r="A48" s="186"/>
      <c r="B48" s="252"/>
      <c r="C48" s="2"/>
      <c r="D48" s="242"/>
      <c r="E48" s="245"/>
      <c r="F48" s="244"/>
      <c r="G48" s="245"/>
    </row>
    <row r="49" spans="1:7" x14ac:dyDescent="0.25">
      <c r="A49" s="186"/>
      <c r="B49" s="252"/>
      <c r="C49" s="2"/>
      <c r="D49" s="242"/>
      <c r="E49" s="245"/>
      <c r="F49" s="244"/>
      <c r="G49" s="245"/>
    </row>
    <row r="50" spans="1:7" x14ac:dyDescent="0.25">
      <c r="A50" s="186"/>
      <c r="B50" s="252"/>
      <c r="C50" s="2"/>
      <c r="D50" s="242"/>
      <c r="E50" s="245"/>
      <c r="F50" s="244"/>
      <c r="G50" s="245"/>
    </row>
    <row r="51" spans="1:7" x14ac:dyDescent="0.25">
      <c r="A51" s="186"/>
      <c r="B51" s="252"/>
      <c r="C51" s="2"/>
      <c r="D51" s="242"/>
      <c r="E51" s="245"/>
      <c r="F51" s="244"/>
      <c r="G51" s="245"/>
    </row>
    <row r="52" spans="1:7" x14ac:dyDescent="0.25">
      <c r="A52" s="186"/>
      <c r="B52" s="252"/>
      <c r="C52" s="2"/>
      <c r="D52" s="242"/>
      <c r="E52" s="245"/>
      <c r="F52" s="244"/>
      <c r="G52" s="245"/>
    </row>
    <row r="53" spans="1:7" x14ac:dyDescent="0.25">
      <c r="A53" s="186"/>
      <c r="B53" s="252"/>
      <c r="C53" s="2"/>
      <c r="D53" s="242"/>
      <c r="E53" s="245"/>
      <c r="F53" s="244"/>
      <c r="G53" s="245"/>
    </row>
    <row r="54" spans="1:7" x14ac:dyDescent="0.25">
      <c r="B54" s="2"/>
      <c r="C54" s="2"/>
      <c r="D54" s="242"/>
      <c r="E54" s="245"/>
      <c r="F54" s="244"/>
      <c r="G54" s="245"/>
    </row>
    <row r="55" spans="1:7" x14ac:dyDescent="0.25">
      <c r="B55" s="2"/>
      <c r="C55" s="2"/>
      <c r="D55" s="242"/>
      <c r="E55" s="245"/>
      <c r="F55" s="244"/>
      <c r="G55" s="245"/>
    </row>
    <row r="56" spans="1:7" x14ac:dyDescent="0.25">
      <c r="B56" s="2"/>
      <c r="C56" s="2"/>
      <c r="D56" s="242"/>
      <c r="E56" s="245"/>
      <c r="F56" s="244"/>
      <c r="G56" s="245"/>
    </row>
    <row r="57" spans="1:7" x14ac:dyDescent="0.25">
      <c r="B57" s="2"/>
      <c r="C57" s="2"/>
      <c r="D57" s="242"/>
      <c r="E57" s="245"/>
      <c r="F57" s="244"/>
      <c r="G57" s="245"/>
    </row>
    <row r="58" spans="1:7" x14ac:dyDescent="0.25">
      <c r="B58" s="2"/>
      <c r="C58" s="2"/>
      <c r="D58" s="242"/>
      <c r="E58" s="245"/>
      <c r="F58" s="244"/>
      <c r="G58" s="245"/>
    </row>
    <row r="59" spans="1:7" x14ac:dyDescent="0.25">
      <c r="B59" s="2"/>
      <c r="C59" s="2"/>
      <c r="D59" s="242"/>
      <c r="E59" s="245"/>
      <c r="F59" s="244"/>
      <c r="G59" s="245"/>
    </row>
    <row r="60" spans="1:7" x14ac:dyDescent="0.25">
      <c r="B60" s="2"/>
      <c r="C60" s="2"/>
      <c r="D60" s="242"/>
      <c r="E60" s="245"/>
      <c r="F60" s="244"/>
      <c r="G60" s="245"/>
    </row>
    <row r="61" spans="1:7" x14ac:dyDescent="0.25">
      <c r="B61" s="2"/>
      <c r="C61" s="2"/>
      <c r="D61" s="242"/>
      <c r="E61" s="245"/>
      <c r="F61" s="244"/>
      <c r="G61" s="245"/>
    </row>
    <row r="62" spans="1:7" x14ac:dyDescent="0.25">
      <c r="B62" s="2"/>
      <c r="C62" s="2"/>
      <c r="D62" s="242"/>
      <c r="E62" s="245"/>
      <c r="F62" s="244"/>
      <c r="G62" s="245"/>
    </row>
    <row r="63" spans="1:7" x14ac:dyDescent="0.25">
      <c r="B63" s="2"/>
      <c r="C63" s="2"/>
      <c r="D63" s="242"/>
      <c r="E63" s="245"/>
      <c r="F63" s="244"/>
      <c r="G63" s="245"/>
    </row>
    <row r="64" spans="1:7" x14ac:dyDescent="0.25">
      <c r="B64" s="2"/>
      <c r="C64" s="2"/>
      <c r="D64" s="242"/>
      <c r="E64" s="245"/>
      <c r="F64" s="244"/>
      <c r="G64" s="245"/>
    </row>
    <row r="65" spans="2:7" x14ac:dyDescent="0.25">
      <c r="B65" s="2"/>
      <c r="C65" s="2"/>
      <c r="D65" s="242"/>
      <c r="E65" s="245"/>
      <c r="F65" s="244"/>
      <c r="G65" s="245"/>
    </row>
    <row r="66" spans="2:7" x14ac:dyDescent="0.25">
      <c r="B66" s="2"/>
      <c r="C66" s="2"/>
      <c r="D66" s="242"/>
      <c r="E66" s="245"/>
      <c r="F66" s="244"/>
      <c r="G66" s="245"/>
    </row>
    <row r="67" spans="2:7" x14ac:dyDescent="0.25">
      <c r="B67" s="2"/>
      <c r="C67" s="2"/>
      <c r="D67" s="242"/>
      <c r="E67" s="245"/>
      <c r="F67" s="244"/>
      <c r="G67" s="245"/>
    </row>
    <row r="68" spans="2:7" x14ac:dyDescent="0.25">
      <c r="B68" s="2"/>
      <c r="C68" s="2"/>
      <c r="D68" s="242"/>
      <c r="E68" s="245"/>
      <c r="F68" s="244"/>
      <c r="G68" s="245"/>
    </row>
    <row r="69" spans="2:7" x14ac:dyDescent="0.25">
      <c r="B69" s="2"/>
      <c r="C69" s="2"/>
      <c r="D69" s="242"/>
      <c r="E69" s="245"/>
      <c r="F69" s="244"/>
      <c r="G69" s="245"/>
    </row>
    <row r="70" spans="2:7" x14ac:dyDescent="0.25">
      <c r="B70" s="2"/>
      <c r="C70" s="2"/>
      <c r="D70" s="242"/>
      <c r="E70" s="245"/>
      <c r="F70" s="244"/>
      <c r="G70" s="245"/>
    </row>
    <row r="71" spans="2:7" x14ac:dyDescent="0.25">
      <c r="B71" s="2"/>
      <c r="C71" s="2"/>
      <c r="D71" s="242"/>
      <c r="E71" s="245"/>
      <c r="F71" s="244"/>
      <c r="G71" s="245"/>
    </row>
    <row r="72" spans="2:7" x14ac:dyDescent="0.25">
      <c r="B72" s="2"/>
      <c r="C72" s="2"/>
      <c r="D72" s="242"/>
      <c r="E72" s="245"/>
      <c r="F72" s="244"/>
      <c r="G72" s="245"/>
    </row>
    <row r="73" spans="2:7" x14ac:dyDescent="0.25">
      <c r="B73" s="2"/>
      <c r="C73" s="2"/>
      <c r="D73" s="242"/>
      <c r="E73" s="245"/>
      <c r="F73" s="244"/>
      <c r="G73" s="245"/>
    </row>
    <row r="74" spans="2:7" x14ac:dyDescent="0.25">
      <c r="B74" s="2"/>
      <c r="C74" s="2"/>
      <c r="D74" s="242"/>
      <c r="E74" s="245"/>
      <c r="F74" s="244"/>
      <c r="G74" s="245"/>
    </row>
    <row r="75" spans="2:7" x14ac:dyDescent="0.25">
      <c r="B75" s="2"/>
      <c r="C75" s="2"/>
      <c r="D75" s="242"/>
      <c r="E75" s="245"/>
      <c r="F75" s="244"/>
      <c r="G75" s="245"/>
    </row>
    <row r="78" spans="2:7" x14ac:dyDescent="0.25">
      <c r="D78" s="244"/>
      <c r="E78" s="245"/>
      <c r="F78" s="244"/>
      <c r="G78" s="245"/>
    </row>
    <row r="79" spans="2:7" x14ac:dyDescent="0.25">
      <c r="D79" s="244"/>
      <c r="E79" s="245"/>
      <c r="F79" s="244"/>
      <c r="G79" s="245"/>
    </row>
    <row r="80" spans="2:7" x14ac:dyDescent="0.25">
      <c r="D80" s="244"/>
      <c r="E80" s="245"/>
      <c r="F80" s="244"/>
      <c r="G80" s="245"/>
    </row>
    <row r="81" spans="4:7" x14ac:dyDescent="0.25">
      <c r="D81" s="244"/>
      <c r="E81" s="245"/>
      <c r="F81" s="244"/>
      <c r="G81" s="245"/>
    </row>
    <row r="82" spans="4:7" x14ac:dyDescent="0.25">
      <c r="D82" s="244"/>
      <c r="E82" s="245"/>
      <c r="F82" s="244"/>
      <c r="G82" s="245"/>
    </row>
    <row r="83" spans="4:7" x14ac:dyDescent="0.25">
      <c r="D83" s="244"/>
      <c r="E83" s="245"/>
      <c r="F83" s="244"/>
      <c r="G83" s="245"/>
    </row>
    <row r="84" spans="4:7" x14ac:dyDescent="0.25">
      <c r="D84" s="244"/>
      <c r="E84" s="245"/>
      <c r="F84" s="244"/>
      <c r="G84" s="245"/>
    </row>
    <row r="85" spans="4:7" x14ac:dyDescent="0.25">
      <c r="D85" s="244"/>
      <c r="E85" s="245"/>
      <c r="F85" s="244"/>
      <c r="G85" s="245"/>
    </row>
    <row r="86" spans="4:7" x14ac:dyDescent="0.25">
      <c r="D86" s="244"/>
      <c r="E86" s="245"/>
      <c r="F86" s="244"/>
      <c r="G86" s="245"/>
    </row>
    <row r="87" spans="4:7" x14ac:dyDescent="0.25">
      <c r="D87" s="244"/>
      <c r="E87" s="245"/>
      <c r="F87" s="244"/>
      <c r="G87" s="245"/>
    </row>
    <row r="88" spans="4:7" x14ac:dyDescent="0.25">
      <c r="D88" s="244"/>
      <c r="E88" s="245"/>
      <c r="F88" s="244"/>
      <c r="G88" s="245"/>
    </row>
    <row r="89" spans="4:7" x14ac:dyDescent="0.25">
      <c r="D89" s="244"/>
      <c r="E89" s="245"/>
      <c r="F89" s="244"/>
      <c r="G89" s="245"/>
    </row>
    <row r="90" spans="4:7" x14ac:dyDescent="0.25">
      <c r="D90" s="244"/>
      <c r="E90" s="245"/>
      <c r="F90" s="244"/>
      <c r="G90" s="245"/>
    </row>
    <row r="91" spans="4:7" x14ac:dyDescent="0.25">
      <c r="D91" s="244"/>
      <c r="E91" s="245"/>
      <c r="F91" s="244"/>
      <c r="G91" s="245"/>
    </row>
    <row r="92" spans="4:7" x14ac:dyDescent="0.25">
      <c r="D92" s="244"/>
      <c r="E92" s="245"/>
      <c r="F92" s="244"/>
      <c r="G92" s="245"/>
    </row>
    <row r="93" spans="4:7" x14ac:dyDescent="0.25">
      <c r="D93" s="244"/>
      <c r="E93" s="245"/>
      <c r="F93" s="244"/>
      <c r="G93" s="245"/>
    </row>
    <row r="94" spans="4:7" x14ac:dyDescent="0.25">
      <c r="D94" s="244"/>
      <c r="E94" s="245"/>
      <c r="F94" s="244"/>
      <c r="G94" s="245"/>
    </row>
    <row r="95" spans="4:7" x14ac:dyDescent="0.25">
      <c r="D95" s="244"/>
      <c r="E95" s="245"/>
      <c r="F95" s="244"/>
      <c r="G95" s="245"/>
    </row>
    <row r="96" spans="4:7" x14ac:dyDescent="0.25">
      <c r="D96" s="244"/>
      <c r="E96" s="245"/>
      <c r="F96" s="244"/>
      <c r="G96" s="245"/>
    </row>
    <row r="97" spans="4:7" x14ac:dyDescent="0.25">
      <c r="D97" s="244"/>
      <c r="E97" s="245"/>
      <c r="F97" s="244"/>
      <c r="G97" s="245"/>
    </row>
    <row r="98" spans="4:7" x14ac:dyDescent="0.25">
      <c r="D98" s="244"/>
      <c r="E98" s="245"/>
      <c r="F98" s="244"/>
      <c r="G98" s="245"/>
    </row>
    <row r="99" spans="4:7" x14ac:dyDescent="0.25">
      <c r="D99" s="244"/>
      <c r="E99" s="245"/>
      <c r="F99" s="244"/>
      <c r="G99" s="245"/>
    </row>
    <row r="100" spans="4:7" x14ac:dyDescent="0.25">
      <c r="D100" s="244"/>
      <c r="E100" s="245"/>
      <c r="F100" s="244"/>
      <c r="G100" s="245"/>
    </row>
    <row r="101" spans="4:7" x14ac:dyDescent="0.25">
      <c r="D101" s="244"/>
      <c r="E101" s="245"/>
      <c r="F101" s="244"/>
      <c r="G101" s="245"/>
    </row>
    <row r="102" spans="4:7" x14ac:dyDescent="0.25">
      <c r="D102" s="244"/>
      <c r="E102" s="245"/>
      <c r="F102" s="244"/>
      <c r="G102" s="245"/>
    </row>
    <row r="103" spans="4:7" x14ac:dyDescent="0.25">
      <c r="D103" s="244"/>
      <c r="E103" s="245"/>
      <c r="F103" s="244"/>
      <c r="G103" s="245"/>
    </row>
    <row r="104" spans="4:7" x14ac:dyDescent="0.25">
      <c r="D104" s="244"/>
      <c r="E104" s="245"/>
      <c r="F104" s="244"/>
      <c r="G104" s="245"/>
    </row>
    <row r="105" spans="4:7" x14ac:dyDescent="0.25">
      <c r="D105" s="244"/>
      <c r="E105" s="245"/>
      <c r="F105" s="244"/>
      <c r="G105" s="245"/>
    </row>
    <row r="106" spans="4:7" x14ac:dyDescent="0.25">
      <c r="D106" s="244"/>
      <c r="E106" s="245"/>
      <c r="F106" s="244"/>
      <c r="G106" s="245"/>
    </row>
    <row r="107" spans="4:7" x14ac:dyDescent="0.25">
      <c r="D107" s="244"/>
      <c r="E107" s="245"/>
      <c r="F107" s="244"/>
      <c r="G107" s="245"/>
    </row>
    <row r="108" spans="4:7" x14ac:dyDescent="0.25">
      <c r="D108" s="244"/>
      <c r="E108" s="245"/>
      <c r="F108" s="244"/>
      <c r="G108" s="245"/>
    </row>
    <row r="109" spans="4:7" x14ac:dyDescent="0.25">
      <c r="D109" s="244"/>
      <c r="E109" s="245"/>
      <c r="F109" s="244"/>
      <c r="G109" s="245"/>
    </row>
    <row r="110" spans="4:7" x14ac:dyDescent="0.25">
      <c r="D110" s="244"/>
      <c r="E110" s="245"/>
      <c r="F110" s="244"/>
      <c r="G110" s="245"/>
    </row>
    <row r="111" spans="4:7" x14ac:dyDescent="0.25">
      <c r="D111" s="244"/>
      <c r="E111" s="245"/>
      <c r="F111" s="244"/>
      <c r="G111" s="245"/>
    </row>
    <row r="112" spans="4:7" x14ac:dyDescent="0.25">
      <c r="D112" s="244"/>
      <c r="E112" s="245"/>
      <c r="F112" s="244"/>
      <c r="G112" s="245"/>
    </row>
    <row r="113" spans="4:7" x14ac:dyDescent="0.25">
      <c r="D113" s="244"/>
      <c r="E113" s="245"/>
      <c r="F113" s="244"/>
      <c r="G113" s="245"/>
    </row>
    <row r="114" spans="4:7" x14ac:dyDescent="0.25">
      <c r="D114" s="244"/>
      <c r="E114" s="245"/>
      <c r="F114" s="244"/>
      <c r="G114" s="245"/>
    </row>
    <row r="115" spans="4:7" x14ac:dyDescent="0.25">
      <c r="D115" s="244"/>
      <c r="E115" s="245"/>
      <c r="F115" s="244"/>
      <c r="G115" s="245"/>
    </row>
    <row r="116" spans="4:7" x14ac:dyDescent="0.25">
      <c r="D116" s="244"/>
      <c r="E116" s="245"/>
      <c r="F116" s="244"/>
      <c r="G116" s="245"/>
    </row>
    <row r="117" spans="4:7" x14ac:dyDescent="0.25">
      <c r="D117" s="244"/>
      <c r="E117" s="245"/>
      <c r="F117" s="244"/>
      <c r="G117" s="245"/>
    </row>
    <row r="118" spans="4:7" x14ac:dyDescent="0.25">
      <c r="D118" s="244"/>
      <c r="E118" s="245"/>
      <c r="F118" s="244"/>
      <c r="G118" s="245"/>
    </row>
    <row r="119" spans="4:7" x14ac:dyDescent="0.25">
      <c r="D119" s="244"/>
      <c r="E119" s="245"/>
      <c r="F119" s="244"/>
      <c r="G119" s="245"/>
    </row>
    <row r="120" spans="4:7" x14ac:dyDescent="0.25">
      <c r="D120" s="244"/>
      <c r="E120" s="245"/>
      <c r="F120" s="244"/>
      <c r="G120" s="245"/>
    </row>
    <row r="121" spans="4:7" x14ac:dyDescent="0.25">
      <c r="D121" s="244"/>
      <c r="E121" s="245"/>
      <c r="F121" s="244"/>
      <c r="G121" s="245"/>
    </row>
    <row r="122" spans="4:7" x14ac:dyDescent="0.25">
      <c r="D122" s="244"/>
      <c r="E122" s="245"/>
      <c r="F122" s="244"/>
      <c r="G122" s="245"/>
    </row>
    <row r="123" spans="4:7" x14ac:dyDescent="0.25">
      <c r="D123" s="244"/>
      <c r="E123" s="245"/>
      <c r="F123" s="244"/>
      <c r="G123" s="245"/>
    </row>
    <row r="124" spans="4:7" x14ac:dyDescent="0.25">
      <c r="D124" s="244"/>
      <c r="E124" s="245"/>
      <c r="F124" s="244"/>
      <c r="G124" s="245"/>
    </row>
    <row r="125" spans="4:7" x14ac:dyDescent="0.25">
      <c r="D125" s="244"/>
      <c r="E125" s="245"/>
      <c r="F125" s="244"/>
      <c r="G125" s="245"/>
    </row>
    <row r="126" spans="4:7" x14ac:dyDescent="0.25">
      <c r="D126" s="244"/>
      <c r="E126" s="245"/>
      <c r="F126" s="244"/>
      <c r="G126" s="245"/>
    </row>
    <row r="127" spans="4:7" x14ac:dyDescent="0.25">
      <c r="D127" s="244"/>
      <c r="E127" s="245"/>
      <c r="F127" s="244"/>
      <c r="G127" s="245"/>
    </row>
    <row r="128" spans="4:7" x14ac:dyDescent="0.25">
      <c r="D128" s="244"/>
      <c r="E128" s="245"/>
      <c r="F128" s="244"/>
      <c r="G128" s="245"/>
    </row>
    <row r="129" spans="4:7" x14ac:dyDescent="0.25">
      <c r="D129" s="244"/>
      <c r="E129" s="245"/>
      <c r="F129" s="244"/>
      <c r="G129" s="245"/>
    </row>
    <row r="130" spans="4:7" x14ac:dyDescent="0.25">
      <c r="D130" s="244"/>
      <c r="E130" s="245"/>
      <c r="F130" s="244"/>
      <c r="G130" s="245"/>
    </row>
    <row r="131" spans="4:7" x14ac:dyDescent="0.25">
      <c r="D131" s="244"/>
      <c r="E131" s="245"/>
      <c r="F131" s="244"/>
      <c r="G131" s="245"/>
    </row>
    <row r="132" spans="4:7" x14ac:dyDescent="0.25">
      <c r="D132" s="244"/>
      <c r="E132" s="245"/>
      <c r="F132" s="244"/>
      <c r="G132" s="245"/>
    </row>
    <row r="133" spans="4:7" x14ac:dyDescent="0.25">
      <c r="D133" s="244"/>
      <c r="E133" s="245"/>
      <c r="F133" s="244"/>
      <c r="G133" s="245"/>
    </row>
    <row r="134" spans="4:7" x14ac:dyDescent="0.25">
      <c r="D134" s="244"/>
      <c r="E134" s="245"/>
      <c r="F134" s="244"/>
      <c r="G134" s="245"/>
    </row>
    <row r="135" spans="4:7" x14ac:dyDescent="0.25">
      <c r="D135" s="244"/>
      <c r="E135" s="245"/>
      <c r="F135" s="244"/>
      <c r="G135" s="245"/>
    </row>
    <row r="136" spans="4:7" x14ac:dyDescent="0.25">
      <c r="D136" s="244"/>
      <c r="E136" s="245"/>
      <c r="F136" s="244"/>
      <c r="G136" s="245"/>
    </row>
    <row r="137" spans="4:7" x14ac:dyDescent="0.25">
      <c r="D137" s="244"/>
      <c r="E137" s="245"/>
      <c r="F137" s="244"/>
      <c r="G137" s="245"/>
    </row>
    <row r="138" spans="4:7" x14ac:dyDescent="0.25">
      <c r="D138" s="244"/>
      <c r="E138" s="245"/>
      <c r="F138" s="244"/>
      <c r="G138" s="245"/>
    </row>
    <row r="139" spans="4:7" x14ac:dyDescent="0.25">
      <c r="D139" s="244"/>
      <c r="E139" s="245"/>
      <c r="F139" s="244"/>
      <c r="G139" s="245"/>
    </row>
    <row r="140" spans="4:7" x14ac:dyDescent="0.25">
      <c r="D140" s="244"/>
      <c r="E140" s="245"/>
      <c r="F140" s="244"/>
      <c r="G140" s="245"/>
    </row>
    <row r="141" spans="4:7" x14ac:dyDescent="0.25">
      <c r="D141" s="244"/>
      <c r="E141" s="245"/>
      <c r="F141" s="244"/>
      <c r="G141" s="245"/>
    </row>
    <row r="142" spans="4:7" x14ac:dyDescent="0.25">
      <c r="D142" s="244"/>
      <c r="E142" s="245"/>
      <c r="F142" s="244"/>
      <c r="G142" s="245"/>
    </row>
    <row r="143" spans="4:7" x14ac:dyDescent="0.25">
      <c r="D143" s="244"/>
      <c r="E143" s="245"/>
      <c r="F143" s="244"/>
      <c r="G143" s="245"/>
    </row>
    <row r="144" spans="4:7" x14ac:dyDescent="0.25">
      <c r="D144" s="244"/>
      <c r="E144" s="245"/>
      <c r="F144" s="244"/>
      <c r="G144" s="245"/>
    </row>
    <row r="145" spans="4:7" x14ac:dyDescent="0.25">
      <c r="D145" s="244"/>
      <c r="E145" s="245"/>
      <c r="F145" s="244"/>
      <c r="G145" s="245"/>
    </row>
    <row r="146" spans="4:7" x14ac:dyDescent="0.25">
      <c r="D146" s="244"/>
      <c r="E146" s="245"/>
      <c r="F146" s="244"/>
      <c r="G146" s="245"/>
    </row>
    <row r="147" spans="4:7" x14ac:dyDescent="0.25">
      <c r="D147" s="244"/>
      <c r="E147" s="245"/>
      <c r="F147" s="244"/>
      <c r="G147" s="245"/>
    </row>
    <row r="148" spans="4:7" x14ac:dyDescent="0.25">
      <c r="D148" s="244"/>
      <c r="E148" s="245"/>
      <c r="F148" s="244"/>
      <c r="G148" s="245"/>
    </row>
    <row r="149" spans="4:7" x14ac:dyDescent="0.25">
      <c r="D149" s="244"/>
      <c r="E149" s="245"/>
      <c r="F149" s="244"/>
      <c r="G149" s="245"/>
    </row>
    <row r="150" spans="4:7" x14ac:dyDescent="0.25">
      <c r="D150" s="244"/>
      <c r="E150" s="245"/>
      <c r="F150" s="244"/>
      <c r="G150" s="245"/>
    </row>
    <row r="151" spans="4:7" x14ac:dyDescent="0.25">
      <c r="D151" s="244"/>
      <c r="E151" s="245"/>
      <c r="F151" s="244"/>
      <c r="G151" s="245"/>
    </row>
    <row r="152" spans="4:7" x14ac:dyDescent="0.25">
      <c r="D152" s="244"/>
      <c r="E152" s="245"/>
      <c r="F152" s="244"/>
      <c r="G152" s="245"/>
    </row>
    <row r="153" spans="4:7" x14ac:dyDescent="0.25">
      <c r="D153" s="244"/>
      <c r="E153" s="245"/>
      <c r="F153" s="244"/>
      <c r="G153" s="245"/>
    </row>
    <row r="154" spans="4:7" x14ac:dyDescent="0.25">
      <c r="D154" s="244"/>
      <c r="E154" s="245"/>
      <c r="F154" s="244"/>
      <c r="G154" s="245"/>
    </row>
    <row r="155" spans="4:7" x14ac:dyDescent="0.25">
      <c r="D155" s="244"/>
      <c r="E155" s="245"/>
      <c r="F155" s="244"/>
      <c r="G155" s="245"/>
    </row>
    <row r="156" spans="4:7" x14ac:dyDescent="0.25">
      <c r="D156" s="244"/>
      <c r="E156" s="245"/>
      <c r="F156" s="244"/>
      <c r="G156" s="245"/>
    </row>
    <row r="157" spans="4:7" x14ac:dyDescent="0.25">
      <c r="D157" s="244"/>
      <c r="E157" s="245"/>
      <c r="F157" s="244"/>
      <c r="G157" s="245"/>
    </row>
    <row r="158" spans="4:7" x14ac:dyDescent="0.25">
      <c r="D158" s="244"/>
      <c r="E158" s="245"/>
      <c r="F158" s="244"/>
      <c r="G158" s="245"/>
    </row>
    <row r="159" spans="4:7" x14ac:dyDescent="0.25">
      <c r="D159" s="244"/>
      <c r="E159" s="245"/>
      <c r="F159" s="244"/>
      <c r="G159" s="245"/>
    </row>
    <row r="160" spans="4:7" x14ac:dyDescent="0.25">
      <c r="D160" s="244"/>
      <c r="E160" s="245"/>
      <c r="F160" s="244"/>
      <c r="G160" s="245"/>
    </row>
    <row r="161" spans="4:7" x14ac:dyDescent="0.25">
      <c r="D161" s="244"/>
      <c r="E161" s="245"/>
      <c r="F161" s="244"/>
      <c r="G161" s="245"/>
    </row>
    <row r="162" spans="4:7" x14ac:dyDescent="0.25">
      <c r="D162" s="244"/>
      <c r="E162" s="245"/>
      <c r="F162" s="244"/>
      <c r="G162" s="245"/>
    </row>
    <row r="163" spans="4:7" x14ac:dyDescent="0.25">
      <c r="D163" s="244"/>
      <c r="E163" s="245"/>
      <c r="F163" s="244"/>
      <c r="G163" s="245"/>
    </row>
    <row r="164" spans="4:7" x14ac:dyDescent="0.25">
      <c r="D164" s="244"/>
      <c r="E164" s="245"/>
      <c r="F164" s="244"/>
      <c r="G164" s="245"/>
    </row>
    <row r="165" spans="4:7" x14ac:dyDescent="0.25">
      <c r="D165" s="244"/>
      <c r="E165" s="245"/>
      <c r="F165" s="244"/>
      <c r="G165" s="245"/>
    </row>
    <row r="166" spans="4:7" x14ac:dyDescent="0.25">
      <c r="D166" s="244"/>
      <c r="E166" s="245"/>
      <c r="F166" s="244"/>
      <c r="G166" s="245"/>
    </row>
    <row r="167" spans="4:7" x14ac:dyDescent="0.25">
      <c r="D167" s="244"/>
      <c r="E167" s="245"/>
      <c r="F167" s="244"/>
      <c r="G167" s="245"/>
    </row>
    <row r="168" spans="4:7" x14ac:dyDescent="0.25">
      <c r="D168" s="244"/>
      <c r="E168" s="245"/>
      <c r="F168" s="244"/>
      <c r="G168" s="245"/>
    </row>
    <row r="169" spans="4:7" x14ac:dyDescent="0.25">
      <c r="D169" s="244"/>
      <c r="E169" s="245"/>
      <c r="F169" s="244"/>
      <c r="G169" s="245"/>
    </row>
    <row r="170" spans="4:7" x14ac:dyDescent="0.25">
      <c r="D170" s="244"/>
      <c r="E170" s="245"/>
      <c r="F170" s="244"/>
      <c r="G170" s="245"/>
    </row>
    <row r="171" spans="4:7" x14ac:dyDescent="0.25">
      <c r="D171" s="244"/>
      <c r="E171" s="245"/>
      <c r="F171" s="244"/>
      <c r="G171" s="245"/>
    </row>
    <row r="172" spans="4:7" x14ac:dyDescent="0.25">
      <c r="D172" s="244"/>
      <c r="E172" s="245"/>
      <c r="F172" s="244"/>
      <c r="G172" s="245"/>
    </row>
    <row r="173" spans="4:7" x14ac:dyDescent="0.25">
      <c r="D173" s="244"/>
      <c r="E173" s="245"/>
      <c r="F173" s="244"/>
      <c r="G173" s="245"/>
    </row>
    <row r="174" spans="4:7" x14ac:dyDescent="0.25">
      <c r="D174" s="244"/>
      <c r="E174" s="245"/>
      <c r="F174" s="244"/>
      <c r="G174" s="245"/>
    </row>
    <row r="175" spans="4:7" x14ac:dyDescent="0.25">
      <c r="D175" s="244"/>
      <c r="E175" s="245"/>
      <c r="F175" s="244"/>
      <c r="G175" s="245"/>
    </row>
    <row r="176" spans="4:7" x14ac:dyDescent="0.25">
      <c r="D176" s="244"/>
      <c r="E176" s="245"/>
      <c r="F176" s="244"/>
      <c r="G176" s="245"/>
    </row>
    <row r="177" spans="4:7" x14ac:dyDescent="0.25">
      <c r="D177" s="244"/>
      <c r="E177" s="245"/>
      <c r="F177" s="244"/>
      <c r="G177" s="245"/>
    </row>
    <row r="178" spans="4:7" x14ac:dyDescent="0.25">
      <c r="D178" s="244"/>
      <c r="E178" s="245"/>
      <c r="F178" s="244"/>
      <c r="G178" s="245"/>
    </row>
    <row r="179" spans="4:7" x14ac:dyDescent="0.25">
      <c r="D179" s="244"/>
      <c r="E179" s="245"/>
      <c r="F179" s="244"/>
      <c r="G179" s="245"/>
    </row>
    <row r="180" spans="4:7" x14ac:dyDescent="0.25">
      <c r="D180" s="244"/>
      <c r="E180" s="245"/>
      <c r="F180" s="244"/>
      <c r="G180" s="245"/>
    </row>
    <row r="181" spans="4:7" x14ac:dyDescent="0.25">
      <c r="D181" s="244"/>
      <c r="E181" s="245"/>
      <c r="F181" s="244"/>
      <c r="G181" s="245"/>
    </row>
    <row r="182" spans="4:7" x14ac:dyDescent="0.25">
      <c r="D182" s="244"/>
      <c r="E182" s="245"/>
      <c r="F182" s="244"/>
      <c r="G182" s="245"/>
    </row>
    <row r="183" spans="4:7" x14ac:dyDescent="0.25">
      <c r="D183" s="244"/>
      <c r="E183" s="245"/>
      <c r="F183" s="244"/>
      <c r="G183" s="245"/>
    </row>
    <row r="184" spans="4:7" x14ac:dyDescent="0.25">
      <c r="D184" s="244"/>
      <c r="E184" s="245"/>
      <c r="F184" s="244"/>
      <c r="G184" s="245"/>
    </row>
    <row r="185" spans="4:7" x14ac:dyDescent="0.25">
      <c r="D185" s="244"/>
      <c r="E185" s="245"/>
      <c r="F185" s="244"/>
      <c r="G185" s="245"/>
    </row>
    <row r="186" spans="4:7" x14ac:dyDescent="0.25">
      <c r="D186" s="244"/>
      <c r="E186" s="245"/>
      <c r="F186" s="244"/>
      <c r="G186" s="245"/>
    </row>
    <row r="187" spans="4:7" x14ac:dyDescent="0.25">
      <c r="D187" s="244"/>
      <c r="E187" s="245"/>
      <c r="F187" s="244"/>
      <c r="G187" s="245"/>
    </row>
    <row r="188" spans="4:7" x14ac:dyDescent="0.25">
      <c r="D188" s="244"/>
      <c r="E188" s="245"/>
      <c r="F188" s="244"/>
      <c r="G188" s="245"/>
    </row>
    <row r="189" spans="4:7" x14ac:dyDescent="0.25">
      <c r="D189" s="244"/>
      <c r="E189" s="245"/>
      <c r="F189" s="244"/>
      <c r="G189" s="245"/>
    </row>
    <row r="190" spans="4:7" x14ac:dyDescent="0.25">
      <c r="D190" s="244"/>
      <c r="E190" s="245"/>
      <c r="F190" s="244"/>
      <c r="G190" s="245"/>
    </row>
    <row r="191" spans="4:7" x14ac:dyDescent="0.25">
      <c r="D191" s="244"/>
      <c r="E191" s="245"/>
      <c r="F191" s="244"/>
      <c r="G191" s="245"/>
    </row>
    <row r="192" spans="4:7" x14ac:dyDescent="0.25">
      <c r="D192" s="244"/>
      <c r="E192" s="245"/>
      <c r="F192" s="244"/>
      <c r="G192" s="245"/>
    </row>
    <row r="193" spans="4:7" x14ac:dyDescent="0.25">
      <c r="D193" s="244"/>
      <c r="E193" s="245"/>
      <c r="F193" s="244"/>
      <c r="G193" s="245"/>
    </row>
    <row r="194" spans="4:7" x14ac:dyDescent="0.25">
      <c r="D194" s="244"/>
      <c r="E194" s="245"/>
      <c r="F194" s="244"/>
      <c r="G194" s="245"/>
    </row>
    <row r="195" spans="4:7" x14ac:dyDescent="0.25">
      <c r="D195" s="244"/>
      <c r="E195" s="245"/>
      <c r="F195" s="244"/>
      <c r="G195" s="245"/>
    </row>
    <row r="196" spans="4:7" x14ac:dyDescent="0.25">
      <c r="D196" s="244"/>
      <c r="E196" s="245"/>
      <c r="F196" s="244"/>
      <c r="G196" s="245"/>
    </row>
    <row r="197" spans="4:7" x14ac:dyDescent="0.25">
      <c r="D197" s="244"/>
      <c r="E197" s="245"/>
      <c r="F197" s="244"/>
      <c r="G197" s="245"/>
    </row>
    <row r="198" spans="4:7" x14ac:dyDescent="0.25">
      <c r="D198" s="244"/>
      <c r="E198" s="245"/>
      <c r="F198" s="244"/>
      <c r="G198" s="245"/>
    </row>
    <row r="199" spans="4:7" x14ac:dyDescent="0.25">
      <c r="D199" s="244"/>
      <c r="E199" s="245"/>
      <c r="F199" s="244"/>
      <c r="G199" s="245"/>
    </row>
    <row r="200" spans="4:7" x14ac:dyDescent="0.25">
      <c r="D200" s="244"/>
      <c r="E200" s="245"/>
      <c r="F200" s="244"/>
      <c r="G200" s="245"/>
    </row>
    <row r="201" spans="4:7" x14ac:dyDescent="0.25">
      <c r="D201" s="244"/>
      <c r="E201" s="245"/>
      <c r="F201" s="244"/>
      <c r="G201" s="245"/>
    </row>
    <row r="202" spans="4:7" x14ac:dyDescent="0.25">
      <c r="D202" s="244"/>
      <c r="E202" s="245"/>
      <c r="F202" s="244"/>
      <c r="G202" s="245"/>
    </row>
    <row r="203" spans="4:7" x14ac:dyDescent="0.25">
      <c r="D203" s="244"/>
      <c r="E203" s="245"/>
      <c r="F203" s="244"/>
      <c r="G203" s="245"/>
    </row>
    <row r="204" spans="4:7" x14ac:dyDescent="0.25">
      <c r="D204" s="244"/>
      <c r="E204" s="245"/>
      <c r="F204" s="244"/>
      <c r="G204" s="245"/>
    </row>
    <row r="205" spans="4:7" x14ac:dyDescent="0.25">
      <c r="D205" s="244"/>
      <c r="E205" s="245"/>
      <c r="F205" s="244"/>
      <c r="G205" s="245"/>
    </row>
    <row r="206" spans="4:7" x14ac:dyDescent="0.25">
      <c r="D206" s="244"/>
      <c r="E206" s="245"/>
      <c r="F206" s="244"/>
      <c r="G206" s="245"/>
    </row>
    <row r="207" spans="4:7" x14ac:dyDescent="0.25">
      <c r="D207" s="244"/>
      <c r="E207" s="245"/>
      <c r="F207" s="244"/>
      <c r="G207" s="245"/>
    </row>
    <row r="208" spans="4:7" x14ac:dyDescent="0.25">
      <c r="D208" s="244"/>
      <c r="E208" s="245"/>
      <c r="F208" s="244"/>
      <c r="G208" s="245"/>
    </row>
    <row r="209" spans="4:7" x14ac:dyDescent="0.25">
      <c r="D209" s="244"/>
      <c r="E209" s="245"/>
      <c r="F209" s="244"/>
      <c r="G209" s="245"/>
    </row>
    <row r="210" spans="4:7" x14ac:dyDescent="0.25">
      <c r="D210" s="244"/>
      <c r="E210" s="245"/>
      <c r="F210" s="244"/>
      <c r="G210" s="245"/>
    </row>
    <row r="211" spans="4:7" x14ac:dyDescent="0.25">
      <c r="D211" s="244"/>
      <c r="E211" s="245"/>
      <c r="F211" s="244"/>
      <c r="G211" s="245"/>
    </row>
    <row r="212" spans="4:7" x14ac:dyDescent="0.25">
      <c r="D212" s="244"/>
      <c r="E212" s="245"/>
      <c r="F212" s="244"/>
      <c r="G212" s="245"/>
    </row>
    <row r="213" spans="4:7" x14ac:dyDescent="0.25">
      <c r="D213" s="244"/>
      <c r="E213" s="245"/>
      <c r="F213" s="244"/>
      <c r="G213" s="245"/>
    </row>
    <row r="214" spans="4:7" x14ac:dyDescent="0.25">
      <c r="D214" s="244"/>
      <c r="E214" s="245"/>
      <c r="F214" s="244"/>
      <c r="G214" s="245"/>
    </row>
    <row r="215" spans="4:7" x14ac:dyDescent="0.25">
      <c r="D215" s="244"/>
      <c r="E215" s="245"/>
      <c r="F215" s="244"/>
      <c r="G215" s="245"/>
    </row>
    <row r="216" spans="4:7" x14ac:dyDescent="0.25">
      <c r="D216" s="244"/>
      <c r="E216" s="245"/>
      <c r="F216" s="244"/>
      <c r="G216" s="245"/>
    </row>
    <row r="217" spans="4:7" x14ac:dyDescent="0.25">
      <c r="D217" s="244"/>
      <c r="E217" s="245"/>
      <c r="F217" s="244"/>
      <c r="G217" s="245"/>
    </row>
    <row r="218" spans="4:7" x14ac:dyDescent="0.25">
      <c r="D218" s="244"/>
      <c r="E218" s="245"/>
      <c r="F218" s="244"/>
      <c r="G218" s="245"/>
    </row>
    <row r="219" spans="4:7" x14ac:dyDescent="0.25">
      <c r="D219" s="244"/>
      <c r="E219" s="245"/>
      <c r="F219" s="244"/>
      <c r="G219" s="245"/>
    </row>
    <row r="220" spans="4:7" x14ac:dyDescent="0.25">
      <c r="D220" s="244"/>
      <c r="E220" s="245"/>
      <c r="F220" s="244"/>
      <c r="G220" s="245"/>
    </row>
    <row r="221" spans="4:7" x14ac:dyDescent="0.25">
      <c r="D221" s="244"/>
      <c r="E221" s="245"/>
      <c r="F221" s="244"/>
      <c r="G221" s="245"/>
    </row>
    <row r="222" spans="4:7" x14ac:dyDescent="0.25">
      <c r="D222" s="244"/>
      <c r="E222" s="245"/>
      <c r="F222" s="244"/>
      <c r="G222" s="245"/>
    </row>
    <row r="223" spans="4:7" x14ac:dyDescent="0.25">
      <c r="D223" s="244"/>
      <c r="E223" s="245"/>
      <c r="F223" s="244"/>
      <c r="G223" s="245"/>
    </row>
    <row r="224" spans="4:7" x14ac:dyDescent="0.25">
      <c r="D224" s="244"/>
      <c r="E224" s="245"/>
      <c r="F224" s="244"/>
      <c r="G224" s="245"/>
    </row>
    <row r="225" spans="4:7" x14ac:dyDescent="0.25">
      <c r="D225" s="244"/>
      <c r="E225" s="245"/>
      <c r="F225" s="244"/>
      <c r="G225" s="245"/>
    </row>
    <row r="226" spans="4:7" x14ac:dyDescent="0.25">
      <c r="D226" s="244"/>
      <c r="E226" s="245"/>
      <c r="F226" s="244"/>
      <c r="G226" s="245"/>
    </row>
    <row r="227" spans="4:7" x14ac:dyDescent="0.25">
      <c r="D227" s="244"/>
      <c r="E227" s="245"/>
      <c r="F227" s="244"/>
      <c r="G227" s="245"/>
    </row>
    <row r="228" spans="4:7" x14ac:dyDescent="0.25">
      <c r="D228" s="244"/>
      <c r="E228" s="245"/>
      <c r="F228" s="244"/>
      <c r="G228" s="245"/>
    </row>
    <row r="229" spans="4:7" x14ac:dyDescent="0.25">
      <c r="D229" s="244"/>
      <c r="E229" s="245"/>
      <c r="F229" s="244"/>
      <c r="G229" s="245"/>
    </row>
    <row r="230" spans="4:7" x14ac:dyDescent="0.25">
      <c r="D230" s="244"/>
      <c r="E230" s="245"/>
      <c r="F230" s="244"/>
      <c r="G230" s="245"/>
    </row>
    <row r="231" spans="4:7" x14ac:dyDescent="0.25">
      <c r="D231" s="244"/>
      <c r="E231" s="245"/>
      <c r="F231" s="244"/>
      <c r="G231" s="245"/>
    </row>
    <row r="232" spans="4:7" x14ac:dyDescent="0.25">
      <c r="D232" s="244"/>
      <c r="E232" s="245"/>
      <c r="F232" s="244"/>
      <c r="G232" s="245"/>
    </row>
    <row r="233" spans="4:7" x14ac:dyDescent="0.25">
      <c r="D233" s="244"/>
      <c r="E233" s="245"/>
      <c r="F233" s="244"/>
      <c r="G233" s="245"/>
    </row>
    <row r="234" spans="4:7" x14ac:dyDescent="0.25">
      <c r="D234" s="244"/>
      <c r="E234" s="245"/>
      <c r="F234" s="244"/>
      <c r="G234" s="245"/>
    </row>
    <row r="235" spans="4:7" x14ac:dyDescent="0.25">
      <c r="D235" s="244"/>
      <c r="E235" s="245"/>
      <c r="F235" s="244"/>
      <c r="G235" s="245"/>
    </row>
    <row r="236" spans="4:7" x14ac:dyDescent="0.25">
      <c r="D236" s="244"/>
      <c r="E236" s="245"/>
      <c r="F236" s="244"/>
      <c r="G236" s="245"/>
    </row>
    <row r="237" spans="4:7" x14ac:dyDescent="0.25">
      <c r="D237" s="244"/>
      <c r="E237" s="245"/>
      <c r="F237" s="244"/>
      <c r="G237" s="245"/>
    </row>
    <row r="238" spans="4:7" x14ac:dyDescent="0.25">
      <c r="D238" s="244"/>
      <c r="E238" s="245"/>
      <c r="F238" s="244"/>
      <c r="G238" s="245"/>
    </row>
    <row r="239" spans="4:7" x14ac:dyDescent="0.25">
      <c r="D239" s="244"/>
      <c r="E239" s="245"/>
      <c r="F239" s="244"/>
      <c r="G239" s="245"/>
    </row>
    <row r="240" spans="4:7" x14ac:dyDescent="0.25">
      <c r="D240" s="244"/>
      <c r="E240" s="245"/>
      <c r="F240" s="244"/>
      <c r="G240" s="245"/>
    </row>
    <row r="241" spans="4:7" x14ac:dyDescent="0.25">
      <c r="D241" s="244"/>
      <c r="E241" s="245"/>
      <c r="F241" s="244"/>
      <c r="G241" s="245"/>
    </row>
    <row r="242" spans="4:7" x14ac:dyDescent="0.25">
      <c r="D242" s="244"/>
      <c r="E242" s="245"/>
      <c r="F242" s="244"/>
      <c r="G242" s="245"/>
    </row>
    <row r="243" spans="4:7" x14ac:dyDescent="0.25">
      <c r="D243" s="244"/>
      <c r="E243" s="245"/>
      <c r="F243" s="244"/>
      <c r="G243" s="245"/>
    </row>
    <row r="244" spans="4:7" x14ac:dyDescent="0.25">
      <c r="D244" s="244"/>
      <c r="E244" s="245"/>
      <c r="F244" s="244"/>
      <c r="G244" s="245"/>
    </row>
    <row r="245" spans="4:7" x14ac:dyDescent="0.25">
      <c r="D245" s="244"/>
      <c r="E245" s="245"/>
      <c r="F245" s="244"/>
      <c r="G245" s="245"/>
    </row>
    <row r="246" spans="4:7" x14ac:dyDescent="0.25">
      <c r="D246" s="244"/>
      <c r="E246" s="245"/>
      <c r="F246" s="244"/>
      <c r="G246" s="245"/>
    </row>
    <row r="247" spans="4:7" x14ac:dyDescent="0.25">
      <c r="D247" s="244"/>
      <c r="E247" s="245"/>
      <c r="F247" s="244"/>
      <c r="G247" s="245"/>
    </row>
    <row r="248" spans="4:7" x14ac:dyDescent="0.25">
      <c r="D248" s="244"/>
      <c r="E248" s="245"/>
      <c r="F248" s="244"/>
      <c r="G248" s="245"/>
    </row>
    <row r="249" spans="4:7" x14ac:dyDescent="0.25">
      <c r="D249" s="244"/>
      <c r="E249" s="245"/>
      <c r="F249" s="244"/>
      <c r="G249" s="245"/>
    </row>
    <row r="250" spans="4:7" x14ac:dyDescent="0.25">
      <c r="D250" s="244"/>
      <c r="E250" s="245"/>
      <c r="F250" s="244"/>
      <c r="G250" s="245"/>
    </row>
    <row r="251" spans="4:7" x14ac:dyDescent="0.25">
      <c r="D251" s="244"/>
      <c r="E251" s="245"/>
      <c r="F251" s="244"/>
      <c r="G251" s="245"/>
    </row>
    <row r="252" spans="4:7" x14ac:dyDescent="0.25">
      <c r="D252" s="244"/>
      <c r="E252" s="245"/>
      <c r="F252" s="244"/>
      <c r="G252" s="245"/>
    </row>
    <row r="253" spans="4:7" x14ac:dyDescent="0.25">
      <c r="D253" s="244"/>
      <c r="E253" s="245"/>
      <c r="F253" s="244"/>
      <c r="G253" s="245"/>
    </row>
    <row r="254" spans="4:7" x14ac:dyDescent="0.25">
      <c r="D254" s="244"/>
      <c r="E254" s="245"/>
      <c r="F254" s="244"/>
      <c r="G254" s="245"/>
    </row>
    <row r="255" spans="4:7" x14ac:dyDescent="0.25">
      <c r="D255" s="244"/>
      <c r="E255" s="245"/>
      <c r="F255" s="244"/>
      <c r="G255" s="245"/>
    </row>
    <row r="256" spans="4:7" x14ac:dyDescent="0.25">
      <c r="D256" s="244"/>
      <c r="E256" s="245"/>
      <c r="F256" s="244"/>
      <c r="G256" s="245"/>
    </row>
    <row r="257" spans="4:7" x14ac:dyDescent="0.25">
      <c r="D257" s="244"/>
      <c r="E257" s="245"/>
      <c r="F257" s="244"/>
      <c r="G257" s="245"/>
    </row>
    <row r="258" spans="4:7" x14ac:dyDescent="0.25">
      <c r="D258" s="244"/>
      <c r="E258" s="245"/>
      <c r="F258" s="244"/>
      <c r="G258" s="245"/>
    </row>
    <row r="259" spans="4:7" x14ac:dyDescent="0.25">
      <c r="D259" s="244"/>
      <c r="E259" s="245"/>
      <c r="F259" s="244"/>
      <c r="G259" s="245"/>
    </row>
    <row r="260" spans="4:7" x14ac:dyDescent="0.25">
      <c r="D260" s="244"/>
      <c r="E260" s="245"/>
      <c r="F260" s="244"/>
      <c r="G260" s="245"/>
    </row>
    <row r="261" spans="4:7" x14ac:dyDescent="0.25">
      <c r="D261" s="244"/>
      <c r="E261" s="245"/>
      <c r="F261" s="244"/>
      <c r="G261" s="245"/>
    </row>
    <row r="262" spans="4:7" x14ac:dyDescent="0.25">
      <c r="D262" s="244"/>
      <c r="E262" s="245"/>
      <c r="F262" s="244"/>
      <c r="G262" s="245"/>
    </row>
    <row r="263" spans="4:7" x14ac:dyDescent="0.25">
      <c r="D263" s="244"/>
      <c r="E263" s="245"/>
      <c r="F263" s="244"/>
      <c r="G263" s="245"/>
    </row>
    <row r="264" spans="4:7" x14ac:dyDescent="0.25">
      <c r="D264" s="244"/>
      <c r="E264" s="245"/>
      <c r="F264" s="244"/>
      <c r="G264" s="245"/>
    </row>
    <row r="265" spans="4:7" x14ac:dyDescent="0.25">
      <c r="D265" s="244"/>
      <c r="E265" s="245"/>
      <c r="F265" s="244"/>
      <c r="G265" s="245"/>
    </row>
    <row r="266" spans="4:7" x14ac:dyDescent="0.25">
      <c r="D266" s="244"/>
      <c r="E266" s="245"/>
      <c r="F266" s="244"/>
      <c r="G266" s="245"/>
    </row>
    <row r="267" spans="4:7" x14ac:dyDescent="0.25">
      <c r="D267" s="244"/>
      <c r="E267" s="245"/>
      <c r="F267" s="244"/>
      <c r="G267" s="245"/>
    </row>
    <row r="268" spans="4:7" x14ac:dyDescent="0.25">
      <c r="D268" s="244"/>
      <c r="E268" s="245"/>
      <c r="F268" s="244"/>
      <c r="G268" s="245"/>
    </row>
    <row r="269" spans="4:7" x14ac:dyDescent="0.25">
      <c r="D269" s="244"/>
      <c r="E269" s="245"/>
      <c r="F269" s="244"/>
      <c r="G269" s="245"/>
    </row>
    <row r="270" spans="4:7" x14ac:dyDescent="0.25">
      <c r="D270" s="244"/>
      <c r="E270" s="245"/>
      <c r="F270" s="244"/>
      <c r="G270" s="245"/>
    </row>
    <row r="271" spans="4:7" x14ac:dyDescent="0.25">
      <c r="D271" s="244"/>
      <c r="E271" s="245"/>
      <c r="F271" s="244"/>
      <c r="G271" s="245"/>
    </row>
    <row r="272" spans="4:7" x14ac:dyDescent="0.25">
      <c r="D272" s="244"/>
      <c r="E272" s="245"/>
      <c r="F272" s="244"/>
      <c r="G272" s="245"/>
    </row>
    <row r="273" spans="4:7" x14ac:dyDescent="0.25">
      <c r="D273" s="244"/>
      <c r="E273" s="245"/>
      <c r="F273" s="244"/>
      <c r="G273" s="245"/>
    </row>
    <row r="274" spans="4:7" x14ac:dyDescent="0.25">
      <c r="D274" s="244"/>
      <c r="E274" s="245"/>
      <c r="F274" s="244"/>
      <c r="G274" s="245"/>
    </row>
    <row r="275" spans="4:7" x14ac:dyDescent="0.25">
      <c r="D275" s="244"/>
      <c r="E275" s="245"/>
      <c r="F275" s="244"/>
      <c r="G275" s="245"/>
    </row>
    <row r="276" spans="4:7" x14ac:dyDescent="0.25">
      <c r="D276" s="244"/>
      <c r="E276" s="245"/>
      <c r="F276" s="244"/>
      <c r="G276" s="245"/>
    </row>
    <row r="277" spans="4:7" x14ac:dyDescent="0.25">
      <c r="D277" s="244"/>
      <c r="E277" s="245"/>
      <c r="F277" s="244"/>
      <c r="G277" s="245"/>
    </row>
    <row r="278" spans="4:7" x14ac:dyDescent="0.25">
      <c r="D278" s="244"/>
      <c r="E278" s="245"/>
      <c r="F278" s="244"/>
      <c r="G278" s="245"/>
    </row>
    <row r="279" spans="4:7" x14ac:dyDescent="0.25">
      <c r="D279" s="244"/>
      <c r="E279" s="245"/>
      <c r="F279" s="244"/>
      <c r="G279" s="245"/>
    </row>
    <row r="280" spans="4:7" x14ac:dyDescent="0.25">
      <c r="D280" s="244"/>
      <c r="E280" s="245"/>
      <c r="F280" s="244"/>
      <c r="G280" s="245"/>
    </row>
    <row r="281" spans="4:7" x14ac:dyDescent="0.25">
      <c r="D281" s="244"/>
      <c r="E281" s="245"/>
      <c r="F281" s="244"/>
      <c r="G281" s="245"/>
    </row>
    <row r="282" spans="4:7" x14ac:dyDescent="0.25">
      <c r="D282" s="244"/>
      <c r="E282" s="245"/>
      <c r="F282" s="244"/>
      <c r="G282" s="245"/>
    </row>
    <row r="283" spans="4:7" x14ac:dyDescent="0.25">
      <c r="D283" s="244"/>
      <c r="E283" s="245"/>
      <c r="F283" s="244"/>
      <c r="G283" s="245"/>
    </row>
    <row r="284" spans="4:7" x14ac:dyDescent="0.25">
      <c r="D284" s="244"/>
      <c r="E284" s="245"/>
      <c r="F284" s="244"/>
      <c r="G284" s="245"/>
    </row>
    <row r="285" spans="4:7" x14ac:dyDescent="0.25">
      <c r="D285" s="244"/>
      <c r="E285" s="245"/>
      <c r="F285" s="244"/>
      <c r="G285" s="245"/>
    </row>
    <row r="286" spans="4:7" x14ac:dyDescent="0.25">
      <c r="D286" s="244"/>
      <c r="E286" s="245"/>
      <c r="F286" s="244"/>
      <c r="G286" s="245"/>
    </row>
    <row r="287" spans="4:7" x14ac:dyDescent="0.25">
      <c r="D287" s="244"/>
      <c r="E287" s="245"/>
      <c r="F287" s="244"/>
      <c r="G287" s="245"/>
    </row>
    <row r="288" spans="4:7" x14ac:dyDescent="0.25">
      <c r="D288" s="244"/>
      <c r="E288" s="245"/>
      <c r="F288" s="244"/>
      <c r="G288" s="245"/>
    </row>
    <row r="289" spans="4:7" x14ac:dyDescent="0.25">
      <c r="D289" s="244"/>
      <c r="E289" s="245"/>
      <c r="F289" s="244"/>
      <c r="G289" s="245"/>
    </row>
    <row r="290" spans="4:7" x14ac:dyDescent="0.25">
      <c r="D290" s="244"/>
      <c r="E290" s="245"/>
      <c r="F290" s="244"/>
      <c r="G290" s="245"/>
    </row>
    <row r="291" spans="4:7" x14ac:dyDescent="0.25">
      <c r="D291" s="244"/>
      <c r="E291" s="245"/>
      <c r="F291" s="244"/>
      <c r="G291" s="245"/>
    </row>
    <row r="292" spans="4:7" x14ac:dyDescent="0.25">
      <c r="D292" s="244"/>
      <c r="E292" s="245"/>
      <c r="F292" s="244"/>
      <c r="G292" s="245"/>
    </row>
    <row r="293" spans="4:7" x14ac:dyDescent="0.25">
      <c r="D293" s="244"/>
      <c r="E293" s="245"/>
      <c r="F293" s="244"/>
      <c r="G293" s="245"/>
    </row>
    <row r="294" spans="4:7" x14ac:dyDescent="0.25">
      <c r="D294" s="244"/>
      <c r="E294" s="245"/>
      <c r="F294" s="244"/>
      <c r="G294" s="245"/>
    </row>
    <row r="295" spans="4:7" x14ac:dyDescent="0.25">
      <c r="D295" s="244"/>
      <c r="E295" s="245"/>
      <c r="F295" s="244"/>
      <c r="G295" s="245"/>
    </row>
    <row r="296" spans="4:7" x14ac:dyDescent="0.25">
      <c r="D296" s="244"/>
      <c r="E296" s="245"/>
      <c r="F296" s="244"/>
      <c r="G296" s="245"/>
    </row>
    <row r="297" spans="4:7" x14ac:dyDescent="0.25">
      <c r="D297" s="244"/>
      <c r="E297" s="245"/>
      <c r="F297" s="244"/>
      <c r="G297" s="245"/>
    </row>
    <row r="298" spans="4:7" x14ac:dyDescent="0.25">
      <c r="D298" s="244"/>
      <c r="E298" s="245"/>
      <c r="F298" s="244"/>
      <c r="G298" s="245"/>
    </row>
    <row r="299" spans="4:7" x14ac:dyDescent="0.25">
      <c r="D299" s="244"/>
      <c r="E299" s="245"/>
      <c r="F299" s="244"/>
      <c r="G299" s="245"/>
    </row>
    <row r="300" spans="4:7" x14ac:dyDescent="0.25">
      <c r="D300" s="244"/>
      <c r="E300" s="245"/>
      <c r="F300" s="244"/>
      <c r="G300" s="245"/>
    </row>
    <row r="301" spans="4:7" x14ac:dyDescent="0.25">
      <c r="D301" s="244"/>
      <c r="E301" s="245"/>
      <c r="F301" s="244"/>
      <c r="G301" s="245"/>
    </row>
    <row r="302" spans="4:7" x14ac:dyDescent="0.25">
      <c r="D302" s="244"/>
      <c r="E302" s="245"/>
      <c r="F302" s="244"/>
      <c r="G302" s="245"/>
    </row>
  </sheetData>
  <customSheetViews>
    <customSheetView guid="{679A3195-3DEA-4AC2-A535-82AAF5B552BC}" state="hidden">
      <selection activeCell="A7" sqref="A7"/>
      <pageMargins left="0.7" right="0.7" top="0.75" bottom="0.75" header="0.3" footer="0.3"/>
    </customSheetView>
    <customSheetView guid="{7378B641-E8D1-4C14-8151-CF4CE159D121}">
      <selection activeCell="C3" sqref="C3"/>
      <pageMargins left="0.7" right="0.7" top="0.75" bottom="0.75" header="0.3" footer="0.3"/>
    </customSheetView>
    <customSheetView guid="{6D63B10B-E1E6-452A-80EB-4B2C7D61CF66}" state="hidden">
      <selection activeCell="A7" sqref="A7"/>
      <pageMargins left="0.7" right="0.7" top="0.75" bottom="0.75" header="0.3" footer="0.3"/>
    </customSheetView>
  </customSheetView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6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2" customWidth="1"/>
    <col min="5" max="5" width="18.7109375" customWidth="1"/>
    <col min="6" max="6" width="14" customWidth="1"/>
    <col min="7" max="7" width="17.85546875" customWidth="1"/>
    <col min="8" max="8" width="18.28515625" customWidth="1"/>
    <col min="9" max="9" width="13.85546875" customWidth="1"/>
    <col min="10" max="10" width="12.140625" customWidth="1"/>
    <col min="11" max="11" width="12.28515625" customWidth="1"/>
  </cols>
  <sheetData>
    <row r="1" spans="1:11" ht="23.25" customHeight="1" x14ac:dyDescent="0.25">
      <c r="A1" s="3" t="s">
        <v>26</v>
      </c>
      <c r="B1" s="4" t="s">
        <v>3337</v>
      </c>
      <c r="C1" s="535" t="s">
        <v>3058</v>
      </c>
      <c r="D1" s="558" t="str">
        <f>B1</f>
        <v>Savings Summary by Year, Excluding 2012</v>
      </c>
    </row>
    <row r="2" spans="1:11" x14ac:dyDescent="0.25">
      <c r="A2" t="s">
        <v>20</v>
      </c>
      <c r="B2" s="2" t="s">
        <v>60</v>
      </c>
      <c r="C2" s="536" t="s">
        <v>3059</v>
      </c>
    </row>
    <row r="3" spans="1:11" x14ac:dyDescent="0.25">
      <c r="A3" t="s">
        <v>1184</v>
      </c>
      <c r="B3" s="4" t="s">
        <v>2426</v>
      </c>
      <c r="C3" s="536" t="s">
        <v>1193</v>
      </c>
    </row>
    <row r="4" spans="1:11" ht="28.5" x14ac:dyDescent="0.25">
      <c r="A4" t="s">
        <v>3148</v>
      </c>
      <c r="B4" s="4" t="s">
        <v>2253</v>
      </c>
      <c r="C4" s="2"/>
      <c r="D4" s="605" t="str">
        <f>'17D'!A1</f>
        <v>IOU</v>
      </c>
      <c r="E4" s="605" t="str">
        <f>'17D'!B1</f>
        <v>Year</v>
      </c>
      <c r="F4" s="605" t="str">
        <f>'17D'!C1</f>
        <v>Electric Utility</v>
      </c>
      <c r="G4" s="605" t="str">
        <f>'17D'!D1</f>
        <v>Gas Utility</v>
      </c>
      <c r="H4" s="605" t="str">
        <f>'17D'!E1</f>
        <v>Number of Jobs</v>
      </c>
      <c r="I4" s="605" t="str">
        <f>'17D'!F1</f>
        <v>kWh Savings</v>
      </c>
      <c r="J4" s="605" t="str">
        <f>'17D'!G1</f>
        <v>kW Savings</v>
      </c>
      <c r="K4" s="605" t="str">
        <f>'17D'!H1</f>
        <v>Therms Savings</v>
      </c>
    </row>
    <row r="5" spans="1:11" x14ac:dyDescent="0.25">
      <c r="B5" s="2"/>
      <c r="C5" s="2"/>
      <c r="D5" s="82" t="str">
        <f>'17D'!A2</f>
        <v>PG&amp;E</v>
      </c>
      <c r="E5" s="83">
        <f>'17D'!B2</f>
        <v>2010</v>
      </c>
      <c r="F5" s="609" t="str">
        <f>'17D'!C2</f>
        <v>PG&amp;E</v>
      </c>
      <c r="G5" s="609" t="str">
        <f>'17D'!D2</f>
        <v>PG&amp;E</v>
      </c>
      <c r="H5" s="294">
        <f>'17D'!E2</f>
        <v>16</v>
      </c>
      <c r="I5" s="294">
        <f>'17D'!F2</f>
        <v>46174</v>
      </c>
      <c r="J5" s="294">
        <f>'17D'!G2</f>
        <v>30</v>
      </c>
      <c r="K5" s="294">
        <f>'17D'!H2</f>
        <v>6347</v>
      </c>
    </row>
    <row r="6" spans="1:11" x14ac:dyDescent="0.25">
      <c r="D6" s="82" t="str">
        <f>'17D'!A3</f>
        <v>PG&amp;E</v>
      </c>
      <c r="E6" s="83">
        <f>'17D'!B3</f>
        <v>2010</v>
      </c>
      <c r="F6" s="83" t="str">
        <f>'17D'!C3</f>
        <v>SMUD</v>
      </c>
      <c r="G6" s="83" t="str">
        <f>'17D'!D3</f>
        <v>PG&amp;E</v>
      </c>
      <c r="H6" s="294">
        <f>'17D'!E3</f>
        <v>10</v>
      </c>
      <c r="I6" s="294">
        <f>'17D'!F3</f>
        <v>31688</v>
      </c>
      <c r="J6" s="294">
        <f>'17D'!G3</f>
        <v>30</v>
      </c>
      <c r="K6" s="294">
        <f>'17D'!H3</f>
        <v>3006</v>
      </c>
    </row>
    <row r="7" spans="1:11" x14ac:dyDescent="0.25">
      <c r="D7" s="82" t="str">
        <f>'17D'!A4</f>
        <v>PG&amp;E</v>
      </c>
      <c r="E7" s="83">
        <f>'17D'!B4</f>
        <v>2011</v>
      </c>
      <c r="F7" s="83" t="str">
        <f>'17D'!C4</f>
        <v>PG&amp;E</v>
      </c>
      <c r="G7" s="248" t="str">
        <f>'17D'!D4</f>
        <v>PG&amp;E</v>
      </c>
      <c r="H7" s="294">
        <f>'17D'!E4</f>
        <v>579</v>
      </c>
      <c r="I7" s="294">
        <f>'17D'!F4</f>
        <v>1351464</v>
      </c>
      <c r="J7" s="294">
        <f>'17D'!G4</f>
        <v>436</v>
      </c>
      <c r="K7" s="294">
        <f>'17D'!H4</f>
        <v>502710</v>
      </c>
    </row>
    <row r="8" spans="1:11" x14ac:dyDescent="0.25">
      <c r="D8" s="82" t="str">
        <f>'17D'!A5</f>
        <v>PG&amp;E</v>
      </c>
      <c r="E8" s="83">
        <f>'17D'!B5</f>
        <v>2011</v>
      </c>
      <c r="F8" s="83" t="str">
        <f>'17D'!C5</f>
        <v>PG&amp;E</v>
      </c>
      <c r="G8" s="83" t="str">
        <f>'17D'!D5</f>
        <v>Unknown</v>
      </c>
      <c r="H8" s="294">
        <f>'17D'!E5</f>
        <v>24</v>
      </c>
      <c r="I8" s="294">
        <f>'17D'!F5</f>
        <v>159565</v>
      </c>
      <c r="J8" s="294">
        <f>'17D'!G5</f>
        <v>0</v>
      </c>
      <c r="K8" s="294">
        <f>'17D'!H5</f>
        <v>2262</v>
      </c>
    </row>
    <row r="9" spans="1:11" x14ac:dyDescent="0.25">
      <c r="D9" s="82" t="str">
        <f>'17D'!A6</f>
        <v>PG&amp;E</v>
      </c>
      <c r="E9" s="83">
        <f>'17D'!B6</f>
        <v>2011</v>
      </c>
      <c r="F9" s="83" t="str">
        <f>'17D'!C6</f>
        <v>SMUD</v>
      </c>
      <c r="G9" s="83" t="str">
        <f>'17D'!D6</f>
        <v>PG&amp;E</v>
      </c>
      <c r="H9" s="294">
        <f>'17D'!E6</f>
        <v>243</v>
      </c>
      <c r="I9" s="294">
        <f>'17D'!F6</f>
        <v>753337</v>
      </c>
      <c r="J9" s="294">
        <f>'17D'!G6</f>
        <v>388</v>
      </c>
      <c r="K9" s="294">
        <f>'17D'!H6</f>
        <v>68939</v>
      </c>
    </row>
    <row r="10" spans="1:11" x14ac:dyDescent="0.25">
      <c r="D10" s="82" t="str">
        <f>'17D'!A7</f>
        <v>PG&amp;E</v>
      </c>
      <c r="E10" s="83">
        <f>'17D'!B7</f>
        <v>2011</v>
      </c>
      <c r="F10" s="83" t="str">
        <f>'17D'!C7</f>
        <v>Unknown</v>
      </c>
      <c r="G10" s="83" t="str">
        <f>'17D'!D7</f>
        <v>PG&amp;E</v>
      </c>
      <c r="H10" s="294">
        <f>'17D'!E7</f>
        <v>17</v>
      </c>
      <c r="I10" s="294">
        <f>'17D'!F7</f>
        <v>54054</v>
      </c>
      <c r="J10" s="294">
        <f>'17D'!G7</f>
        <v>0</v>
      </c>
      <c r="K10" s="294">
        <f>'17D'!H7</f>
        <v>3422</v>
      </c>
    </row>
    <row r="11" spans="1:11" x14ac:dyDescent="0.25">
      <c r="D11" s="82" t="str">
        <f>'17D'!A8</f>
        <v>PG&amp;E</v>
      </c>
      <c r="E11" s="83">
        <f>'17D'!B8</f>
        <v>2011</v>
      </c>
      <c r="F11" s="83" t="str">
        <f>'17D'!C8</f>
        <v>Unknown</v>
      </c>
      <c r="G11" s="83" t="str">
        <f>'17D'!D8</f>
        <v>Unknown</v>
      </c>
      <c r="H11" s="294">
        <f>'17D'!E8</f>
        <v>220</v>
      </c>
      <c r="I11" s="294">
        <f>'17D'!F8</f>
        <v>461013</v>
      </c>
      <c r="J11" s="294">
        <f>'17D'!G8</f>
        <v>0</v>
      </c>
      <c r="K11" s="294">
        <f>'17D'!H8</f>
        <v>74063</v>
      </c>
    </row>
    <row r="12" spans="1:11" x14ac:dyDescent="0.25">
      <c r="D12" s="82" t="str">
        <f>'17D'!A9</f>
        <v>SCE</v>
      </c>
      <c r="E12" s="83">
        <f>'17D'!B9</f>
        <v>2011</v>
      </c>
      <c r="F12" s="295" t="str">
        <f>'17D'!C9</f>
        <v>SCE</v>
      </c>
      <c r="G12" s="83" t="str">
        <f>'17D'!D9</f>
        <v>SCG</v>
      </c>
      <c r="H12" s="294">
        <f>'17D'!E9</f>
        <v>83</v>
      </c>
      <c r="I12" s="294">
        <f>'17D'!F9</f>
        <v>200874</v>
      </c>
      <c r="J12" s="294">
        <f>'17D'!G9</f>
        <v>244</v>
      </c>
      <c r="K12" s="294">
        <f>'17D'!H9</f>
        <v>13504</v>
      </c>
    </row>
    <row r="13" spans="1:11" x14ac:dyDescent="0.25">
      <c r="D13" s="82" t="str">
        <f>'17D'!A10</f>
        <v>SCE</v>
      </c>
      <c r="E13" s="83">
        <f>'17D'!B10</f>
        <v>2011</v>
      </c>
      <c r="F13" s="295" t="str">
        <f>'17D'!C10</f>
        <v>SCE</v>
      </c>
      <c r="G13" s="83" t="str">
        <f>'17D'!D10</f>
        <v>Unknown</v>
      </c>
      <c r="H13" s="294">
        <f>'17D'!E10</f>
        <v>1</v>
      </c>
      <c r="I13" s="294">
        <f>'17D'!F10</f>
        <v>4161</v>
      </c>
      <c r="J13" s="294">
        <f>'17D'!G10</f>
        <v>3</v>
      </c>
      <c r="K13" s="294">
        <f>'17D'!H10</f>
        <v>0</v>
      </c>
    </row>
    <row r="14" spans="1:11" x14ac:dyDescent="0.25">
      <c r="D14" s="81"/>
      <c r="E14" s="82"/>
      <c r="F14" s="84"/>
    </row>
    <row r="15" spans="1:11" x14ac:dyDescent="0.25">
      <c r="D15" s="81"/>
      <c r="E15" s="82"/>
    </row>
    <row r="16" spans="1:11" x14ac:dyDescent="0.25">
      <c r="D16" s="81"/>
      <c r="E16" s="82"/>
    </row>
    <row r="17" spans="4:5" x14ac:dyDescent="0.25">
      <c r="D17" s="81"/>
      <c r="E17" s="82"/>
    </row>
    <row r="18" spans="4:5" x14ac:dyDescent="0.25">
      <c r="D18" s="81"/>
      <c r="E18" s="82"/>
    </row>
    <row r="19" spans="4:5" x14ac:dyDescent="0.25">
      <c r="D19" s="81"/>
      <c r="E19" s="82"/>
    </row>
    <row r="20" spans="4:5" x14ac:dyDescent="0.25">
      <c r="D20" s="81"/>
      <c r="E20" s="82"/>
    </row>
    <row r="21" spans="4:5" x14ac:dyDescent="0.25">
      <c r="D21" s="81"/>
      <c r="E21" s="82"/>
    </row>
    <row r="22" spans="4:5" x14ac:dyDescent="0.25">
      <c r="D22" s="81"/>
      <c r="E22" s="82"/>
    </row>
    <row r="23" spans="4:5" x14ac:dyDescent="0.25">
      <c r="D23" s="81"/>
      <c r="E23" s="82"/>
    </row>
    <row r="24" spans="4:5" x14ac:dyDescent="0.25">
      <c r="D24" s="81"/>
      <c r="E24" s="82"/>
    </row>
    <row r="25" spans="4:5" x14ac:dyDescent="0.25">
      <c r="D25" s="81"/>
      <c r="E25" s="82"/>
    </row>
    <row r="26" spans="4:5" x14ac:dyDescent="0.25">
      <c r="D26" s="81"/>
      <c r="E26" s="82"/>
    </row>
    <row r="27" spans="4:5" x14ac:dyDescent="0.25">
      <c r="D27" s="81"/>
      <c r="E27" s="82"/>
    </row>
    <row r="28" spans="4:5" x14ac:dyDescent="0.25">
      <c r="D28" s="81"/>
      <c r="E28" s="82"/>
    </row>
    <row r="29" spans="4:5" x14ac:dyDescent="0.25">
      <c r="D29" s="81"/>
      <c r="E29" s="82"/>
    </row>
    <row r="30" spans="4:5" x14ac:dyDescent="0.25">
      <c r="D30" s="81"/>
      <c r="E30" s="82"/>
    </row>
    <row r="31" spans="4:5" x14ac:dyDescent="0.25">
      <c r="D31" s="81"/>
      <c r="E31" s="82"/>
    </row>
    <row r="32" spans="4:5" x14ac:dyDescent="0.25">
      <c r="D32" s="81"/>
      <c r="E32" s="82"/>
    </row>
    <row r="33" spans="4:5" x14ac:dyDescent="0.25">
      <c r="D33" s="81"/>
      <c r="E33" s="82"/>
    </row>
    <row r="34" spans="4:5" x14ac:dyDescent="0.25">
      <c r="D34" s="81"/>
      <c r="E34" s="82"/>
    </row>
    <row r="35" spans="4:5" x14ac:dyDescent="0.25">
      <c r="D35" s="81"/>
      <c r="E35" s="82"/>
    </row>
    <row r="36" spans="4:5" x14ac:dyDescent="0.25">
      <c r="D36" s="81"/>
      <c r="E36" s="82"/>
    </row>
    <row r="37" spans="4:5" x14ac:dyDescent="0.25">
      <c r="D37" s="81"/>
      <c r="E37" s="82"/>
    </row>
    <row r="38" spans="4:5" x14ac:dyDescent="0.25">
      <c r="D38" s="81"/>
      <c r="E38" s="82"/>
    </row>
    <row r="39" spans="4:5" x14ac:dyDescent="0.25">
      <c r="D39" s="81"/>
      <c r="E39" s="82"/>
    </row>
    <row r="40" spans="4:5" x14ac:dyDescent="0.25">
      <c r="D40" s="81"/>
      <c r="E40" s="82"/>
    </row>
    <row r="41" spans="4:5" x14ac:dyDescent="0.25">
      <c r="D41" s="81"/>
      <c r="E41" s="82"/>
    </row>
    <row r="42" spans="4:5" x14ac:dyDescent="0.25">
      <c r="D42" s="81"/>
      <c r="E42" s="82"/>
    </row>
    <row r="43" spans="4:5" x14ac:dyDescent="0.25">
      <c r="D43" s="81"/>
      <c r="E43" s="82"/>
    </row>
    <row r="44" spans="4:5" x14ac:dyDescent="0.25">
      <c r="D44" s="81"/>
      <c r="E44" s="82"/>
    </row>
    <row r="45" spans="4:5" x14ac:dyDescent="0.25">
      <c r="D45" s="81"/>
      <c r="E45" s="82"/>
    </row>
    <row r="46" spans="4:5" x14ac:dyDescent="0.25">
      <c r="D46" s="81"/>
      <c r="E46" s="82"/>
    </row>
    <row r="47" spans="4:5" x14ac:dyDescent="0.25">
      <c r="D47" s="81"/>
      <c r="E47" s="82"/>
    </row>
    <row r="48" spans="4:5" x14ac:dyDescent="0.25">
      <c r="D48" s="81"/>
      <c r="E48" s="82"/>
    </row>
    <row r="49" spans="5:5" x14ac:dyDescent="0.25">
      <c r="E49" s="82"/>
    </row>
    <row r="50" spans="5:5" x14ac:dyDescent="0.25">
      <c r="E50" s="82"/>
    </row>
    <row r="51" spans="5:5" x14ac:dyDescent="0.25">
      <c r="E51" s="82"/>
    </row>
    <row r="52" spans="5:5" x14ac:dyDescent="0.25">
      <c r="E52" s="82"/>
    </row>
    <row r="53" spans="5:5" x14ac:dyDescent="0.25">
      <c r="E53" s="82"/>
    </row>
    <row r="54" spans="5:5" x14ac:dyDescent="0.25">
      <c r="E54" s="82"/>
    </row>
    <row r="55" spans="5:5" x14ac:dyDescent="0.25">
      <c r="E55" s="82"/>
    </row>
    <row r="56" spans="5:5" x14ac:dyDescent="0.25">
      <c r="E56" s="82"/>
    </row>
    <row r="57" spans="5:5" x14ac:dyDescent="0.25">
      <c r="E57" s="82"/>
    </row>
    <row r="58" spans="5:5" x14ac:dyDescent="0.25">
      <c r="E58" s="82"/>
    </row>
    <row r="59" spans="5:5" x14ac:dyDescent="0.25">
      <c r="E59" s="82"/>
    </row>
    <row r="60" spans="5:5" x14ac:dyDescent="0.25">
      <c r="E60" s="82"/>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E20" sqref="E20"/>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S302"/>
  <sheetViews>
    <sheetView workbookViewId="0">
      <selection activeCell="C3" sqref="C3"/>
    </sheetView>
  </sheetViews>
  <sheetFormatPr defaultRowHeight="15" x14ac:dyDescent="0.25"/>
  <cols>
    <col min="1" max="1" width="7.7109375" customWidth="1"/>
    <col min="2" max="2" width="7.140625" customWidth="1"/>
    <col min="3" max="5" width="20.7109375" customWidth="1"/>
    <col min="6" max="6" width="16.7109375" customWidth="1"/>
    <col min="7" max="7" width="22.140625" customWidth="1"/>
    <col min="8" max="8" width="22.42578125" customWidth="1"/>
    <col min="9" max="19" width="16.7109375" customWidth="1"/>
  </cols>
  <sheetData>
    <row r="1" spans="1:19" x14ac:dyDescent="0.25">
      <c r="A1" s="300" t="s">
        <v>1895</v>
      </c>
      <c r="B1" s="300" t="s">
        <v>2249</v>
      </c>
      <c r="C1" s="300" t="s">
        <v>1903</v>
      </c>
      <c r="D1" s="300" t="s">
        <v>1902</v>
      </c>
      <c r="E1" s="300" t="s">
        <v>2335</v>
      </c>
      <c r="F1" s="300" t="s">
        <v>2250</v>
      </c>
      <c r="G1" s="300" t="s">
        <v>2251</v>
      </c>
      <c r="H1" s="300" t="s">
        <v>2252</v>
      </c>
      <c r="I1" s="256"/>
      <c r="J1" s="256"/>
      <c r="K1" s="256"/>
      <c r="L1" s="256"/>
      <c r="M1" s="256"/>
      <c r="N1" s="256"/>
      <c r="O1" s="256"/>
      <c r="P1" s="256"/>
      <c r="Q1" s="256"/>
      <c r="R1" s="256"/>
      <c r="S1" s="256"/>
    </row>
    <row r="2" spans="1:19" x14ac:dyDescent="0.25">
      <c r="A2" s="301" t="s">
        <v>58</v>
      </c>
      <c r="B2" s="302">
        <v>2010</v>
      </c>
      <c r="C2" s="301" t="s">
        <v>58</v>
      </c>
      <c r="D2" s="301" t="s">
        <v>58</v>
      </c>
      <c r="E2" s="302">
        <v>16</v>
      </c>
      <c r="F2" s="302">
        <v>46174</v>
      </c>
      <c r="G2" s="302">
        <v>30</v>
      </c>
      <c r="H2" s="302">
        <v>6347</v>
      </c>
      <c r="I2" s="286"/>
      <c r="J2" s="286"/>
      <c r="K2" s="258"/>
      <c r="L2" s="258"/>
      <c r="M2" s="258"/>
      <c r="N2" s="258"/>
      <c r="O2" s="258"/>
      <c r="P2" s="258"/>
      <c r="Q2" s="258"/>
      <c r="R2" s="257"/>
      <c r="S2" s="259"/>
    </row>
    <row r="3" spans="1:19" x14ac:dyDescent="0.25">
      <c r="A3" s="301" t="s">
        <v>58</v>
      </c>
      <c r="B3" s="302">
        <v>2010</v>
      </c>
      <c r="C3" s="301" t="s">
        <v>1896</v>
      </c>
      <c r="D3" s="301" t="s">
        <v>58</v>
      </c>
      <c r="E3" s="302">
        <v>10</v>
      </c>
      <c r="F3" s="302">
        <v>31688</v>
      </c>
      <c r="G3" s="302">
        <v>30</v>
      </c>
      <c r="H3" s="302">
        <v>3006</v>
      </c>
      <c r="I3" s="286"/>
      <c r="J3" s="286"/>
      <c r="K3" s="258"/>
      <c r="L3" s="258"/>
      <c r="M3" s="258"/>
      <c r="N3" s="258"/>
      <c r="O3" s="258"/>
      <c r="P3" s="258"/>
      <c r="Q3" s="258"/>
      <c r="R3" s="257"/>
      <c r="S3" s="259"/>
    </row>
    <row r="4" spans="1:19" x14ac:dyDescent="0.25">
      <c r="A4" s="301" t="s">
        <v>58</v>
      </c>
      <c r="B4" s="302">
        <v>2011</v>
      </c>
      <c r="C4" s="301" t="s">
        <v>58</v>
      </c>
      <c r="D4" s="301" t="s">
        <v>58</v>
      </c>
      <c r="E4" s="302">
        <v>579</v>
      </c>
      <c r="F4" s="302">
        <v>1351464</v>
      </c>
      <c r="G4" s="302">
        <v>436</v>
      </c>
      <c r="H4" s="302">
        <v>502710</v>
      </c>
      <c r="I4" s="286"/>
      <c r="J4" s="286"/>
      <c r="K4" s="258"/>
      <c r="L4" s="258"/>
      <c r="M4" s="258"/>
      <c r="N4" s="258"/>
      <c r="O4" s="258"/>
      <c r="P4" s="258"/>
      <c r="Q4" s="258"/>
      <c r="R4" s="257"/>
      <c r="S4" s="259"/>
    </row>
    <row r="5" spans="1:19" x14ac:dyDescent="0.25">
      <c r="A5" s="301" t="s">
        <v>58</v>
      </c>
      <c r="B5" s="302">
        <v>2011</v>
      </c>
      <c r="C5" s="301" t="s">
        <v>58</v>
      </c>
      <c r="D5" s="301" t="s">
        <v>121</v>
      </c>
      <c r="E5" s="302">
        <v>24</v>
      </c>
      <c r="F5" s="302">
        <v>159565</v>
      </c>
      <c r="G5" s="303"/>
      <c r="H5" s="302">
        <v>2262</v>
      </c>
      <c r="I5" s="286"/>
      <c r="J5" s="286"/>
      <c r="K5" s="258"/>
      <c r="L5" s="258"/>
      <c r="M5" s="258"/>
      <c r="N5" s="258"/>
      <c r="O5" s="258"/>
      <c r="P5" s="258"/>
      <c r="Q5" s="258"/>
      <c r="R5" s="257"/>
      <c r="S5" s="259"/>
    </row>
    <row r="6" spans="1:19" x14ac:dyDescent="0.25">
      <c r="A6" s="301" t="s">
        <v>58</v>
      </c>
      <c r="B6" s="302">
        <v>2011</v>
      </c>
      <c r="C6" s="301" t="s">
        <v>1896</v>
      </c>
      <c r="D6" s="301" t="s">
        <v>58</v>
      </c>
      <c r="E6" s="302">
        <v>243</v>
      </c>
      <c r="F6" s="302">
        <v>753337</v>
      </c>
      <c r="G6" s="302">
        <v>388</v>
      </c>
      <c r="H6" s="302">
        <v>68939</v>
      </c>
      <c r="I6" s="257"/>
      <c r="J6" s="257"/>
      <c r="K6" s="258"/>
      <c r="L6" s="258"/>
      <c r="M6" s="258"/>
      <c r="N6" s="258"/>
      <c r="O6" s="258"/>
      <c r="P6" s="258"/>
      <c r="Q6" s="258"/>
      <c r="R6" s="257"/>
      <c r="S6" s="259"/>
    </row>
    <row r="7" spans="1:19" x14ac:dyDescent="0.25">
      <c r="A7" s="301" t="s">
        <v>58</v>
      </c>
      <c r="B7" s="302">
        <v>2011</v>
      </c>
      <c r="C7" s="301" t="s">
        <v>121</v>
      </c>
      <c r="D7" s="301" t="s">
        <v>58</v>
      </c>
      <c r="E7" s="302">
        <v>17</v>
      </c>
      <c r="F7" s="302">
        <v>54054</v>
      </c>
      <c r="G7" s="303"/>
      <c r="H7" s="302">
        <v>3422</v>
      </c>
      <c r="I7" s="257"/>
      <c r="J7" s="257"/>
      <c r="K7" s="258"/>
      <c r="L7" s="258"/>
      <c r="M7" s="258"/>
      <c r="N7" s="258"/>
      <c r="O7" s="258"/>
      <c r="P7" s="258"/>
      <c r="Q7" s="258"/>
      <c r="R7" s="257"/>
      <c r="S7" s="259"/>
    </row>
    <row r="8" spans="1:19" x14ac:dyDescent="0.25">
      <c r="A8" s="301" t="s">
        <v>58</v>
      </c>
      <c r="B8" s="302">
        <v>2011</v>
      </c>
      <c r="C8" s="301" t="s">
        <v>121</v>
      </c>
      <c r="D8" s="301" t="s">
        <v>121</v>
      </c>
      <c r="E8" s="302">
        <v>220</v>
      </c>
      <c r="F8" s="302">
        <v>461013</v>
      </c>
      <c r="G8" s="303"/>
      <c r="H8" s="302">
        <v>74063</v>
      </c>
      <c r="I8" s="257"/>
      <c r="J8" s="257"/>
      <c r="K8" s="258"/>
      <c r="L8" s="258"/>
      <c r="M8" s="258"/>
      <c r="N8" s="258"/>
      <c r="O8" s="258"/>
      <c r="P8" s="258"/>
      <c r="Q8" s="258"/>
      <c r="R8" s="257"/>
      <c r="S8" s="259"/>
    </row>
    <row r="9" spans="1:19" x14ac:dyDescent="0.25">
      <c r="A9" s="301" t="s">
        <v>59</v>
      </c>
      <c r="B9" s="302">
        <v>2011</v>
      </c>
      <c r="C9" s="301" t="s">
        <v>59</v>
      </c>
      <c r="D9" s="301" t="s">
        <v>109</v>
      </c>
      <c r="E9" s="302">
        <v>83</v>
      </c>
      <c r="F9" s="302">
        <v>200874</v>
      </c>
      <c r="G9" s="302">
        <v>244</v>
      </c>
      <c r="H9" s="302">
        <v>13504</v>
      </c>
      <c r="I9" s="257"/>
      <c r="J9" s="257"/>
      <c r="K9" s="258"/>
      <c r="L9" s="258"/>
      <c r="M9" s="258"/>
      <c r="N9" s="258"/>
      <c r="O9" s="258"/>
      <c r="P9" s="258"/>
      <c r="Q9" s="258"/>
      <c r="R9" s="257"/>
      <c r="S9" s="259"/>
    </row>
    <row r="10" spans="1:19" x14ac:dyDescent="0.25">
      <c r="A10" s="301" t="s">
        <v>59</v>
      </c>
      <c r="B10" s="302">
        <v>2011</v>
      </c>
      <c r="C10" s="301" t="s">
        <v>59</v>
      </c>
      <c r="D10" s="301" t="s">
        <v>121</v>
      </c>
      <c r="E10" s="302">
        <v>1</v>
      </c>
      <c r="F10" s="302">
        <v>4161</v>
      </c>
      <c r="G10" s="302">
        <v>3</v>
      </c>
      <c r="H10" s="302">
        <v>0</v>
      </c>
    </row>
    <row r="11" spans="1:19" x14ac:dyDescent="0.25">
      <c r="A11" s="289"/>
      <c r="B11" s="291"/>
      <c r="C11" s="289"/>
      <c r="D11" s="289"/>
      <c r="E11" s="292"/>
      <c r="F11" s="293"/>
      <c r="G11" s="292"/>
    </row>
    <row r="12" spans="1:19" x14ac:dyDescent="0.25">
      <c r="A12" s="289"/>
      <c r="B12" s="291"/>
      <c r="C12" s="289"/>
      <c r="D12" s="289"/>
      <c r="E12" s="292"/>
      <c r="F12" s="293"/>
      <c r="G12" s="292"/>
    </row>
    <row r="13" spans="1:19" x14ac:dyDescent="0.25">
      <c r="A13" s="289"/>
      <c r="B13" s="291"/>
      <c r="C13" s="289"/>
      <c r="D13" s="289"/>
      <c r="E13" s="292"/>
      <c r="F13" s="293"/>
      <c r="G13" s="292"/>
    </row>
    <row r="14" spans="1:19" x14ac:dyDescent="0.25">
      <c r="A14" s="289"/>
      <c r="B14" s="291"/>
      <c r="C14" s="289"/>
      <c r="D14" s="289"/>
      <c r="E14" s="292"/>
      <c r="F14" s="293"/>
      <c r="G14" s="292"/>
    </row>
    <row r="15" spans="1:19" x14ac:dyDescent="0.25">
      <c r="A15" s="289"/>
      <c r="B15" s="291"/>
      <c r="C15" s="289"/>
      <c r="D15" s="289"/>
      <c r="E15" s="292"/>
      <c r="F15" s="293"/>
      <c r="G15" s="292"/>
    </row>
    <row r="16" spans="1:19" x14ac:dyDescent="0.25">
      <c r="A16" s="289"/>
      <c r="B16" s="291"/>
      <c r="C16" s="289"/>
      <c r="D16" s="289"/>
      <c r="E16" s="292"/>
      <c r="F16" s="293"/>
      <c r="G16" s="292"/>
    </row>
    <row r="17" spans="1:7" x14ac:dyDescent="0.25">
      <c r="A17" s="289"/>
      <c r="B17" s="290"/>
      <c r="C17" s="289"/>
      <c r="D17" s="289"/>
      <c r="E17" s="292"/>
      <c r="F17" s="292"/>
      <c r="G17" s="292"/>
    </row>
    <row r="18" spans="1:7" x14ac:dyDescent="0.25">
      <c r="A18" s="289"/>
      <c r="B18" s="291"/>
      <c r="C18" s="289"/>
      <c r="D18" s="289"/>
      <c r="E18" s="292"/>
      <c r="F18" s="292"/>
      <c r="G18" s="292"/>
    </row>
    <row r="19" spans="1:7" x14ac:dyDescent="0.25">
      <c r="A19" s="289"/>
      <c r="B19" s="291"/>
      <c r="C19" s="289"/>
      <c r="D19" s="289"/>
      <c r="E19" s="292"/>
      <c r="F19" s="292"/>
      <c r="G19" s="292"/>
    </row>
    <row r="20" spans="1:7" x14ac:dyDescent="0.25">
      <c r="A20" s="289"/>
      <c r="B20" s="291"/>
      <c r="C20" s="289"/>
      <c r="D20" s="289"/>
      <c r="E20" s="292"/>
      <c r="F20" s="292"/>
      <c r="G20" s="292"/>
    </row>
    <row r="21" spans="1:7" x14ac:dyDescent="0.25">
      <c r="A21" s="186"/>
      <c r="B21" s="96"/>
      <c r="C21" s="2"/>
      <c r="D21" s="242"/>
      <c r="E21" s="245"/>
      <c r="F21" s="244"/>
      <c r="G21" s="245"/>
    </row>
    <row r="22" spans="1:7" x14ac:dyDescent="0.25">
      <c r="A22" s="186"/>
      <c r="B22" s="96"/>
      <c r="C22" s="2"/>
      <c r="D22" s="242"/>
      <c r="E22" s="245"/>
      <c r="F22" s="244"/>
      <c r="G22" s="245"/>
    </row>
    <row r="23" spans="1:7" x14ac:dyDescent="0.25">
      <c r="A23" s="186"/>
      <c r="B23" s="96"/>
      <c r="C23" s="2"/>
      <c r="D23" s="242"/>
      <c r="E23" s="245"/>
      <c r="F23" s="244"/>
      <c r="G23" s="245"/>
    </row>
    <row r="24" spans="1:7" x14ac:dyDescent="0.25">
      <c r="A24" s="186"/>
      <c r="B24" s="96"/>
      <c r="C24" s="2"/>
      <c r="D24" s="242"/>
      <c r="E24" s="245"/>
      <c r="F24" s="255"/>
      <c r="G24" s="255"/>
    </row>
    <row r="25" spans="1:7" x14ac:dyDescent="0.25">
      <c r="A25" s="186"/>
      <c r="B25" s="96"/>
      <c r="C25" s="2"/>
      <c r="D25" s="242"/>
      <c r="E25" s="245"/>
      <c r="F25" s="255"/>
      <c r="G25" s="255"/>
    </row>
    <row r="26" spans="1:7" x14ac:dyDescent="0.25">
      <c r="A26" s="186"/>
      <c r="B26" s="250"/>
      <c r="C26" s="2"/>
      <c r="D26" s="242"/>
      <c r="E26" s="245"/>
      <c r="F26" s="244"/>
      <c r="G26" s="245"/>
    </row>
    <row r="27" spans="1:7" x14ac:dyDescent="0.25">
      <c r="A27" s="186"/>
      <c r="B27" s="96"/>
      <c r="C27" s="2"/>
      <c r="D27" s="242"/>
      <c r="E27" s="245"/>
      <c r="F27" s="244"/>
      <c r="G27" s="245"/>
    </row>
    <row r="28" spans="1:7" x14ac:dyDescent="0.25">
      <c r="A28" s="186"/>
      <c r="B28" s="96"/>
      <c r="C28" s="2"/>
      <c r="D28" s="242"/>
      <c r="E28" s="245"/>
      <c r="F28" s="244"/>
      <c r="G28" s="245"/>
    </row>
    <row r="29" spans="1:7" x14ac:dyDescent="0.25">
      <c r="A29" s="186"/>
      <c r="B29" s="96"/>
      <c r="C29" s="2"/>
      <c r="D29" s="242"/>
      <c r="E29" s="245"/>
      <c r="F29" s="244"/>
      <c r="G29" s="245"/>
    </row>
    <row r="30" spans="1:7" x14ac:dyDescent="0.25">
      <c r="A30" s="186"/>
      <c r="B30" s="96"/>
      <c r="C30" s="2"/>
      <c r="D30" s="242"/>
      <c r="E30" s="245"/>
      <c r="F30" s="244"/>
      <c r="G30" s="245"/>
    </row>
    <row r="31" spans="1:7" x14ac:dyDescent="0.25">
      <c r="A31" s="186"/>
      <c r="B31" s="250"/>
      <c r="C31" s="2"/>
      <c r="D31" s="242"/>
      <c r="E31" s="245"/>
      <c r="F31" s="244"/>
      <c r="G31" s="245"/>
    </row>
    <row r="32" spans="1:7" ht="65.25" customHeight="1" x14ac:dyDescent="0.25">
      <c r="A32" s="186"/>
      <c r="B32" s="96"/>
      <c r="C32" s="2"/>
      <c r="D32" s="242"/>
      <c r="E32" s="245"/>
      <c r="F32" s="244"/>
      <c r="G32" s="245"/>
    </row>
    <row r="33" spans="1:7" x14ac:dyDescent="0.25">
      <c r="A33" s="186"/>
      <c r="B33" s="96"/>
      <c r="C33" s="2"/>
      <c r="D33" s="242"/>
      <c r="E33" s="245"/>
      <c r="F33" s="244"/>
      <c r="G33" s="245"/>
    </row>
    <row r="34" spans="1:7" x14ac:dyDescent="0.25">
      <c r="A34" s="186"/>
      <c r="B34" s="96"/>
      <c r="C34" s="2"/>
      <c r="D34" s="242"/>
      <c r="E34" s="245"/>
      <c r="F34" s="244"/>
      <c r="G34" s="245"/>
    </row>
    <row r="35" spans="1:7" x14ac:dyDescent="0.25">
      <c r="A35" s="186"/>
      <c r="B35" s="250"/>
      <c r="C35" s="2"/>
      <c r="D35" s="242"/>
      <c r="E35" s="245"/>
      <c r="F35" s="244"/>
      <c r="G35" s="245"/>
    </row>
    <row r="36" spans="1:7" x14ac:dyDescent="0.25">
      <c r="A36" s="186"/>
      <c r="B36" s="96"/>
      <c r="C36" s="2"/>
      <c r="D36" s="242"/>
      <c r="E36" s="245"/>
      <c r="F36" s="244"/>
      <c r="G36" s="245"/>
    </row>
    <row r="37" spans="1:7" x14ac:dyDescent="0.25">
      <c r="A37" s="186"/>
      <c r="B37" s="87"/>
      <c r="C37" s="2"/>
      <c r="D37" s="242"/>
      <c r="E37" s="245"/>
      <c r="F37" s="244"/>
      <c r="G37" s="245"/>
    </row>
    <row r="38" spans="1:7" x14ac:dyDescent="0.25">
      <c r="A38" s="186"/>
      <c r="B38" s="252"/>
      <c r="C38" s="2"/>
      <c r="D38" s="242"/>
      <c r="E38" s="245"/>
      <c r="F38" s="244"/>
      <c r="G38" s="245"/>
    </row>
    <row r="39" spans="1:7" x14ac:dyDescent="0.25">
      <c r="A39" s="186"/>
      <c r="B39" s="252"/>
      <c r="C39" s="2"/>
      <c r="D39" s="242"/>
      <c r="E39" s="245"/>
      <c r="F39" s="244"/>
      <c r="G39" s="245"/>
    </row>
    <row r="40" spans="1:7" x14ac:dyDescent="0.25">
      <c r="A40" s="186"/>
      <c r="B40" s="252"/>
      <c r="C40" s="2"/>
      <c r="D40" s="242"/>
      <c r="E40" s="245"/>
      <c r="F40" s="244"/>
      <c r="G40" s="245"/>
    </row>
    <row r="41" spans="1:7" x14ac:dyDescent="0.25">
      <c r="A41" s="186"/>
      <c r="B41" s="252"/>
      <c r="C41" s="2"/>
      <c r="D41" s="242"/>
      <c r="E41" s="245"/>
      <c r="F41" s="244"/>
      <c r="G41" s="245"/>
    </row>
    <row r="42" spans="1:7" x14ac:dyDescent="0.25">
      <c r="A42" s="186"/>
      <c r="B42" s="252"/>
      <c r="C42" s="2"/>
      <c r="D42" s="242"/>
      <c r="E42" s="245"/>
      <c r="F42" s="244"/>
      <c r="G42" s="245"/>
    </row>
    <row r="43" spans="1:7" x14ac:dyDescent="0.25">
      <c r="A43" s="186"/>
      <c r="B43" s="252"/>
      <c r="C43" s="2"/>
      <c r="D43" s="242"/>
      <c r="E43" s="245"/>
      <c r="F43" s="244"/>
      <c r="G43" s="245"/>
    </row>
    <row r="44" spans="1:7" x14ac:dyDescent="0.25">
      <c r="A44" s="186"/>
      <c r="B44" s="252"/>
      <c r="C44" s="2"/>
      <c r="D44" s="242"/>
      <c r="E44" s="245"/>
      <c r="F44" s="244"/>
      <c r="G44" s="245"/>
    </row>
    <row r="45" spans="1:7" x14ac:dyDescent="0.25">
      <c r="A45" s="186"/>
      <c r="B45" s="252"/>
      <c r="C45" s="2"/>
      <c r="D45" s="242"/>
      <c r="E45" s="245"/>
      <c r="F45" s="244"/>
      <c r="G45" s="245"/>
    </row>
    <row r="46" spans="1:7" x14ac:dyDescent="0.25">
      <c r="A46" s="186"/>
      <c r="B46" s="252"/>
      <c r="C46" s="2"/>
      <c r="D46" s="242"/>
      <c r="E46" s="245"/>
      <c r="F46" s="244"/>
      <c r="G46" s="245"/>
    </row>
    <row r="47" spans="1:7" x14ac:dyDescent="0.25">
      <c r="A47" s="186"/>
      <c r="B47" s="252"/>
      <c r="C47" s="2"/>
      <c r="D47" s="242"/>
      <c r="E47" s="245"/>
      <c r="F47" s="244"/>
      <c r="G47" s="245"/>
    </row>
    <row r="48" spans="1:7" x14ac:dyDescent="0.25">
      <c r="A48" s="186"/>
      <c r="B48" s="252"/>
      <c r="C48" s="2"/>
      <c r="D48" s="242"/>
      <c r="E48" s="245"/>
      <c r="F48" s="244"/>
      <c r="G48" s="245"/>
    </row>
    <row r="49" spans="1:7" x14ac:dyDescent="0.25">
      <c r="A49" s="186"/>
      <c r="B49" s="252"/>
      <c r="C49" s="2"/>
      <c r="D49" s="242"/>
      <c r="E49" s="245"/>
      <c r="F49" s="244"/>
      <c r="G49" s="245"/>
    </row>
    <row r="50" spans="1:7" x14ac:dyDescent="0.25">
      <c r="A50" s="186"/>
      <c r="B50" s="252"/>
      <c r="C50" s="2"/>
      <c r="D50" s="242"/>
      <c r="E50" s="245"/>
      <c r="F50" s="244"/>
      <c r="G50" s="245"/>
    </row>
    <row r="51" spans="1:7" x14ac:dyDescent="0.25">
      <c r="A51" s="186"/>
      <c r="B51" s="252"/>
      <c r="C51" s="2"/>
      <c r="D51" s="242"/>
      <c r="E51" s="245"/>
      <c r="F51" s="244"/>
      <c r="G51" s="245"/>
    </row>
    <row r="52" spans="1:7" x14ac:dyDescent="0.25">
      <c r="A52" s="186"/>
      <c r="B52" s="252"/>
      <c r="C52" s="2"/>
      <c r="D52" s="242"/>
      <c r="E52" s="245"/>
      <c r="F52" s="244"/>
      <c r="G52" s="245"/>
    </row>
    <row r="53" spans="1:7" x14ac:dyDescent="0.25">
      <c r="A53" s="186"/>
      <c r="B53" s="252"/>
      <c r="C53" s="2"/>
      <c r="D53" s="242"/>
      <c r="E53" s="245"/>
      <c r="F53" s="244"/>
      <c r="G53" s="245"/>
    </row>
    <row r="54" spans="1:7" x14ac:dyDescent="0.25">
      <c r="B54" s="2"/>
      <c r="C54" s="2"/>
      <c r="D54" s="242"/>
      <c r="E54" s="245"/>
      <c r="F54" s="244"/>
      <c r="G54" s="245"/>
    </row>
    <row r="55" spans="1:7" x14ac:dyDescent="0.25">
      <c r="B55" s="2"/>
      <c r="C55" s="2"/>
      <c r="D55" s="242"/>
      <c r="E55" s="245"/>
      <c r="F55" s="244"/>
      <c r="G55" s="245"/>
    </row>
    <row r="56" spans="1:7" x14ac:dyDescent="0.25">
      <c r="B56" s="2"/>
      <c r="C56" s="2"/>
      <c r="D56" s="242"/>
      <c r="E56" s="245"/>
      <c r="F56" s="244"/>
      <c r="G56" s="245"/>
    </row>
    <row r="57" spans="1:7" x14ac:dyDescent="0.25">
      <c r="B57" s="2"/>
      <c r="C57" s="2"/>
      <c r="D57" s="242"/>
      <c r="E57" s="245"/>
      <c r="F57" s="244"/>
      <c r="G57" s="245"/>
    </row>
    <row r="58" spans="1:7" x14ac:dyDescent="0.25">
      <c r="B58" s="2"/>
      <c r="C58" s="2"/>
      <c r="D58" s="242"/>
      <c r="E58" s="245"/>
      <c r="F58" s="244"/>
      <c r="G58" s="245"/>
    </row>
    <row r="59" spans="1:7" x14ac:dyDescent="0.25">
      <c r="B59" s="2"/>
      <c r="C59" s="2"/>
      <c r="D59" s="242"/>
      <c r="E59" s="245"/>
      <c r="F59" s="244"/>
      <c r="G59" s="245"/>
    </row>
    <row r="60" spans="1:7" x14ac:dyDescent="0.25">
      <c r="B60" s="2"/>
      <c r="C60" s="2"/>
      <c r="D60" s="242"/>
      <c r="E60" s="245"/>
      <c r="F60" s="244"/>
      <c r="G60" s="245"/>
    </row>
    <row r="61" spans="1:7" x14ac:dyDescent="0.25">
      <c r="B61" s="2"/>
      <c r="C61" s="2"/>
      <c r="D61" s="242"/>
      <c r="E61" s="245"/>
      <c r="F61" s="244"/>
      <c r="G61" s="245"/>
    </row>
    <row r="62" spans="1:7" x14ac:dyDescent="0.25">
      <c r="B62" s="2"/>
      <c r="C62" s="2"/>
      <c r="D62" s="242"/>
      <c r="E62" s="245"/>
      <c r="F62" s="244"/>
      <c r="G62" s="245"/>
    </row>
    <row r="63" spans="1:7" x14ac:dyDescent="0.25">
      <c r="B63" s="2"/>
      <c r="C63" s="2"/>
      <c r="D63" s="242"/>
      <c r="E63" s="245"/>
      <c r="F63" s="244"/>
      <c r="G63" s="245"/>
    </row>
    <row r="64" spans="1:7" x14ac:dyDescent="0.25">
      <c r="B64" s="2"/>
      <c r="C64" s="2"/>
      <c r="D64" s="242"/>
      <c r="E64" s="245"/>
      <c r="F64" s="244"/>
      <c r="G64" s="245"/>
    </row>
    <row r="65" spans="2:7" x14ac:dyDescent="0.25">
      <c r="B65" s="2"/>
      <c r="C65" s="2"/>
      <c r="D65" s="242"/>
      <c r="E65" s="245"/>
      <c r="F65" s="244"/>
      <c r="G65" s="245"/>
    </row>
    <row r="66" spans="2:7" x14ac:dyDescent="0.25">
      <c r="B66" s="2"/>
      <c r="C66" s="2"/>
      <c r="D66" s="242"/>
      <c r="E66" s="245"/>
      <c r="F66" s="244"/>
      <c r="G66" s="245"/>
    </row>
    <row r="67" spans="2:7" x14ac:dyDescent="0.25">
      <c r="B67" s="2"/>
      <c r="C67" s="2"/>
      <c r="D67" s="242"/>
      <c r="E67" s="245"/>
      <c r="F67" s="244"/>
      <c r="G67" s="245"/>
    </row>
    <row r="68" spans="2:7" x14ac:dyDescent="0.25">
      <c r="B68" s="2"/>
      <c r="C68" s="2"/>
      <c r="D68" s="242"/>
      <c r="E68" s="245"/>
      <c r="F68" s="244"/>
      <c r="G68" s="245"/>
    </row>
    <row r="69" spans="2:7" x14ac:dyDescent="0.25">
      <c r="B69" s="2"/>
      <c r="C69" s="2"/>
      <c r="D69" s="242"/>
      <c r="E69" s="245"/>
      <c r="F69" s="244"/>
      <c r="G69" s="245"/>
    </row>
    <row r="70" spans="2:7" x14ac:dyDescent="0.25">
      <c r="B70" s="2"/>
      <c r="C70" s="2"/>
      <c r="D70" s="242"/>
      <c r="E70" s="245"/>
      <c r="F70" s="244"/>
      <c r="G70" s="245"/>
    </row>
    <row r="71" spans="2:7" x14ac:dyDescent="0.25">
      <c r="B71" s="2"/>
      <c r="C71" s="2"/>
      <c r="D71" s="242"/>
      <c r="E71" s="245"/>
      <c r="F71" s="244"/>
      <c r="G71" s="245"/>
    </row>
    <row r="72" spans="2:7" x14ac:dyDescent="0.25">
      <c r="B72" s="2"/>
      <c r="C72" s="2"/>
      <c r="D72" s="242"/>
      <c r="E72" s="245"/>
      <c r="F72" s="244"/>
      <c r="G72" s="245"/>
    </row>
    <row r="73" spans="2:7" x14ac:dyDescent="0.25">
      <c r="B73" s="2"/>
      <c r="C73" s="2"/>
      <c r="D73" s="242"/>
      <c r="E73" s="245"/>
      <c r="F73" s="244"/>
      <c r="G73" s="245"/>
    </row>
    <row r="74" spans="2:7" x14ac:dyDescent="0.25">
      <c r="B74" s="2"/>
      <c r="C74" s="2"/>
      <c r="D74" s="242"/>
      <c r="E74" s="245"/>
      <c r="F74" s="244"/>
      <c r="G74" s="245"/>
    </row>
    <row r="75" spans="2:7" x14ac:dyDescent="0.25">
      <c r="B75" s="2"/>
      <c r="C75" s="2"/>
      <c r="D75" s="242"/>
      <c r="E75" s="245"/>
      <c r="F75" s="244"/>
      <c r="G75" s="245"/>
    </row>
    <row r="78" spans="2:7" x14ac:dyDescent="0.25">
      <c r="D78" s="244"/>
      <c r="E78" s="245"/>
      <c r="F78" s="244"/>
      <c r="G78" s="245"/>
    </row>
    <row r="79" spans="2:7" x14ac:dyDescent="0.25">
      <c r="D79" s="244"/>
      <c r="E79" s="245"/>
      <c r="F79" s="244"/>
      <c r="G79" s="245"/>
    </row>
    <row r="80" spans="2:7" x14ac:dyDescent="0.25">
      <c r="D80" s="244"/>
      <c r="E80" s="245"/>
      <c r="F80" s="244"/>
      <c r="G80" s="245"/>
    </row>
    <row r="81" spans="4:7" x14ac:dyDescent="0.25">
      <c r="D81" s="244"/>
      <c r="E81" s="245"/>
      <c r="F81" s="244"/>
      <c r="G81" s="245"/>
    </row>
    <row r="82" spans="4:7" x14ac:dyDescent="0.25">
      <c r="D82" s="244"/>
      <c r="E82" s="245"/>
      <c r="F82" s="244"/>
      <c r="G82" s="245"/>
    </row>
    <row r="83" spans="4:7" x14ac:dyDescent="0.25">
      <c r="D83" s="244"/>
      <c r="E83" s="245"/>
      <c r="F83" s="244"/>
      <c r="G83" s="245"/>
    </row>
    <row r="84" spans="4:7" x14ac:dyDescent="0.25">
      <c r="D84" s="244"/>
      <c r="E84" s="245"/>
      <c r="F84" s="244"/>
      <c r="G84" s="245"/>
    </row>
    <row r="85" spans="4:7" x14ac:dyDescent="0.25">
      <c r="D85" s="244"/>
      <c r="E85" s="245"/>
      <c r="F85" s="244"/>
      <c r="G85" s="245"/>
    </row>
    <row r="86" spans="4:7" x14ac:dyDescent="0.25">
      <c r="D86" s="244"/>
      <c r="E86" s="245"/>
      <c r="F86" s="244"/>
      <c r="G86" s="245"/>
    </row>
    <row r="87" spans="4:7" x14ac:dyDescent="0.25">
      <c r="D87" s="244"/>
      <c r="E87" s="245"/>
      <c r="F87" s="244"/>
      <c r="G87" s="245"/>
    </row>
    <row r="88" spans="4:7" x14ac:dyDescent="0.25">
      <c r="D88" s="244"/>
      <c r="E88" s="245"/>
      <c r="F88" s="244"/>
      <c r="G88" s="245"/>
    </row>
    <row r="89" spans="4:7" x14ac:dyDescent="0.25">
      <c r="D89" s="244"/>
      <c r="E89" s="245"/>
      <c r="F89" s="244"/>
      <c r="G89" s="245"/>
    </row>
    <row r="90" spans="4:7" x14ac:dyDescent="0.25">
      <c r="D90" s="244"/>
      <c r="E90" s="245"/>
      <c r="F90" s="244"/>
      <c r="G90" s="245"/>
    </row>
    <row r="91" spans="4:7" x14ac:dyDescent="0.25">
      <c r="D91" s="244"/>
      <c r="E91" s="245"/>
      <c r="F91" s="244"/>
      <c r="G91" s="245"/>
    </row>
    <row r="92" spans="4:7" x14ac:dyDescent="0.25">
      <c r="D92" s="244"/>
      <c r="E92" s="245"/>
      <c r="F92" s="244"/>
      <c r="G92" s="245"/>
    </row>
    <row r="93" spans="4:7" x14ac:dyDescent="0.25">
      <c r="D93" s="244"/>
      <c r="E93" s="245"/>
      <c r="F93" s="244"/>
      <c r="G93" s="245"/>
    </row>
    <row r="94" spans="4:7" x14ac:dyDescent="0.25">
      <c r="D94" s="244"/>
      <c r="E94" s="245"/>
      <c r="F94" s="244"/>
      <c r="G94" s="245"/>
    </row>
    <row r="95" spans="4:7" x14ac:dyDescent="0.25">
      <c r="D95" s="244"/>
      <c r="E95" s="245"/>
      <c r="F95" s="244"/>
      <c r="G95" s="245"/>
    </row>
    <row r="96" spans="4:7" x14ac:dyDescent="0.25">
      <c r="D96" s="244"/>
      <c r="E96" s="245"/>
      <c r="F96" s="244"/>
      <c r="G96" s="245"/>
    </row>
    <row r="97" spans="4:7" x14ac:dyDescent="0.25">
      <c r="D97" s="244"/>
      <c r="E97" s="245"/>
      <c r="F97" s="244"/>
      <c r="G97" s="245"/>
    </row>
    <row r="98" spans="4:7" x14ac:dyDescent="0.25">
      <c r="D98" s="244"/>
      <c r="E98" s="245"/>
      <c r="F98" s="244"/>
      <c r="G98" s="245"/>
    </row>
    <row r="99" spans="4:7" x14ac:dyDescent="0.25">
      <c r="D99" s="244"/>
      <c r="E99" s="245"/>
      <c r="F99" s="244"/>
      <c r="G99" s="245"/>
    </row>
    <row r="100" spans="4:7" x14ac:dyDescent="0.25">
      <c r="D100" s="244"/>
      <c r="E100" s="245"/>
      <c r="F100" s="244"/>
      <c r="G100" s="245"/>
    </row>
    <row r="101" spans="4:7" x14ac:dyDescent="0.25">
      <c r="D101" s="244"/>
      <c r="E101" s="245"/>
      <c r="F101" s="244"/>
      <c r="G101" s="245"/>
    </row>
    <row r="102" spans="4:7" x14ac:dyDescent="0.25">
      <c r="D102" s="244"/>
      <c r="E102" s="245"/>
      <c r="F102" s="244"/>
      <c r="G102" s="245"/>
    </row>
    <row r="103" spans="4:7" x14ac:dyDescent="0.25">
      <c r="D103" s="244"/>
      <c r="E103" s="245"/>
      <c r="F103" s="244"/>
      <c r="G103" s="245"/>
    </row>
    <row r="104" spans="4:7" x14ac:dyDescent="0.25">
      <c r="D104" s="244"/>
      <c r="E104" s="245"/>
      <c r="F104" s="244"/>
      <c r="G104" s="245"/>
    </row>
    <row r="105" spans="4:7" x14ac:dyDescent="0.25">
      <c r="D105" s="244"/>
      <c r="E105" s="245"/>
      <c r="F105" s="244"/>
      <c r="G105" s="245"/>
    </row>
    <row r="106" spans="4:7" x14ac:dyDescent="0.25">
      <c r="D106" s="244"/>
      <c r="E106" s="245"/>
      <c r="F106" s="244"/>
      <c r="G106" s="245"/>
    </row>
    <row r="107" spans="4:7" x14ac:dyDescent="0.25">
      <c r="D107" s="244"/>
      <c r="E107" s="245"/>
      <c r="F107" s="244"/>
      <c r="G107" s="245"/>
    </row>
    <row r="108" spans="4:7" x14ac:dyDescent="0.25">
      <c r="D108" s="244"/>
      <c r="E108" s="245"/>
      <c r="F108" s="244"/>
      <c r="G108" s="245"/>
    </row>
    <row r="109" spans="4:7" x14ac:dyDescent="0.25">
      <c r="D109" s="244"/>
      <c r="E109" s="245"/>
      <c r="F109" s="244"/>
      <c r="G109" s="245"/>
    </row>
    <row r="110" spans="4:7" x14ac:dyDescent="0.25">
      <c r="D110" s="244"/>
      <c r="E110" s="245"/>
      <c r="F110" s="244"/>
      <c r="G110" s="245"/>
    </row>
    <row r="111" spans="4:7" x14ac:dyDescent="0.25">
      <c r="D111" s="244"/>
      <c r="E111" s="245"/>
      <c r="F111" s="244"/>
      <c r="G111" s="245"/>
    </row>
    <row r="112" spans="4:7" x14ac:dyDescent="0.25">
      <c r="D112" s="244"/>
      <c r="E112" s="245"/>
      <c r="F112" s="244"/>
      <c r="G112" s="245"/>
    </row>
    <row r="113" spans="4:7" x14ac:dyDescent="0.25">
      <c r="D113" s="244"/>
      <c r="E113" s="245"/>
      <c r="F113" s="244"/>
      <c r="G113" s="245"/>
    </row>
    <row r="114" spans="4:7" x14ac:dyDescent="0.25">
      <c r="D114" s="244"/>
      <c r="E114" s="245"/>
      <c r="F114" s="244"/>
      <c r="G114" s="245"/>
    </row>
    <row r="115" spans="4:7" x14ac:dyDescent="0.25">
      <c r="D115" s="244"/>
      <c r="E115" s="245"/>
      <c r="F115" s="244"/>
      <c r="G115" s="245"/>
    </row>
    <row r="116" spans="4:7" x14ac:dyDescent="0.25">
      <c r="D116" s="244"/>
      <c r="E116" s="245"/>
      <c r="F116" s="244"/>
      <c r="G116" s="245"/>
    </row>
    <row r="117" spans="4:7" x14ac:dyDescent="0.25">
      <c r="D117" s="244"/>
      <c r="E117" s="245"/>
      <c r="F117" s="244"/>
      <c r="G117" s="245"/>
    </row>
    <row r="118" spans="4:7" x14ac:dyDescent="0.25">
      <c r="D118" s="244"/>
      <c r="E118" s="245"/>
      <c r="F118" s="244"/>
      <c r="G118" s="245"/>
    </row>
    <row r="119" spans="4:7" x14ac:dyDescent="0.25">
      <c r="D119" s="244"/>
      <c r="E119" s="245"/>
      <c r="F119" s="244"/>
      <c r="G119" s="245"/>
    </row>
    <row r="120" spans="4:7" x14ac:dyDescent="0.25">
      <c r="D120" s="244"/>
      <c r="E120" s="245"/>
      <c r="F120" s="244"/>
      <c r="G120" s="245"/>
    </row>
    <row r="121" spans="4:7" x14ac:dyDescent="0.25">
      <c r="D121" s="244"/>
      <c r="E121" s="245"/>
      <c r="F121" s="244"/>
      <c r="G121" s="245"/>
    </row>
    <row r="122" spans="4:7" x14ac:dyDescent="0.25">
      <c r="D122" s="244"/>
      <c r="E122" s="245"/>
      <c r="F122" s="244"/>
      <c r="G122" s="245"/>
    </row>
    <row r="123" spans="4:7" x14ac:dyDescent="0.25">
      <c r="D123" s="244"/>
      <c r="E123" s="245"/>
      <c r="F123" s="244"/>
      <c r="G123" s="245"/>
    </row>
    <row r="124" spans="4:7" x14ac:dyDescent="0.25">
      <c r="D124" s="244"/>
      <c r="E124" s="245"/>
      <c r="F124" s="244"/>
      <c r="G124" s="245"/>
    </row>
    <row r="125" spans="4:7" x14ac:dyDescent="0.25">
      <c r="D125" s="244"/>
      <c r="E125" s="245"/>
      <c r="F125" s="244"/>
      <c r="G125" s="245"/>
    </row>
    <row r="126" spans="4:7" x14ac:dyDescent="0.25">
      <c r="D126" s="244"/>
      <c r="E126" s="245"/>
      <c r="F126" s="244"/>
      <c r="G126" s="245"/>
    </row>
    <row r="127" spans="4:7" x14ac:dyDescent="0.25">
      <c r="D127" s="244"/>
      <c r="E127" s="245"/>
      <c r="F127" s="244"/>
      <c r="G127" s="245"/>
    </row>
    <row r="128" spans="4:7" x14ac:dyDescent="0.25">
      <c r="D128" s="244"/>
      <c r="E128" s="245"/>
      <c r="F128" s="244"/>
      <c r="G128" s="245"/>
    </row>
    <row r="129" spans="4:7" x14ac:dyDescent="0.25">
      <c r="D129" s="244"/>
      <c r="E129" s="245"/>
      <c r="F129" s="244"/>
      <c r="G129" s="245"/>
    </row>
    <row r="130" spans="4:7" x14ac:dyDescent="0.25">
      <c r="D130" s="244"/>
      <c r="E130" s="245"/>
      <c r="F130" s="244"/>
      <c r="G130" s="245"/>
    </row>
    <row r="131" spans="4:7" x14ac:dyDescent="0.25">
      <c r="D131" s="244"/>
      <c r="E131" s="245"/>
      <c r="F131" s="244"/>
      <c r="G131" s="245"/>
    </row>
    <row r="132" spans="4:7" x14ac:dyDescent="0.25">
      <c r="D132" s="244"/>
      <c r="E132" s="245"/>
      <c r="F132" s="244"/>
      <c r="G132" s="245"/>
    </row>
    <row r="133" spans="4:7" x14ac:dyDescent="0.25">
      <c r="D133" s="244"/>
      <c r="E133" s="245"/>
      <c r="F133" s="244"/>
      <c r="G133" s="245"/>
    </row>
    <row r="134" spans="4:7" x14ac:dyDescent="0.25">
      <c r="D134" s="244"/>
      <c r="E134" s="245"/>
      <c r="F134" s="244"/>
      <c r="G134" s="245"/>
    </row>
    <row r="135" spans="4:7" x14ac:dyDescent="0.25">
      <c r="D135" s="244"/>
      <c r="E135" s="245"/>
      <c r="F135" s="244"/>
      <c r="G135" s="245"/>
    </row>
    <row r="136" spans="4:7" x14ac:dyDescent="0.25">
      <c r="D136" s="244"/>
      <c r="E136" s="245"/>
      <c r="F136" s="244"/>
      <c r="G136" s="245"/>
    </row>
    <row r="137" spans="4:7" x14ac:dyDescent="0.25">
      <c r="D137" s="244"/>
      <c r="E137" s="245"/>
      <c r="F137" s="244"/>
      <c r="G137" s="245"/>
    </row>
    <row r="138" spans="4:7" x14ac:dyDescent="0.25">
      <c r="D138" s="244"/>
      <c r="E138" s="245"/>
      <c r="F138" s="244"/>
      <c r="G138" s="245"/>
    </row>
    <row r="139" spans="4:7" x14ac:dyDescent="0.25">
      <c r="D139" s="244"/>
      <c r="E139" s="245"/>
      <c r="F139" s="244"/>
      <c r="G139" s="245"/>
    </row>
    <row r="140" spans="4:7" x14ac:dyDescent="0.25">
      <c r="D140" s="244"/>
      <c r="E140" s="245"/>
      <c r="F140" s="244"/>
      <c r="G140" s="245"/>
    </row>
    <row r="141" spans="4:7" x14ac:dyDescent="0.25">
      <c r="D141" s="244"/>
      <c r="E141" s="245"/>
      <c r="F141" s="244"/>
      <c r="G141" s="245"/>
    </row>
    <row r="142" spans="4:7" x14ac:dyDescent="0.25">
      <c r="D142" s="244"/>
      <c r="E142" s="245"/>
      <c r="F142" s="244"/>
      <c r="G142" s="245"/>
    </row>
    <row r="143" spans="4:7" x14ac:dyDescent="0.25">
      <c r="D143" s="244"/>
      <c r="E143" s="245"/>
      <c r="F143" s="244"/>
      <c r="G143" s="245"/>
    </row>
    <row r="144" spans="4:7" x14ac:dyDescent="0.25">
      <c r="D144" s="244"/>
      <c r="E144" s="245"/>
      <c r="F144" s="244"/>
      <c r="G144" s="245"/>
    </row>
    <row r="145" spans="4:7" x14ac:dyDescent="0.25">
      <c r="D145" s="244"/>
      <c r="E145" s="245"/>
      <c r="F145" s="244"/>
      <c r="G145" s="245"/>
    </row>
    <row r="146" spans="4:7" x14ac:dyDescent="0.25">
      <c r="D146" s="244"/>
      <c r="E146" s="245"/>
      <c r="F146" s="244"/>
      <c r="G146" s="245"/>
    </row>
    <row r="147" spans="4:7" x14ac:dyDescent="0.25">
      <c r="D147" s="244"/>
      <c r="E147" s="245"/>
      <c r="F147" s="244"/>
      <c r="G147" s="245"/>
    </row>
    <row r="148" spans="4:7" x14ac:dyDescent="0.25">
      <c r="D148" s="244"/>
      <c r="E148" s="245"/>
      <c r="F148" s="244"/>
      <c r="G148" s="245"/>
    </row>
    <row r="149" spans="4:7" x14ac:dyDescent="0.25">
      <c r="D149" s="244"/>
      <c r="E149" s="245"/>
      <c r="F149" s="244"/>
      <c r="G149" s="245"/>
    </row>
    <row r="150" spans="4:7" x14ac:dyDescent="0.25">
      <c r="D150" s="244"/>
      <c r="E150" s="245"/>
      <c r="F150" s="244"/>
      <c r="G150" s="245"/>
    </row>
    <row r="151" spans="4:7" x14ac:dyDescent="0.25">
      <c r="D151" s="244"/>
      <c r="E151" s="245"/>
      <c r="F151" s="244"/>
      <c r="G151" s="245"/>
    </row>
    <row r="152" spans="4:7" x14ac:dyDescent="0.25">
      <c r="D152" s="244"/>
      <c r="E152" s="245"/>
      <c r="F152" s="244"/>
      <c r="G152" s="245"/>
    </row>
    <row r="153" spans="4:7" x14ac:dyDescent="0.25">
      <c r="D153" s="244"/>
      <c r="E153" s="245"/>
      <c r="F153" s="244"/>
      <c r="G153" s="245"/>
    </row>
    <row r="154" spans="4:7" x14ac:dyDescent="0.25">
      <c r="D154" s="244"/>
      <c r="E154" s="245"/>
      <c r="F154" s="244"/>
      <c r="G154" s="245"/>
    </row>
    <row r="155" spans="4:7" x14ac:dyDescent="0.25">
      <c r="D155" s="244"/>
      <c r="E155" s="245"/>
      <c r="F155" s="244"/>
      <c r="G155" s="245"/>
    </row>
    <row r="156" spans="4:7" x14ac:dyDescent="0.25">
      <c r="D156" s="244"/>
      <c r="E156" s="245"/>
      <c r="F156" s="244"/>
      <c r="G156" s="245"/>
    </row>
    <row r="157" spans="4:7" x14ac:dyDescent="0.25">
      <c r="D157" s="244"/>
      <c r="E157" s="245"/>
      <c r="F157" s="244"/>
      <c r="G157" s="245"/>
    </row>
    <row r="158" spans="4:7" x14ac:dyDescent="0.25">
      <c r="D158" s="244"/>
      <c r="E158" s="245"/>
      <c r="F158" s="244"/>
      <c r="G158" s="245"/>
    </row>
    <row r="159" spans="4:7" x14ac:dyDescent="0.25">
      <c r="D159" s="244"/>
      <c r="E159" s="245"/>
      <c r="F159" s="244"/>
      <c r="G159" s="245"/>
    </row>
    <row r="160" spans="4:7" x14ac:dyDescent="0.25">
      <c r="D160" s="244"/>
      <c r="E160" s="245"/>
      <c r="F160" s="244"/>
      <c r="G160" s="245"/>
    </row>
    <row r="161" spans="4:7" x14ac:dyDescent="0.25">
      <c r="D161" s="244"/>
      <c r="E161" s="245"/>
      <c r="F161" s="244"/>
      <c r="G161" s="245"/>
    </row>
    <row r="162" spans="4:7" x14ac:dyDescent="0.25">
      <c r="D162" s="244"/>
      <c r="E162" s="245"/>
      <c r="F162" s="244"/>
      <c r="G162" s="245"/>
    </row>
    <row r="163" spans="4:7" x14ac:dyDescent="0.25">
      <c r="D163" s="244"/>
      <c r="E163" s="245"/>
      <c r="F163" s="244"/>
      <c r="G163" s="245"/>
    </row>
    <row r="164" spans="4:7" x14ac:dyDescent="0.25">
      <c r="D164" s="244"/>
      <c r="E164" s="245"/>
      <c r="F164" s="244"/>
      <c r="G164" s="245"/>
    </row>
    <row r="165" spans="4:7" x14ac:dyDescent="0.25">
      <c r="D165" s="244"/>
      <c r="E165" s="245"/>
      <c r="F165" s="244"/>
      <c r="G165" s="245"/>
    </row>
    <row r="166" spans="4:7" x14ac:dyDescent="0.25">
      <c r="D166" s="244"/>
      <c r="E166" s="245"/>
      <c r="F166" s="244"/>
      <c r="G166" s="245"/>
    </row>
    <row r="167" spans="4:7" x14ac:dyDescent="0.25">
      <c r="D167" s="244"/>
      <c r="E167" s="245"/>
      <c r="F167" s="244"/>
      <c r="G167" s="245"/>
    </row>
    <row r="168" spans="4:7" x14ac:dyDescent="0.25">
      <c r="D168" s="244"/>
      <c r="E168" s="245"/>
      <c r="F168" s="244"/>
      <c r="G168" s="245"/>
    </row>
    <row r="169" spans="4:7" x14ac:dyDescent="0.25">
      <c r="D169" s="244"/>
      <c r="E169" s="245"/>
      <c r="F169" s="244"/>
      <c r="G169" s="245"/>
    </row>
    <row r="170" spans="4:7" x14ac:dyDescent="0.25">
      <c r="D170" s="244"/>
      <c r="E170" s="245"/>
      <c r="F170" s="244"/>
      <c r="G170" s="245"/>
    </row>
    <row r="171" spans="4:7" x14ac:dyDescent="0.25">
      <c r="D171" s="244"/>
      <c r="E171" s="245"/>
      <c r="F171" s="244"/>
      <c r="G171" s="245"/>
    </row>
    <row r="172" spans="4:7" x14ac:dyDescent="0.25">
      <c r="D172" s="244"/>
      <c r="E172" s="245"/>
      <c r="F172" s="244"/>
      <c r="G172" s="245"/>
    </row>
    <row r="173" spans="4:7" x14ac:dyDescent="0.25">
      <c r="D173" s="244"/>
      <c r="E173" s="245"/>
      <c r="F173" s="244"/>
      <c r="G173" s="245"/>
    </row>
    <row r="174" spans="4:7" x14ac:dyDescent="0.25">
      <c r="D174" s="244"/>
      <c r="E174" s="245"/>
      <c r="F174" s="244"/>
      <c r="G174" s="245"/>
    </row>
    <row r="175" spans="4:7" x14ac:dyDescent="0.25">
      <c r="D175" s="244"/>
      <c r="E175" s="245"/>
      <c r="F175" s="244"/>
      <c r="G175" s="245"/>
    </row>
    <row r="176" spans="4:7" x14ac:dyDescent="0.25">
      <c r="D176" s="244"/>
      <c r="E176" s="245"/>
      <c r="F176" s="244"/>
      <c r="G176" s="245"/>
    </row>
    <row r="177" spans="4:7" x14ac:dyDescent="0.25">
      <c r="D177" s="244"/>
      <c r="E177" s="245"/>
      <c r="F177" s="244"/>
      <c r="G177" s="245"/>
    </row>
    <row r="178" spans="4:7" x14ac:dyDescent="0.25">
      <c r="D178" s="244"/>
      <c r="E178" s="245"/>
      <c r="F178" s="244"/>
      <c r="G178" s="245"/>
    </row>
    <row r="179" spans="4:7" x14ac:dyDescent="0.25">
      <c r="D179" s="244"/>
      <c r="E179" s="245"/>
      <c r="F179" s="244"/>
      <c r="G179" s="245"/>
    </row>
    <row r="180" spans="4:7" x14ac:dyDescent="0.25">
      <c r="D180" s="244"/>
      <c r="E180" s="245"/>
      <c r="F180" s="244"/>
      <c r="G180" s="245"/>
    </row>
    <row r="181" spans="4:7" x14ac:dyDescent="0.25">
      <c r="D181" s="244"/>
      <c r="E181" s="245"/>
      <c r="F181" s="244"/>
      <c r="G181" s="245"/>
    </row>
    <row r="182" spans="4:7" x14ac:dyDescent="0.25">
      <c r="D182" s="244"/>
      <c r="E182" s="245"/>
      <c r="F182" s="244"/>
      <c r="G182" s="245"/>
    </row>
    <row r="183" spans="4:7" x14ac:dyDescent="0.25">
      <c r="D183" s="244"/>
      <c r="E183" s="245"/>
      <c r="F183" s="244"/>
      <c r="G183" s="245"/>
    </row>
    <row r="184" spans="4:7" x14ac:dyDescent="0.25">
      <c r="D184" s="244"/>
      <c r="E184" s="245"/>
      <c r="F184" s="244"/>
      <c r="G184" s="245"/>
    </row>
    <row r="185" spans="4:7" x14ac:dyDescent="0.25">
      <c r="D185" s="244"/>
      <c r="E185" s="245"/>
      <c r="F185" s="244"/>
      <c r="G185" s="245"/>
    </row>
    <row r="186" spans="4:7" x14ac:dyDescent="0.25">
      <c r="D186" s="244"/>
      <c r="E186" s="245"/>
      <c r="F186" s="244"/>
      <c r="G186" s="245"/>
    </row>
    <row r="187" spans="4:7" x14ac:dyDescent="0.25">
      <c r="D187" s="244"/>
      <c r="E187" s="245"/>
      <c r="F187" s="244"/>
      <c r="G187" s="245"/>
    </row>
    <row r="188" spans="4:7" x14ac:dyDescent="0.25">
      <c r="D188" s="244"/>
      <c r="E188" s="245"/>
      <c r="F188" s="244"/>
      <c r="G188" s="245"/>
    </row>
    <row r="189" spans="4:7" x14ac:dyDescent="0.25">
      <c r="D189" s="244"/>
      <c r="E189" s="245"/>
      <c r="F189" s="244"/>
      <c r="G189" s="245"/>
    </row>
    <row r="190" spans="4:7" x14ac:dyDescent="0.25">
      <c r="D190" s="244"/>
      <c r="E190" s="245"/>
      <c r="F190" s="244"/>
      <c r="G190" s="245"/>
    </row>
    <row r="191" spans="4:7" x14ac:dyDescent="0.25">
      <c r="D191" s="244"/>
      <c r="E191" s="245"/>
      <c r="F191" s="244"/>
      <c r="G191" s="245"/>
    </row>
    <row r="192" spans="4:7" x14ac:dyDescent="0.25">
      <c r="D192" s="244"/>
      <c r="E192" s="245"/>
      <c r="F192" s="244"/>
      <c r="G192" s="245"/>
    </row>
    <row r="193" spans="4:7" x14ac:dyDescent="0.25">
      <c r="D193" s="244"/>
      <c r="E193" s="245"/>
      <c r="F193" s="244"/>
      <c r="G193" s="245"/>
    </row>
    <row r="194" spans="4:7" x14ac:dyDescent="0.25">
      <c r="D194" s="244"/>
      <c r="E194" s="245"/>
      <c r="F194" s="244"/>
      <c r="G194" s="245"/>
    </row>
    <row r="195" spans="4:7" x14ac:dyDescent="0.25">
      <c r="D195" s="244"/>
      <c r="E195" s="245"/>
      <c r="F195" s="244"/>
      <c r="G195" s="245"/>
    </row>
    <row r="196" spans="4:7" x14ac:dyDescent="0.25">
      <c r="D196" s="244"/>
      <c r="E196" s="245"/>
      <c r="F196" s="244"/>
      <c r="G196" s="245"/>
    </row>
    <row r="197" spans="4:7" x14ac:dyDescent="0.25">
      <c r="D197" s="244"/>
      <c r="E197" s="245"/>
      <c r="F197" s="244"/>
      <c r="G197" s="245"/>
    </row>
    <row r="198" spans="4:7" x14ac:dyDescent="0.25">
      <c r="D198" s="244"/>
      <c r="E198" s="245"/>
      <c r="F198" s="244"/>
      <c r="G198" s="245"/>
    </row>
    <row r="199" spans="4:7" x14ac:dyDescent="0.25">
      <c r="D199" s="244"/>
      <c r="E199" s="245"/>
      <c r="F199" s="244"/>
      <c r="G199" s="245"/>
    </row>
    <row r="200" spans="4:7" x14ac:dyDescent="0.25">
      <c r="D200" s="244"/>
      <c r="E200" s="245"/>
      <c r="F200" s="244"/>
      <c r="G200" s="245"/>
    </row>
    <row r="201" spans="4:7" x14ac:dyDescent="0.25">
      <c r="D201" s="244"/>
      <c r="E201" s="245"/>
      <c r="F201" s="244"/>
      <c r="G201" s="245"/>
    </row>
    <row r="202" spans="4:7" x14ac:dyDescent="0.25">
      <c r="D202" s="244"/>
      <c r="E202" s="245"/>
      <c r="F202" s="244"/>
      <c r="G202" s="245"/>
    </row>
    <row r="203" spans="4:7" x14ac:dyDescent="0.25">
      <c r="D203" s="244"/>
      <c r="E203" s="245"/>
      <c r="F203" s="244"/>
      <c r="G203" s="245"/>
    </row>
    <row r="204" spans="4:7" x14ac:dyDescent="0.25">
      <c r="D204" s="244"/>
      <c r="E204" s="245"/>
      <c r="F204" s="244"/>
      <c r="G204" s="245"/>
    </row>
    <row r="205" spans="4:7" x14ac:dyDescent="0.25">
      <c r="D205" s="244"/>
      <c r="E205" s="245"/>
      <c r="F205" s="244"/>
      <c r="G205" s="245"/>
    </row>
    <row r="206" spans="4:7" x14ac:dyDescent="0.25">
      <c r="D206" s="244"/>
      <c r="E206" s="245"/>
      <c r="F206" s="244"/>
      <c r="G206" s="245"/>
    </row>
    <row r="207" spans="4:7" x14ac:dyDescent="0.25">
      <c r="D207" s="244"/>
      <c r="E207" s="245"/>
      <c r="F207" s="244"/>
      <c r="G207" s="245"/>
    </row>
    <row r="208" spans="4:7" x14ac:dyDescent="0.25">
      <c r="D208" s="244"/>
      <c r="E208" s="245"/>
      <c r="F208" s="244"/>
      <c r="G208" s="245"/>
    </row>
    <row r="209" spans="4:7" x14ac:dyDescent="0.25">
      <c r="D209" s="244"/>
      <c r="E209" s="245"/>
      <c r="F209" s="244"/>
      <c r="G209" s="245"/>
    </row>
    <row r="210" spans="4:7" x14ac:dyDescent="0.25">
      <c r="D210" s="244"/>
      <c r="E210" s="245"/>
      <c r="F210" s="244"/>
      <c r="G210" s="245"/>
    </row>
    <row r="211" spans="4:7" x14ac:dyDescent="0.25">
      <c r="D211" s="244"/>
      <c r="E211" s="245"/>
      <c r="F211" s="244"/>
      <c r="G211" s="245"/>
    </row>
    <row r="212" spans="4:7" x14ac:dyDescent="0.25">
      <c r="D212" s="244"/>
      <c r="E212" s="245"/>
      <c r="F212" s="244"/>
      <c r="G212" s="245"/>
    </row>
    <row r="213" spans="4:7" x14ac:dyDescent="0.25">
      <c r="D213" s="244"/>
      <c r="E213" s="245"/>
      <c r="F213" s="244"/>
      <c r="G213" s="245"/>
    </row>
    <row r="214" spans="4:7" x14ac:dyDescent="0.25">
      <c r="D214" s="244"/>
      <c r="E214" s="245"/>
      <c r="F214" s="244"/>
      <c r="G214" s="245"/>
    </row>
    <row r="215" spans="4:7" x14ac:dyDescent="0.25">
      <c r="D215" s="244"/>
      <c r="E215" s="245"/>
      <c r="F215" s="244"/>
      <c r="G215" s="245"/>
    </row>
    <row r="216" spans="4:7" x14ac:dyDescent="0.25">
      <c r="D216" s="244"/>
      <c r="E216" s="245"/>
      <c r="F216" s="244"/>
      <c r="G216" s="245"/>
    </row>
    <row r="217" spans="4:7" x14ac:dyDescent="0.25">
      <c r="D217" s="244"/>
      <c r="E217" s="245"/>
      <c r="F217" s="244"/>
      <c r="G217" s="245"/>
    </row>
    <row r="218" spans="4:7" x14ac:dyDescent="0.25">
      <c r="D218" s="244"/>
      <c r="E218" s="245"/>
      <c r="F218" s="244"/>
      <c r="G218" s="245"/>
    </row>
    <row r="219" spans="4:7" x14ac:dyDescent="0.25">
      <c r="D219" s="244"/>
      <c r="E219" s="245"/>
      <c r="F219" s="244"/>
      <c r="G219" s="245"/>
    </row>
    <row r="220" spans="4:7" x14ac:dyDescent="0.25">
      <c r="D220" s="244"/>
      <c r="E220" s="245"/>
      <c r="F220" s="244"/>
      <c r="G220" s="245"/>
    </row>
    <row r="221" spans="4:7" x14ac:dyDescent="0.25">
      <c r="D221" s="244"/>
      <c r="E221" s="245"/>
      <c r="F221" s="244"/>
      <c r="G221" s="245"/>
    </row>
    <row r="222" spans="4:7" x14ac:dyDescent="0.25">
      <c r="D222" s="244"/>
      <c r="E222" s="245"/>
      <c r="F222" s="244"/>
      <c r="G222" s="245"/>
    </row>
    <row r="223" spans="4:7" x14ac:dyDescent="0.25">
      <c r="D223" s="244"/>
      <c r="E223" s="245"/>
      <c r="F223" s="244"/>
      <c r="G223" s="245"/>
    </row>
    <row r="224" spans="4:7" x14ac:dyDescent="0.25">
      <c r="D224" s="244"/>
      <c r="E224" s="245"/>
      <c r="F224" s="244"/>
      <c r="G224" s="245"/>
    </row>
    <row r="225" spans="4:7" x14ac:dyDescent="0.25">
      <c r="D225" s="244"/>
      <c r="E225" s="245"/>
      <c r="F225" s="244"/>
      <c r="G225" s="245"/>
    </row>
    <row r="226" spans="4:7" x14ac:dyDescent="0.25">
      <c r="D226" s="244"/>
      <c r="E226" s="245"/>
      <c r="F226" s="244"/>
      <c r="G226" s="245"/>
    </row>
    <row r="227" spans="4:7" x14ac:dyDescent="0.25">
      <c r="D227" s="244"/>
      <c r="E227" s="245"/>
      <c r="F227" s="244"/>
      <c r="G227" s="245"/>
    </row>
    <row r="228" spans="4:7" x14ac:dyDescent="0.25">
      <c r="D228" s="244"/>
      <c r="E228" s="245"/>
      <c r="F228" s="244"/>
      <c r="G228" s="245"/>
    </row>
    <row r="229" spans="4:7" x14ac:dyDescent="0.25">
      <c r="D229" s="244"/>
      <c r="E229" s="245"/>
      <c r="F229" s="244"/>
      <c r="G229" s="245"/>
    </row>
    <row r="230" spans="4:7" x14ac:dyDescent="0.25">
      <c r="D230" s="244"/>
      <c r="E230" s="245"/>
      <c r="F230" s="244"/>
      <c r="G230" s="245"/>
    </row>
    <row r="231" spans="4:7" x14ac:dyDescent="0.25">
      <c r="D231" s="244"/>
      <c r="E231" s="245"/>
      <c r="F231" s="244"/>
      <c r="G231" s="245"/>
    </row>
    <row r="232" spans="4:7" x14ac:dyDescent="0.25">
      <c r="D232" s="244"/>
      <c r="E232" s="245"/>
      <c r="F232" s="244"/>
      <c r="G232" s="245"/>
    </row>
    <row r="233" spans="4:7" x14ac:dyDescent="0.25">
      <c r="D233" s="244"/>
      <c r="E233" s="245"/>
      <c r="F233" s="244"/>
      <c r="G233" s="245"/>
    </row>
    <row r="234" spans="4:7" x14ac:dyDescent="0.25">
      <c r="D234" s="244"/>
      <c r="E234" s="245"/>
      <c r="F234" s="244"/>
      <c r="G234" s="245"/>
    </row>
    <row r="235" spans="4:7" x14ac:dyDescent="0.25">
      <c r="D235" s="244"/>
      <c r="E235" s="245"/>
      <c r="F235" s="244"/>
      <c r="G235" s="245"/>
    </row>
    <row r="236" spans="4:7" x14ac:dyDescent="0.25">
      <c r="D236" s="244"/>
      <c r="E236" s="245"/>
      <c r="F236" s="244"/>
      <c r="G236" s="245"/>
    </row>
    <row r="237" spans="4:7" x14ac:dyDescent="0.25">
      <c r="D237" s="244"/>
      <c r="E237" s="245"/>
      <c r="F237" s="244"/>
      <c r="G237" s="245"/>
    </row>
    <row r="238" spans="4:7" x14ac:dyDescent="0.25">
      <c r="D238" s="244"/>
      <c r="E238" s="245"/>
      <c r="F238" s="244"/>
      <c r="G238" s="245"/>
    </row>
    <row r="239" spans="4:7" x14ac:dyDescent="0.25">
      <c r="D239" s="244"/>
      <c r="E239" s="245"/>
      <c r="F239" s="244"/>
      <c r="G239" s="245"/>
    </row>
    <row r="240" spans="4:7" x14ac:dyDescent="0.25">
      <c r="D240" s="244"/>
      <c r="E240" s="245"/>
      <c r="F240" s="244"/>
      <c r="G240" s="245"/>
    </row>
    <row r="241" spans="4:7" x14ac:dyDescent="0.25">
      <c r="D241" s="244"/>
      <c r="E241" s="245"/>
      <c r="F241" s="244"/>
      <c r="G241" s="245"/>
    </row>
    <row r="242" spans="4:7" x14ac:dyDescent="0.25">
      <c r="D242" s="244"/>
      <c r="E242" s="245"/>
      <c r="F242" s="244"/>
      <c r="G242" s="245"/>
    </row>
    <row r="243" spans="4:7" x14ac:dyDescent="0.25">
      <c r="D243" s="244"/>
      <c r="E243" s="245"/>
      <c r="F243" s="244"/>
      <c r="G243" s="245"/>
    </row>
    <row r="244" spans="4:7" x14ac:dyDescent="0.25">
      <c r="D244" s="244"/>
      <c r="E244" s="245"/>
      <c r="F244" s="244"/>
      <c r="G244" s="245"/>
    </row>
    <row r="245" spans="4:7" x14ac:dyDescent="0.25">
      <c r="D245" s="244"/>
      <c r="E245" s="245"/>
      <c r="F245" s="244"/>
      <c r="G245" s="245"/>
    </row>
    <row r="246" spans="4:7" x14ac:dyDescent="0.25">
      <c r="D246" s="244"/>
      <c r="E246" s="245"/>
      <c r="F246" s="244"/>
      <c r="G246" s="245"/>
    </row>
    <row r="247" spans="4:7" x14ac:dyDescent="0.25">
      <c r="D247" s="244"/>
      <c r="E247" s="245"/>
      <c r="F247" s="244"/>
      <c r="G247" s="245"/>
    </row>
    <row r="248" spans="4:7" x14ac:dyDescent="0.25">
      <c r="D248" s="244"/>
      <c r="E248" s="245"/>
      <c r="F248" s="244"/>
      <c r="G248" s="245"/>
    </row>
    <row r="249" spans="4:7" x14ac:dyDescent="0.25">
      <c r="D249" s="244"/>
      <c r="E249" s="245"/>
      <c r="F249" s="244"/>
      <c r="G249" s="245"/>
    </row>
    <row r="250" spans="4:7" x14ac:dyDescent="0.25">
      <c r="D250" s="244"/>
      <c r="E250" s="245"/>
      <c r="F250" s="244"/>
      <c r="G250" s="245"/>
    </row>
    <row r="251" spans="4:7" x14ac:dyDescent="0.25">
      <c r="D251" s="244"/>
      <c r="E251" s="245"/>
      <c r="F251" s="244"/>
      <c r="G251" s="245"/>
    </row>
    <row r="252" spans="4:7" x14ac:dyDescent="0.25">
      <c r="D252" s="244"/>
      <c r="E252" s="245"/>
      <c r="F252" s="244"/>
      <c r="G252" s="245"/>
    </row>
    <row r="253" spans="4:7" x14ac:dyDescent="0.25">
      <c r="D253" s="244"/>
      <c r="E253" s="245"/>
      <c r="F253" s="244"/>
      <c r="G253" s="245"/>
    </row>
    <row r="254" spans="4:7" x14ac:dyDescent="0.25">
      <c r="D254" s="244"/>
      <c r="E254" s="245"/>
      <c r="F254" s="244"/>
      <c r="G254" s="245"/>
    </row>
    <row r="255" spans="4:7" x14ac:dyDescent="0.25">
      <c r="D255" s="244"/>
      <c r="E255" s="245"/>
      <c r="F255" s="244"/>
      <c r="G255" s="245"/>
    </row>
    <row r="256" spans="4:7" x14ac:dyDescent="0.25">
      <c r="D256" s="244"/>
      <c r="E256" s="245"/>
      <c r="F256" s="244"/>
      <c r="G256" s="245"/>
    </row>
    <row r="257" spans="4:7" x14ac:dyDescent="0.25">
      <c r="D257" s="244"/>
      <c r="E257" s="245"/>
      <c r="F257" s="244"/>
      <c r="G257" s="245"/>
    </row>
    <row r="258" spans="4:7" x14ac:dyDescent="0.25">
      <c r="D258" s="244"/>
      <c r="E258" s="245"/>
      <c r="F258" s="244"/>
      <c r="G258" s="245"/>
    </row>
    <row r="259" spans="4:7" x14ac:dyDescent="0.25">
      <c r="D259" s="244"/>
      <c r="E259" s="245"/>
      <c r="F259" s="244"/>
      <c r="G259" s="245"/>
    </row>
    <row r="260" spans="4:7" x14ac:dyDescent="0.25">
      <c r="D260" s="244"/>
      <c r="E260" s="245"/>
      <c r="F260" s="244"/>
      <c r="G260" s="245"/>
    </row>
    <row r="261" spans="4:7" x14ac:dyDescent="0.25">
      <c r="D261" s="244"/>
      <c r="E261" s="245"/>
      <c r="F261" s="244"/>
      <c r="G261" s="245"/>
    </row>
    <row r="262" spans="4:7" x14ac:dyDescent="0.25">
      <c r="D262" s="244"/>
      <c r="E262" s="245"/>
      <c r="F262" s="244"/>
      <c r="G262" s="245"/>
    </row>
    <row r="263" spans="4:7" x14ac:dyDescent="0.25">
      <c r="D263" s="244"/>
      <c r="E263" s="245"/>
      <c r="F263" s="244"/>
      <c r="G263" s="245"/>
    </row>
    <row r="264" spans="4:7" x14ac:dyDescent="0.25">
      <c r="D264" s="244"/>
      <c r="E264" s="245"/>
      <c r="F264" s="244"/>
      <c r="G264" s="245"/>
    </row>
    <row r="265" spans="4:7" x14ac:dyDescent="0.25">
      <c r="D265" s="244"/>
      <c r="E265" s="245"/>
      <c r="F265" s="244"/>
      <c r="G265" s="245"/>
    </row>
    <row r="266" spans="4:7" x14ac:dyDescent="0.25">
      <c r="D266" s="244"/>
      <c r="E266" s="245"/>
      <c r="F266" s="244"/>
      <c r="G266" s="245"/>
    </row>
    <row r="267" spans="4:7" x14ac:dyDescent="0.25">
      <c r="D267" s="244"/>
      <c r="E267" s="245"/>
      <c r="F267" s="244"/>
      <c r="G267" s="245"/>
    </row>
    <row r="268" spans="4:7" x14ac:dyDescent="0.25">
      <c r="D268" s="244"/>
      <c r="E268" s="245"/>
      <c r="F268" s="244"/>
      <c r="G268" s="245"/>
    </row>
    <row r="269" spans="4:7" x14ac:dyDescent="0.25">
      <c r="D269" s="244"/>
      <c r="E269" s="245"/>
      <c r="F269" s="244"/>
      <c r="G269" s="245"/>
    </row>
    <row r="270" spans="4:7" x14ac:dyDescent="0.25">
      <c r="D270" s="244"/>
      <c r="E270" s="245"/>
      <c r="F270" s="244"/>
      <c r="G270" s="245"/>
    </row>
    <row r="271" spans="4:7" x14ac:dyDescent="0.25">
      <c r="D271" s="244"/>
      <c r="E271" s="245"/>
      <c r="F271" s="244"/>
      <c r="G271" s="245"/>
    </row>
    <row r="272" spans="4:7" x14ac:dyDescent="0.25">
      <c r="D272" s="244"/>
      <c r="E272" s="245"/>
      <c r="F272" s="244"/>
      <c r="G272" s="245"/>
    </row>
    <row r="273" spans="4:7" x14ac:dyDescent="0.25">
      <c r="D273" s="244"/>
      <c r="E273" s="245"/>
      <c r="F273" s="244"/>
      <c r="G273" s="245"/>
    </row>
    <row r="274" spans="4:7" x14ac:dyDescent="0.25">
      <c r="D274" s="244"/>
      <c r="E274" s="245"/>
      <c r="F274" s="244"/>
      <c r="G274" s="245"/>
    </row>
    <row r="275" spans="4:7" x14ac:dyDescent="0.25">
      <c r="D275" s="244"/>
      <c r="E275" s="245"/>
      <c r="F275" s="244"/>
      <c r="G275" s="245"/>
    </row>
    <row r="276" spans="4:7" x14ac:dyDescent="0.25">
      <c r="D276" s="244"/>
      <c r="E276" s="245"/>
      <c r="F276" s="244"/>
      <c r="G276" s="245"/>
    </row>
    <row r="277" spans="4:7" x14ac:dyDescent="0.25">
      <c r="D277" s="244"/>
      <c r="E277" s="245"/>
      <c r="F277" s="244"/>
      <c r="G277" s="245"/>
    </row>
    <row r="278" spans="4:7" x14ac:dyDescent="0.25">
      <c r="D278" s="244"/>
      <c r="E278" s="245"/>
      <c r="F278" s="244"/>
      <c r="G278" s="245"/>
    </row>
    <row r="279" spans="4:7" x14ac:dyDescent="0.25">
      <c r="D279" s="244"/>
      <c r="E279" s="245"/>
      <c r="F279" s="244"/>
      <c r="G279" s="245"/>
    </row>
    <row r="280" spans="4:7" x14ac:dyDescent="0.25">
      <c r="D280" s="244"/>
      <c r="E280" s="245"/>
      <c r="F280" s="244"/>
      <c r="G280" s="245"/>
    </row>
    <row r="281" spans="4:7" x14ac:dyDescent="0.25">
      <c r="D281" s="244"/>
      <c r="E281" s="245"/>
      <c r="F281" s="244"/>
      <c r="G281" s="245"/>
    </row>
    <row r="282" spans="4:7" x14ac:dyDescent="0.25">
      <c r="D282" s="244"/>
      <c r="E282" s="245"/>
      <c r="F282" s="244"/>
      <c r="G282" s="245"/>
    </row>
    <row r="283" spans="4:7" x14ac:dyDescent="0.25">
      <c r="D283" s="244"/>
      <c r="E283" s="245"/>
      <c r="F283" s="244"/>
      <c r="G283" s="245"/>
    </row>
    <row r="284" spans="4:7" x14ac:dyDescent="0.25">
      <c r="D284" s="244"/>
      <c r="E284" s="245"/>
      <c r="F284" s="244"/>
      <c r="G284" s="245"/>
    </row>
    <row r="285" spans="4:7" x14ac:dyDescent="0.25">
      <c r="D285" s="244"/>
      <c r="E285" s="245"/>
      <c r="F285" s="244"/>
      <c r="G285" s="245"/>
    </row>
    <row r="286" spans="4:7" x14ac:dyDescent="0.25">
      <c r="D286" s="244"/>
      <c r="E286" s="245"/>
      <c r="F286" s="244"/>
      <c r="G286" s="245"/>
    </row>
    <row r="287" spans="4:7" x14ac:dyDescent="0.25">
      <c r="D287" s="244"/>
      <c r="E287" s="245"/>
      <c r="F287" s="244"/>
      <c r="G287" s="245"/>
    </row>
    <row r="288" spans="4:7" x14ac:dyDescent="0.25">
      <c r="D288" s="244"/>
      <c r="E288" s="245"/>
      <c r="F288" s="244"/>
      <c r="G288" s="245"/>
    </row>
    <row r="289" spans="4:7" x14ac:dyDescent="0.25">
      <c r="D289" s="244"/>
      <c r="E289" s="245"/>
      <c r="F289" s="244"/>
      <c r="G289" s="245"/>
    </row>
    <row r="290" spans="4:7" x14ac:dyDescent="0.25">
      <c r="D290" s="244"/>
      <c r="E290" s="245"/>
      <c r="F290" s="244"/>
      <c r="G290" s="245"/>
    </row>
    <row r="291" spans="4:7" x14ac:dyDescent="0.25">
      <c r="D291" s="244"/>
      <c r="E291" s="245"/>
      <c r="F291" s="244"/>
      <c r="G291" s="245"/>
    </row>
    <row r="292" spans="4:7" x14ac:dyDescent="0.25">
      <c r="D292" s="244"/>
      <c r="E292" s="245"/>
      <c r="F292" s="244"/>
      <c r="G292" s="245"/>
    </row>
    <row r="293" spans="4:7" x14ac:dyDescent="0.25">
      <c r="D293" s="244"/>
      <c r="E293" s="245"/>
      <c r="F293" s="244"/>
      <c r="G293" s="245"/>
    </row>
    <row r="294" spans="4:7" x14ac:dyDescent="0.25">
      <c r="D294" s="244"/>
      <c r="E294" s="245"/>
      <c r="F294" s="244"/>
      <c r="G294" s="245"/>
    </row>
    <row r="295" spans="4:7" x14ac:dyDescent="0.25">
      <c r="D295" s="244"/>
      <c r="E295" s="245"/>
      <c r="F295" s="244"/>
      <c r="G295" s="245"/>
    </row>
    <row r="296" spans="4:7" x14ac:dyDescent="0.25">
      <c r="D296" s="244"/>
      <c r="E296" s="245"/>
      <c r="F296" s="244"/>
      <c r="G296" s="245"/>
    </row>
    <row r="297" spans="4:7" x14ac:dyDescent="0.25">
      <c r="D297" s="244"/>
      <c r="E297" s="245"/>
      <c r="F297" s="244"/>
      <c r="G297" s="245"/>
    </row>
    <row r="298" spans="4:7" x14ac:dyDescent="0.25">
      <c r="D298" s="244"/>
      <c r="E298" s="245"/>
      <c r="F298" s="244"/>
      <c r="G298" s="245"/>
    </row>
    <row r="299" spans="4:7" x14ac:dyDescent="0.25">
      <c r="D299" s="244"/>
      <c r="E299" s="245"/>
      <c r="F299" s="244"/>
      <c r="G299" s="245"/>
    </row>
    <row r="300" spans="4:7" x14ac:dyDescent="0.25">
      <c r="D300" s="244"/>
      <c r="E300" s="245"/>
      <c r="F300" s="244"/>
      <c r="G300" s="245"/>
    </row>
    <row r="301" spans="4:7" x14ac:dyDescent="0.25">
      <c r="D301" s="244"/>
      <c r="E301" s="245"/>
      <c r="F301" s="244"/>
      <c r="G301" s="245"/>
    </row>
    <row r="302" spans="4:7" x14ac:dyDescent="0.25">
      <c r="D302" s="244"/>
      <c r="E302" s="245"/>
      <c r="F302" s="244"/>
      <c r="G302" s="245"/>
    </row>
  </sheetData>
  <customSheetViews>
    <customSheetView guid="{679A3195-3DEA-4AC2-A535-82AAF5B552BC}" state="hidden">
      <selection activeCell="C3" sqref="C3"/>
      <pageMargins left="0.7" right="0.7" top="0.75" bottom="0.75" header="0.3" footer="0.3"/>
    </customSheetView>
    <customSheetView guid="{7378B641-E8D1-4C14-8151-CF4CE159D121}">
      <selection activeCell="C3" sqref="C3"/>
      <pageMargins left="0.7" right="0.7" top="0.75" bottom="0.75" header="0.3" footer="0.3"/>
    </customSheetView>
    <customSheetView guid="{6D63B10B-E1E6-452A-80EB-4B2C7D61CF66}" state="hidden">
      <selection activeCell="C3" sqref="C3"/>
      <pageMargins left="0.7" right="0.7" top="0.75" bottom="0.75" header="0.3" footer="0.3"/>
    </customSheetView>
  </customSheetView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E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6.140625" customWidth="1"/>
    <col min="5" max="5" width="13.42578125" customWidth="1"/>
    <col min="6" max="6" width="14" customWidth="1"/>
  </cols>
  <sheetData>
    <row r="1" spans="1:5" ht="22.5" customHeight="1" x14ac:dyDescent="0.25">
      <c r="A1" s="3" t="s">
        <v>26</v>
      </c>
      <c r="B1" s="4" t="s">
        <v>2275</v>
      </c>
      <c r="C1" s="535" t="s">
        <v>3058</v>
      </c>
      <c r="D1" s="558" t="str">
        <f>B1</f>
        <v>EnergyPro &amp; eQUEST Software:  Advantages &amp; Disadvantages</v>
      </c>
    </row>
    <row r="2" spans="1:5" x14ac:dyDescent="0.25">
      <c r="A2" t="s">
        <v>20</v>
      </c>
      <c r="B2" s="2" t="s">
        <v>60</v>
      </c>
      <c r="C2" s="536" t="s">
        <v>3059</v>
      </c>
    </row>
    <row r="3" spans="1:5" x14ac:dyDescent="0.25">
      <c r="A3" t="s">
        <v>1184</v>
      </c>
      <c r="B3" s="2" t="s">
        <v>3140</v>
      </c>
      <c r="C3" s="536" t="s">
        <v>1193</v>
      </c>
    </row>
    <row r="4" spans="1:5" x14ac:dyDescent="0.25">
      <c r="D4" s="604" t="s">
        <v>2276</v>
      </c>
      <c r="E4" s="607" t="s">
        <v>2277</v>
      </c>
    </row>
    <row r="5" spans="1:5" ht="54" customHeight="1" x14ac:dyDescent="0.25">
      <c r="B5" s="2"/>
      <c r="C5" s="2"/>
      <c r="D5" s="82" t="s">
        <v>3200</v>
      </c>
      <c r="E5" s="82" t="s">
        <v>2278</v>
      </c>
    </row>
    <row r="6" spans="1:5" ht="105" x14ac:dyDescent="0.25">
      <c r="D6" s="82" t="s">
        <v>2279</v>
      </c>
      <c r="E6" s="82" t="s">
        <v>2278</v>
      </c>
    </row>
    <row r="7" spans="1:5" ht="67.5" customHeight="1" x14ac:dyDescent="0.25">
      <c r="D7" s="82" t="s">
        <v>2280</v>
      </c>
      <c r="E7" s="82" t="s">
        <v>2278</v>
      </c>
    </row>
    <row r="8" spans="1:5" ht="105" x14ac:dyDescent="0.25">
      <c r="D8" s="82" t="s">
        <v>2281</v>
      </c>
      <c r="E8" s="82" t="s">
        <v>2282</v>
      </c>
    </row>
    <row r="9" spans="1:5" ht="90" x14ac:dyDescent="0.25">
      <c r="D9" s="82" t="s">
        <v>2283</v>
      </c>
      <c r="E9" s="82" t="s">
        <v>2278</v>
      </c>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D11" sqref="D11"/>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E73"/>
  <sheetViews>
    <sheetView zoomScaleNormal="100" workbookViewId="0"/>
  </sheetViews>
  <sheetFormatPr defaultRowHeight="18.75" x14ac:dyDescent="0.25"/>
  <cols>
    <col min="1" max="1" width="6.7109375" style="593" customWidth="1"/>
    <col min="2" max="2" width="109.28515625" style="3" customWidth="1"/>
    <col min="3" max="3" width="36.28515625" style="3" customWidth="1"/>
    <col min="4" max="4" width="28.28515625" style="3" customWidth="1"/>
    <col min="5" max="5" width="17.85546875" style="3" customWidth="1"/>
    <col min="6" max="16384" width="9.140625" style="3"/>
  </cols>
  <sheetData>
    <row r="1" spans="1:5" s="267" customFormat="1" ht="21.75" customHeight="1" x14ac:dyDescent="0.3">
      <c r="A1" s="594" t="s">
        <v>3156</v>
      </c>
      <c r="B1" s="591" t="s">
        <v>1193</v>
      </c>
      <c r="C1" s="591" t="s">
        <v>1184</v>
      </c>
      <c r="D1" s="537" t="s">
        <v>3312</v>
      </c>
      <c r="E1" s="543" t="s">
        <v>3099</v>
      </c>
    </row>
    <row r="2" spans="1:5" x14ac:dyDescent="0.25">
      <c r="A2" s="593">
        <v>1</v>
      </c>
      <c r="B2" s="537" t="str">
        <f>'73'!$B$1</f>
        <v>BPI Professional Certifications by Type of Certification: January 1, 2010 and November 1, 2011</v>
      </c>
      <c r="C2" t="str">
        <f>'73'!$B$3</f>
        <v>BPI</v>
      </c>
    </row>
    <row r="3" spans="1:5" x14ac:dyDescent="0.25">
      <c r="A3" s="593">
        <v>2</v>
      </c>
      <c r="B3" s="537" t="str">
        <f>'60'!$B$1</f>
        <v>Amount of Contractor Staff Hired Because of EUC Program</v>
      </c>
      <c r="C3" t="str">
        <f>'60'!$B$3</f>
        <v>Contractor Survey</v>
      </c>
    </row>
    <row r="4" spans="1:5" x14ac:dyDescent="0.25">
      <c r="A4" s="593">
        <v>3</v>
      </c>
      <c r="B4" s="537" t="str">
        <f>'54'!$B$1</f>
        <v>Contractor Barriers to Submitting Jobs to the Program</v>
      </c>
      <c r="C4" t="str">
        <f>'54'!$B$3</f>
        <v>Contractor Survey</v>
      </c>
    </row>
    <row r="5" spans="1:5" x14ac:dyDescent="0.25">
      <c r="A5" s="593">
        <v>4</v>
      </c>
      <c r="B5" s="537" t="str">
        <f>'51'!$B$1</f>
        <v>Contractor Program Satisfaction Ratings</v>
      </c>
      <c r="C5" t="str">
        <f>'51'!$B$3</f>
        <v>Contractor Survey</v>
      </c>
    </row>
    <row r="6" spans="1:5" x14ac:dyDescent="0.25">
      <c r="A6" s="593">
        <v>5</v>
      </c>
      <c r="B6" s="537" t="str">
        <f>'57'!$B$1</f>
        <v>Contractor Satisfaction with Program Training</v>
      </c>
      <c r="C6" t="str">
        <f>'57'!$B$3</f>
        <v>Contractor Survey</v>
      </c>
    </row>
    <row r="7" spans="1:5" x14ac:dyDescent="0.25">
      <c r="A7" s="593">
        <v>6</v>
      </c>
      <c r="B7" s="537" t="str">
        <f>'42'!$B$1</f>
        <v>Contractors' Agreement with Awareness, Knowledge, Actions-Behaviors Statements</v>
      </c>
      <c r="C7" t="str">
        <f>'42'!$B$3</f>
        <v>Contractor Survey</v>
      </c>
    </row>
    <row r="8" spans="1:5" x14ac:dyDescent="0.25">
      <c r="A8" s="593">
        <v>7</v>
      </c>
      <c r="B8" s="537" t="str">
        <f>'55'!$B$1</f>
        <v>Contractors Completing Jobs Outside of the Program</v>
      </c>
      <c r="C8" t="str">
        <f>'55'!$B$3</f>
        <v>Contractor Survey</v>
      </c>
    </row>
    <row r="9" spans="1:5" x14ac:dyDescent="0.25">
      <c r="A9" s="593">
        <v>8</v>
      </c>
      <c r="B9" s="537" t="str">
        <f>'35'!$B$1</f>
        <v>Contractors' Financing Quotes</v>
      </c>
      <c r="C9" t="str">
        <f>'35'!$B$3</f>
        <v>Contractor Survey</v>
      </c>
    </row>
    <row r="10" spans="1:5" x14ac:dyDescent="0.25">
      <c r="A10" s="593">
        <v>9</v>
      </c>
      <c r="B10" s="537" t="str">
        <f>'43'!$B$1</f>
        <v>Contractors' Quotes Impact of Premium Incentives</v>
      </c>
      <c r="C10" t="str">
        <f>'43'!$B$3</f>
        <v>Contractor Survey</v>
      </c>
    </row>
    <row r="11" spans="1:5" x14ac:dyDescent="0.25">
      <c r="A11" s="593">
        <v>10</v>
      </c>
      <c r="B11" s="314" t="str">
        <f>'40'!$B$1</f>
        <v>Contractors' Quotes on EnergyPro</v>
      </c>
      <c r="C11" t="str">
        <f>'40'!$B$3</f>
        <v>Contractor Survey</v>
      </c>
    </row>
    <row r="12" spans="1:5" x14ac:dyDescent="0.25">
      <c r="A12" s="593">
        <v>11</v>
      </c>
      <c r="B12" s="537" t="str">
        <f>'37'!$B$1</f>
        <v>Contractors' Quotes on Paperwork and QA/QC Requirements</v>
      </c>
      <c r="C12" t="str">
        <f>'37'!$B$3</f>
        <v>Contractor Survey</v>
      </c>
    </row>
    <row r="13" spans="1:5" x14ac:dyDescent="0.25">
      <c r="A13" s="593">
        <v>12</v>
      </c>
      <c r="B13" s="537" t="str">
        <f>'39'!$B$1</f>
        <v>Contractors' Quotes on the Basic vs. Advanced Upgrade Options</v>
      </c>
      <c r="C13" t="str">
        <f>'39'!$B$3</f>
        <v>Contractor Survey</v>
      </c>
    </row>
    <row r="14" spans="1:5" x14ac:dyDescent="0.25">
      <c r="A14" s="593">
        <v>13</v>
      </c>
      <c r="B14" s="537" t="str">
        <f>'36'!$B$1</f>
        <v>Contractors' Quotes Regarding Effective Messaging</v>
      </c>
      <c r="C14" t="str">
        <f>'36'!$B$3</f>
        <v>Contractor Survey</v>
      </c>
    </row>
    <row r="15" spans="1:5" x14ac:dyDescent="0.25">
      <c r="A15" s="593">
        <v>14</v>
      </c>
      <c r="B15" s="537" t="str">
        <f>'52'!$B$1</f>
        <v>Contractors Stating Paperwork is Barrier to Participation</v>
      </c>
      <c r="C15" t="str">
        <f>'52'!$B$3</f>
        <v>Contractor Survey</v>
      </c>
    </row>
    <row r="16" spans="1:5" x14ac:dyDescent="0.25">
      <c r="A16" s="593">
        <v>15</v>
      </c>
      <c r="B16" s="537" t="str">
        <f>'53'!$B$1</f>
        <v>Contractor's Suggested Most Effective Marketing Messages</v>
      </c>
      <c r="C16" t="str">
        <f>'53'!$B$3</f>
        <v>Contractor Survey</v>
      </c>
    </row>
    <row r="17" spans="1:3" x14ac:dyDescent="0.25">
      <c r="A17" s="593">
        <v>16</v>
      </c>
      <c r="B17" s="537" t="str">
        <f>'56'!$B$1</f>
        <v>EUC Qualified Jobs Not Submitted to Program in 2011</v>
      </c>
      <c r="C17" t="str">
        <f>'56'!$B$3</f>
        <v>Contractor Survey</v>
      </c>
    </row>
    <row r="18" spans="1:3" x14ac:dyDescent="0.25">
      <c r="A18" s="593">
        <v>17</v>
      </c>
      <c r="B18" s="537" t="str">
        <f>'61'!$B$1</f>
        <v>Proportion of Active Contractors that Plan to Add Staff</v>
      </c>
      <c r="C18" t="str">
        <f>'61'!$B$3</f>
        <v>Contractor Survey</v>
      </c>
    </row>
    <row r="19" spans="1:3" x14ac:dyDescent="0.25">
      <c r="A19" s="593">
        <v>18</v>
      </c>
      <c r="B19" s="537" t="str">
        <f>'59'!$B$1</f>
        <v>Proportion of Contractors that Have Added Staff due to EUC Program</v>
      </c>
      <c r="C19" t="str">
        <f>'59'!$B$3</f>
        <v>Contractor Survey</v>
      </c>
    </row>
    <row r="20" spans="1:3" x14ac:dyDescent="0.25">
      <c r="A20" s="593">
        <v>19</v>
      </c>
      <c r="B20" s="537" t="str">
        <f>'58'!$B$1</f>
        <v>Proportion of Participating Contractors that Learned New Job Skills</v>
      </c>
      <c r="C20" t="str">
        <f>'58'!$B$3</f>
        <v>Contractor Survey</v>
      </c>
    </row>
    <row r="21" spans="1:3" x14ac:dyDescent="0.25">
      <c r="A21" s="593">
        <v>20</v>
      </c>
      <c r="B21" s="535" t="str">
        <f>'19'!$B$1</f>
        <v>EnergyPro &amp; eQUEST Software:  Advantages &amp; Disadvantages</v>
      </c>
      <c r="C21" t="str">
        <f>'19'!$B$3</f>
        <v>eQUEST comparison</v>
      </c>
    </row>
    <row r="22" spans="1:3" x14ac:dyDescent="0.25">
      <c r="A22" s="593">
        <v>21</v>
      </c>
      <c r="B22" s="537" t="str">
        <f>'20'!$B$1</f>
        <v>Sensitivity to Changes in Duct Leakage Percentage (Site 1-1057, Site 2-1058)</v>
      </c>
      <c r="C22" t="str">
        <f>'20'!$B$3</f>
        <v>eQUEST comparison</v>
      </c>
    </row>
    <row r="23" spans="1:3" x14ac:dyDescent="0.25">
      <c r="A23" s="593">
        <v>22</v>
      </c>
      <c r="B23" s="537" t="str">
        <f>'21'!$B$1</f>
        <v>Sensitivity to Changes in Improved Roof U-Value (Site 2-1058)</v>
      </c>
      <c r="C23" t="str">
        <f>'21'!$B$3</f>
        <v>eQUEST comparison</v>
      </c>
    </row>
    <row r="24" spans="1:3" x14ac:dyDescent="0.25">
      <c r="A24" s="593">
        <v>23</v>
      </c>
      <c r="B24" s="537" t="str">
        <f>'28'!$B$1</f>
        <v>Site 1-1057 Combined Measure Model Savings Comparison</v>
      </c>
      <c r="C24" t="str">
        <f>'28'!$B$3</f>
        <v>eQUEST comparison</v>
      </c>
    </row>
    <row r="25" spans="1:3" x14ac:dyDescent="0.25">
      <c r="A25" s="593">
        <v>24</v>
      </c>
      <c r="B25" s="537" t="str">
        <f>'24'!$B$1</f>
        <v>Site 1-1057 Energy End Use Comparison</v>
      </c>
      <c r="C25" t="str">
        <f>'24'!$B$3</f>
        <v>eQUEST comparison</v>
      </c>
    </row>
    <row r="26" spans="1:3" x14ac:dyDescent="0.25">
      <c r="A26" s="593">
        <v>25</v>
      </c>
      <c r="B26" s="537" t="str">
        <f>'22'!$B$1</f>
        <v>Site 1-1057 Monthly kWh Comparison</v>
      </c>
      <c r="C26" t="str">
        <f>'22'!$B$3</f>
        <v>eQUEST comparison</v>
      </c>
    </row>
    <row r="27" spans="1:3" x14ac:dyDescent="0.25">
      <c r="A27" s="593">
        <v>26</v>
      </c>
      <c r="B27" s="537" t="str">
        <f>'23'!$B$1</f>
        <v>Site 1-1057 Monthly Therms Comparison</v>
      </c>
      <c r="C27" t="str">
        <f>'23'!$B$3</f>
        <v>eQUEST comparison</v>
      </c>
    </row>
    <row r="28" spans="1:3" x14ac:dyDescent="0.25">
      <c r="A28" s="593">
        <v>27</v>
      </c>
      <c r="B28" s="537" t="str">
        <f>'29'!$B$1</f>
        <v>Site 2-1058 Combined Measure Model Savings Comparison</v>
      </c>
      <c r="C28" t="str">
        <f>'29'!$B$3</f>
        <v>eQUEST comparison</v>
      </c>
    </row>
    <row r="29" spans="1:3" x14ac:dyDescent="0.25">
      <c r="A29" s="593">
        <v>28</v>
      </c>
      <c r="B29" s="537" t="str">
        <f>'27'!$B$1</f>
        <v>Site 2-1058 Energy End Use Comparison</v>
      </c>
      <c r="C29" t="str">
        <f>'27'!$B$3</f>
        <v>eQUEST comparison</v>
      </c>
    </row>
    <row r="30" spans="1:3" x14ac:dyDescent="0.25">
      <c r="A30" s="593">
        <v>29</v>
      </c>
      <c r="B30" s="537" t="str">
        <f>'25'!$B$1</f>
        <v>Site 2-1058 Monthly kWh Comparison</v>
      </c>
      <c r="C30" t="str">
        <f>'25'!$B$3</f>
        <v>eQUEST comparison</v>
      </c>
    </row>
    <row r="31" spans="1:3" s="639" customFormat="1" x14ac:dyDescent="0.25">
      <c r="A31" s="727">
        <v>30</v>
      </c>
      <c r="B31" s="728" t="str">
        <f>'26'!$B$1</f>
        <v>Site 2-1058 Monthly Therms Comparison</v>
      </c>
      <c r="C31" s="91" t="str">
        <f>'26'!$B$3</f>
        <v>eQUEST comparison</v>
      </c>
    </row>
    <row r="32" spans="1:3" s="639" customFormat="1" x14ac:dyDescent="0.25">
      <c r="A32" s="727">
        <v>31</v>
      </c>
      <c r="B32" s="728" t="str">
        <f>'9'!$B$1</f>
        <v>Instances of Safety Issues Noted in File Review of Advanced Jobs</v>
      </c>
      <c r="C32" s="91" t="str">
        <f>'9'!$B$3</f>
        <v>File Review</v>
      </c>
    </row>
    <row r="33" spans="1:3" x14ac:dyDescent="0.25">
      <c r="A33" s="593">
        <v>32</v>
      </c>
      <c r="B33" s="537" t="str">
        <f>'5'!$B$1</f>
        <v>Change in Savings Estimates Between Pre and Post Application</v>
      </c>
      <c r="C33" t="str">
        <f>'5'!$B$3</f>
        <v>File Review</v>
      </c>
    </row>
    <row r="34" spans="1:3" x14ac:dyDescent="0.25">
      <c r="A34" s="593">
        <v>33</v>
      </c>
      <c r="B34" s="537" t="str">
        <f>'8'!$B$1</f>
        <v>Common Comments Made by PG&amp;E QC to Contractors on Pre and Post Applications</v>
      </c>
      <c r="C34" t="str">
        <f>'8'!$B$3</f>
        <v>File Review</v>
      </c>
    </row>
    <row r="35" spans="1:3" x14ac:dyDescent="0.25">
      <c r="A35" s="593">
        <v>34</v>
      </c>
      <c r="B35" s="537" t="str">
        <f>'2'!$B$1</f>
        <v>Percent Difference Between Modeled Annual Energy Use and Billed Use for SCE/SCG and PG&amp;E Advanced jobs</v>
      </c>
      <c r="C35" t="str">
        <f>'2'!$B$3</f>
        <v>File Review</v>
      </c>
    </row>
    <row r="36" spans="1:3" x14ac:dyDescent="0.25">
      <c r="A36" s="593">
        <v>35</v>
      </c>
      <c r="B36" s="537" t="str">
        <f>'15'!$B$1</f>
        <v>Difference in Reported Savings Between Tracking Data and Project Files</v>
      </c>
      <c r="C36" t="str">
        <f>'15'!$B$3</f>
        <v>File Review</v>
      </c>
    </row>
    <row r="37" spans="1:3" x14ac:dyDescent="0.25">
      <c r="A37" s="593">
        <v>36</v>
      </c>
      <c r="B37" s="535" t="str">
        <f>'1'!$B$1</f>
        <v>Distribution of Measures in SCE/SCG Advanced Jobs and Advanced PG&amp;E jobs</v>
      </c>
      <c r="C37" t="str">
        <f>'1'!$B$3</f>
        <v>File Review</v>
      </c>
    </row>
    <row r="38" spans="1:3" x14ac:dyDescent="0.25">
      <c r="A38" s="593">
        <v>37</v>
      </c>
      <c r="B38" s="537" t="str">
        <f>'6'!$B$1</f>
        <v>Pre (Advanced) and Post (Advanced and Basic) Leakage Rate (ACH) for SCE/SCG jobs</v>
      </c>
      <c r="C38" t="str">
        <f>'6'!$B$3</f>
        <v>File Review</v>
      </c>
    </row>
    <row r="39" spans="1:3" x14ac:dyDescent="0.25">
      <c r="A39" s="593">
        <v>38</v>
      </c>
      <c r="B39" s="537" t="str">
        <f>'3'!$B$1</f>
        <v>Percent Reductions in Whole House leakage and Duct Leakage Rates</v>
      </c>
      <c r="C39" t="str">
        <f>'3'!$B$3</f>
        <v>File Review</v>
      </c>
    </row>
    <row r="40" spans="1:3" x14ac:dyDescent="0.25">
      <c r="A40" s="593">
        <v>39</v>
      </c>
      <c r="B40" s="537" t="str">
        <f>'11'!$B$1</f>
        <v>Change in HVAC System Capacity</v>
      </c>
      <c r="C40" t="str">
        <f>'11'!$B$3</f>
        <v>File Review and Participant Survey</v>
      </c>
    </row>
    <row r="41" spans="1:3" x14ac:dyDescent="0.25">
      <c r="A41" s="593">
        <v>40</v>
      </c>
      <c r="B41" s="537" t="str">
        <f>'14'!$B$1</f>
        <v>Distribution of Job Costs for Advanced and Basic jobs</v>
      </c>
      <c r="C41" t="str">
        <f>'14'!$B$3</f>
        <v>File Review and Program Tracking Database</v>
      </c>
    </row>
    <row r="42" spans="1:3" x14ac:dyDescent="0.25">
      <c r="A42" s="593">
        <v>41</v>
      </c>
      <c r="B42" s="537" t="str">
        <f>'13'!$B$1</f>
        <v>Distribution of Incentives as a Percentage of Measure Costs for Advanced jobs</v>
      </c>
      <c r="C42" t="str">
        <f>'13'!$B$3</f>
        <v>File Review and Program Tracking Database</v>
      </c>
    </row>
    <row r="43" spans="1:3" x14ac:dyDescent="0.25">
      <c r="A43" s="593">
        <v>42</v>
      </c>
      <c r="B43" s="537" t="str">
        <f>'7'!$B$1</f>
        <v>Number of Problems Found by QC</v>
      </c>
      <c r="C43" t="str">
        <f>'7'!$B$3</f>
        <v>File Review and Program Tracking Database</v>
      </c>
    </row>
    <row r="44" spans="1:3" x14ac:dyDescent="0.25">
      <c r="A44" s="593">
        <v>43</v>
      </c>
      <c r="B44" s="537" t="str">
        <f>'47'!$B$1</f>
        <v xml:space="preserve">Conversion from Workshop to EUC Program Participation </v>
      </c>
      <c r="C44" t="str">
        <f>'47'!$B$3</f>
        <v>Marketing Effectiveness Survey</v>
      </c>
    </row>
    <row r="45" spans="1:3" x14ac:dyDescent="0.25">
      <c r="A45" s="593">
        <v>44</v>
      </c>
      <c r="B45" s="535" t="str">
        <f>'45'!$B$1</f>
        <v>Levels of Exposure to EUC Marketing, Overall and by County (General Population)</v>
      </c>
      <c r="C45" t="str">
        <f>'45'!$B$3</f>
        <v>Marketing Effectiveness Survey</v>
      </c>
    </row>
    <row r="46" spans="1:3" x14ac:dyDescent="0.25">
      <c r="A46" s="593">
        <v>45</v>
      </c>
      <c r="B46" s="537" t="str">
        <f>'50'!$B$1</f>
        <v>Marketing Print Collateral Testing Summary (General Population)</v>
      </c>
      <c r="C46" t="str">
        <f>'50'!$B$3</f>
        <v>Marketing Effectiveness Survey</v>
      </c>
    </row>
    <row r="47" spans="1:3" x14ac:dyDescent="0.25">
      <c r="A47" s="593">
        <v>46</v>
      </c>
      <c r="B47" s="537" t="str">
        <f>'49'!$B$1</f>
        <v>Top Motivating Marketing Messages for Participation (General Pop)</v>
      </c>
      <c r="C47" t="str">
        <f>'49'!$B$3</f>
        <v>Marketing Effectiveness Survey</v>
      </c>
    </row>
    <row r="48" spans="1:3" x14ac:dyDescent="0.25">
      <c r="A48" s="593">
        <v>47</v>
      </c>
      <c r="B48" s="537" t="str">
        <f>'46'!$B$1</f>
        <v>Where Workshop Participants Heard About Workshops</v>
      </c>
      <c r="C48" t="str">
        <f>'46'!$B$3</f>
        <v>Marketing Effectiveness Survey</v>
      </c>
    </row>
    <row r="49" spans="1:3" x14ac:dyDescent="0.25">
      <c r="A49" s="593">
        <v>48</v>
      </c>
      <c r="B49" s="537" t="str">
        <f>'48'!$B$1</f>
        <v>Workshop Attendee's Barrier to EUC Participation</v>
      </c>
      <c r="C49" t="str">
        <f>'48'!$B$3</f>
        <v>Marketing Effectiveness Survey</v>
      </c>
    </row>
    <row r="50" spans="1:3" x14ac:dyDescent="0.25">
      <c r="A50" s="593">
        <v>49</v>
      </c>
      <c r="B50" s="537" t="str">
        <f>'71'!$B$1</f>
        <v>Change in Utility Bill (Participant Opinion) Due to the EUC Upgrade</v>
      </c>
      <c r="C50" t="str">
        <f>'71'!$B$3</f>
        <v>Participant Survey</v>
      </c>
    </row>
    <row r="51" spans="1:3" x14ac:dyDescent="0.25">
      <c r="A51" s="593">
        <v>50</v>
      </c>
      <c r="B51" s="537" t="str">
        <f>'70'!$B$1</f>
        <v>Effects of Participation on Knowledge and Behavior</v>
      </c>
      <c r="C51" t="str">
        <f>'70'!$B$3</f>
        <v>Participant Survey</v>
      </c>
    </row>
    <row r="52" spans="1:3" x14ac:dyDescent="0.25">
      <c r="A52" s="593">
        <v>51</v>
      </c>
      <c r="B52" s="537" t="str">
        <f>'62'!$B$1</f>
        <v>How Participants First Heard about the Program</v>
      </c>
      <c r="C52" t="str">
        <f>'62'!$B$3</f>
        <v>Participant Survey</v>
      </c>
    </row>
    <row r="53" spans="1:3" x14ac:dyDescent="0.25">
      <c r="A53" s="593">
        <v>52</v>
      </c>
      <c r="B53" s="537" t="str">
        <f>'44'!$B$1</f>
        <v>IOU and Premium Incentives Received</v>
      </c>
      <c r="C53" t="str">
        <f>'44'!$B$3</f>
        <v>Participant Survey</v>
      </c>
    </row>
    <row r="54" spans="1:3" x14ac:dyDescent="0.25">
      <c r="A54" s="593">
        <v>53</v>
      </c>
      <c r="B54" s="537" t="str">
        <f>'68'!$B$1</f>
        <v>IOU Incentive Received Versus Expectation &amp; Proportion Receiving Premium Incentives</v>
      </c>
      <c r="C54" t="str">
        <f>'68'!$B$3</f>
        <v>Participant Survey</v>
      </c>
    </row>
    <row r="55" spans="1:3" x14ac:dyDescent="0.25">
      <c r="A55" s="593">
        <v>54</v>
      </c>
      <c r="B55" s="537" t="str">
        <f>'72'!$B$1</f>
        <v>Overall Satisfaction and Suggestions for Improvement</v>
      </c>
      <c r="C55" t="str">
        <f>'72'!$B$3</f>
        <v>Participant Survey</v>
      </c>
    </row>
    <row r="56" spans="1:3" x14ac:dyDescent="0.25">
      <c r="A56" s="593">
        <v>55</v>
      </c>
      <c r="B56" s="537" t="str">
        <f>'64'!$B$1</f>
        <v xml:space="preserve">Participant Characteristics </v>
      </c>
      <c r="C56" t="str">
        <f>'64'!$B$3</f>
        <v>Participant Survey</v>
      </c>
    </row>
    <row r="57" spans="1:3" x14ac:dyDescent="0.25">
      <c r="A57" s="593">
        <v>56</v>
      </c>
      <c r="B57" s="537" t="str">
        <f>'66'!$B$1</f>
        <v>Participant Reaction to Assessment Report (among those receiving a report)</v>
      </c>
      <c r="C57" t="str">
        <f>'66'!$B$3</f>
        <v>Participant Survey</v>
      </c>
    </row>
    <row r="58" spans="1:3" x14ac:dyDescent="0.25">
      <c r="A58" s="593">
        <v>57</v>
      </c>
      <c r="B58" s="537" t="str">
        <f>'65'!$B$1</f>
        <v>Participant Satisfaction with Contractors</v>
      </c>
      <c r="C58" t="str">
        <f>'65'!$B$3</f>
        <v>Participant Survey</v>
      </c>
    </row>
    <row r="59" spans="1:3" x14ac:dyDescent="0.25">
      <c r="A59" s="593">
        <v>58</v>
      </c>
      <c r="B59" s="537" t="str">
        <f>'41'!$B$1</f>
        <v>Participants' Agreement with Awareness Knowledge Actions-Behaviors Statements</v>
      </c>
      <c r="C59" t="str">
        <f>'41'!$B$3</f>
        <v>Participant Survey</v>
      </c>
    </row>
    <row r="60" spans="1:3" x14ac:dyDescent="0.25">
      <c r="A60" s="593">
        <v>59</v>
      </c>
      <c r="B60" s="537" t="str">
        <f>'63'!$B$1</f>
        <v>Participants EUC Website Visitation and Feedback</v>
      </c>
      <c r="C60" t="str">
        <f>'63'!$B$3</f>
        <v>Participant Survey</v>
      </c>
    </row>
    <row r="61" spans="1:3" x14ac:dyDescent="0.25">
      <c r="A61" s="593">
        <v>60</v>
      </c>
      <c r="B61" s="537" t="str">
        <f>'69'!$B$1</f>
        <v>Participants' Motivations for EUC Participation</v>
      </c>
      <c r="C61" t="str">
        <f>'69'!$B$3</f>
        <v>Participant Survey</v>
      </c>
    </row>
    <row r="62" spans="1:3" x14ac:dyDescent="0.25">
      <c r="A62" s="593">
        <v>61</v>
      </c>
      <c r="B62" s="537" t="str">
        <f>'67'!$B$1</f>
        <v>Portions of Recommendations Completed and Reasons for Not Completing Them</v>
      </c>
      <c r="C62" t="str">
        <f>'67'!$B$3</f>
        <v>Participant Survey</v>
      </c>
    </row>
    <row r="63" spans="1:3" x14ac:dyDescent="0.25">
      <c r="A63" s="593">
        <v>62</v>
      </c>
      <c r="B63" s="537" t="str">
        <f>'30'!$B$1</f>
        <v>What Participants Are Saying About the Program</v>
      </c>
      <c r="C63" t="str">
        <f>'30'!$B$3</f>
        <v>Participant Survey</v>
      </c>
    </row>
    <row r="64" spans="1:3" x14ac:dyDescent="0.25">
      <c r="A64" s="593">
        <v>63</v>
      </c>
      <c r="B64" s="537" t="str">
        <f>'10'!$B$1</f>
        <v>Apparent instance of fire and mold hazard due to incorrect floor insulation installation</v>
      </c>
      <c r="C64" t="str">
        <f>'10'!$B$3</f>
        <v>PG&amp;E Site inspections</v>
      </c>
    </row>
    <row r="65" spans="1:3" x14ac:dyDescent="0.25">
      <c r="A65" s="593">
        <v>64</v>
      </c>
      <c r="B65" s="537" t="str">
        <f>'16'!$B$1</f>
        <v>Site inspections summary (Evaluation on-site surveys of PG&amp;E sites)</v>
      </c>
      <c r="C65" t="str">
        <f>'16'!$B$3</f>
        <v>PG&amp;E Site Inspections</v>
      </c>
    </row>
    <row r="66" spans="1:3" x14ac:dyDescent="0.25">
      <c r="A66" s="593">
        <v>65</v>
      </c>
      <c r="B66" s="537" t="str">
        <f>'31'!$B$1</f>
        <v>Stakeholders Involved in EUC</v>
      </c>
      <c r="C66" t="str">
        <f>'31'!$B$3</f>
        <v>Program Manager Interviews</v>
      </c>
    </row>
    <row r="67" spans="1:3" x14ac:dyDescent="0.25">
      <c r="A67" s="593">
        <v>66</v>
      </c>
      <c r="B67" s="537" t="str">
        <f>'34'!$B$1</f>
        <v>Advanced and Basic Upgrade Package Participation</v>
      </c>
      <c r="C67" t="str">
        <f>'34'!$B$3</f>
        <v>Program Tracking Database</v>
      </c>
    </row>
    <row r="68" spans="1:3" x14ac:dyDescent="0.25">
      <c r="A68" s="593">
        <v>67</v>
      </c>
      <c r="B68" s="537" t="str">
        <f>'32'!$B$1</f>
        <v>Jobs Completed and In Pipeline</v>
      </c>
      <c r="C68" t="str">
        <f>'32'!$B$3</f>
        <v>Program Tracking Database</v>
      </c>
    </row>
    <row r="69" spans="1:3" x14ac:dyDescent="0.25">
      <c r="A69" s="593">
        <v>69</v>
      </c>
      <c r="B69" s="537" t="str">
        <f>'33'!$B$1</f>
        <v>Project Activity Among Enrolled Contractors</v>
      </c>
      <c r="C69" t="str">
        <f>'33'!B3</f>
        <v>Program Tracking Database</v>
      </c>
    </row>
    <row r="70" spans="1:3" x14ac:dyDescent="0.25">
      <c r="A70" s="593">
        <v>70</v>
      </c>
      <c r="B70" s="537" t="str">
        <f>'17'!$B$1</f>
        <v>Savings Summary by Year, Excluding 2012</v>
      </c>
      <c r="C70" t="str">
        <f>'17'!$B$3</f>
        <v>Program Tracking Database</v>
      </c>
    </row>
    <row r="71" spans="1:3" x14ac:dyDescent="0.25">
      <c r="A71" s="593">
        <v>71</v>
      </c>
      <c r="B71" s="537" t="str">
        <f>'12'!$B$1</f>
        <v>Time Lags Between Key Phases in Projects</v>
      </c>
      <c r="C71" t="str">
        <f>'12'!$B$3</f>
        <v>Program Tracking Database</v>
      </c>
    </row>
    <row r="72" spans="1:3" x14ac:dyDescent="0.25">
      <c r="A72" s="593">
        <v>72</v>
      </c>
      <c r="B72" s="537" t="str">
        <f>'4'!$B$1</f>
        <v>Total Savings Percentage Claimed in Completed SCE/SCG and PG&amp;E Advanced Jobs</v>
      </c>
      <c r="C72" t="str">
        <f>'4'!$B$3</f>
        <v>Program Tracking Database</v>
      </c>
    </row>
    <row r="73" spans="1:3" x14ac:dyDescent="0.25">
      <c r="A73" s="593">
        <v>73</v>
      </c>
      <c r="B73" s="537" t="str">
        <f>'74'!B1</f>
        <v>Performance Gaps Observed in SCE Whole House Training</v>
      </c>
      <c r="C73" s="3" t="s">
        <v>3310</v>
      </c>
    </row>
  </sheetData>
  <autoFilter ref="A1:C73"/>
  <sortState ref="B2:C73">
    <sortCondition ref="C2:C73"/>
    <sortCondition ref="B2:B73"/>
  </sortState>
  <customSheetViews>
    <customSheetView guid="{679A3195-3DEA-4AC2-A535-82AAF5B552BC}" showAutoFilter="1">
      <pageMargins left="0.7" right="0.7" top="0.75" bottom="0.75" header="0.3" footer="0.3"/>
      <pageSetup orientation="portrait" horizontalDpi="4294967293" verticalDpi="4294967293" r:id="rId1"/>
      <autoFilter ref="A1:C73"/>
    </customSheetView>
    <customSheetView guid="{7378B641-E8D1-4C14-8151-CF4CE159D121}" filter="1" showAutoFilter="1">
      <pane ySplit="1" topLeftCell="A2" activePane="bottomLeft" state="frozen"/>
      <selection pane="bottomLeft" sqref="A1:XFD1"/>
      <pageMargins left="0.7" right="0.7" top="0.75" bottom="0.75" header="0.3" footer="0.3"/>
      <pageSetup orientation="portrait" horizontalDpi="4294967293" verticalDpi="4294967293" r:id="rId2"/>
      <autoFilter ref="A1:C73">
        <filterColumn colId="2">
          <filters>
            <filter val="Participant Survey"/>
          </filters>
        </filterColumn>
      </autoFilter>
    </customSheetView>
    <customSheetView guid="{6D63B10B-E1E6-452A-80EB-4B2C7D61CF66}" showAutoFilter="1">
      <pageMargins left="0.7" right="0.7" top="0.75" bottom="0.75" header="0.3" footer="0.3"/>
      <pageSetup orientation="portrait" horizontalDpi="4294967293" verticalDpi="4294967293" r:id="rId3"/>
      <autoFilter ref="A1:C73"/>
    </customSheetView>
  </customSheetViews>
  <dataValidations count="1">
    <dataValidation type="list" allowBlank="1" showInputMessage="1" sqref="D1">
      <formula1>Area</formula1>
    </dataValidation>
  </dataValidations>
  <hyperlinks>
    <hyperlink ref="B6" location="'57'!B1" display="'57'!B1"/>
    <hyperlink ref="B20" location="'58'!B1" display="'58'!B1"/>
    <hyperlink ref="B45" location="'45'!B1" display="'45'!B1"/>
    <hyperlink ref="B48" location="'46'!B1" display="'46'!B1"/>
    <hyperlink ref="B44" location="'47'!B1" display="'47'!B1"/>
    <hyperlink ref="B49" location="'48'!B1" display="'48'!B1"/>
    <hyperlink ref="B47" location="'49'!B1" display="'49'!B1"/>
    <hyperlink ref="B46" location="'50'!B1" display="'50'!B1"/>
    <hyperlink ref="B5" location="'51'!B1" display="'51'!B1"/>
    <hyperlink ref="B15" location="'52'!B1" display="'52'!B1"/>
    <hyperlink ref="B16" location="'53'!B1" display="'53'!B1"/>
    <hyperlink ref="B4" location="'54'!B1" display="'54'!B1"/>
    <hyperlink ref="B8" location="'55'!B1" display="'55'!B1"/>
    <hyperlink ref="B17" location="'56'!B1" display="'56'!B1"/>
    <hyperlink ref="B19" location="'59'!B1" display="'59'!B1"/>
    <hyperlink ref="B3" location="'60'!B1" display="'60'!B1"/>
    <hyperlink ref="B18" location="'61'!B1" display="'61'!B1"/>
    <hyperlink ref="B52" location="'62'!B1" display="'62'!B1"/>
    <hyperlink ref="B60" location="'63'!B1" display="'63'!B1"/>
    <hyperlink ref="B56" location="'64'!B1" display="'64'!B1"/>
    <hyperlink ref="B58" location="'65'!B1" display="'65'!B1"/>
    <hyperlink ref="B57" location="'66'!B1" display="'66'!B1"/>
    <hyperlink ref="B62" location="'67'!B1" display="'67'!B1"/>
    <hyperlink ref="B54" location="'68'!B1" display="'68'!B1"/>
    <hyperlink ref="B61" location="'69'!B1" display="'69'!B1"/>
    <hyperlink ref="B51" location="'70'!B1" display="'70'!B1"/>
    <hyperlink ref="B50" location="'71'!B1" display="'71'!B1"/>
    <hyperlink ref="B55" location="'72'!B1" display="'72'!B1"/>
    <hyperlink ref="B63" location="'30'!B1" display="'30'!B1"/>
    <hyperlink ref="B66" location="'31'!B1" display="'31'!B1"/>
    <hyperlink ref="B68" location="'32'!B1" display="'32'!B1"/>
    <hyperlink ref="B69" location="'33'!B1" display="'33'!B1"/>
    <hyperlink ref="B67" location="'34'!B1" display="'34'!B1"/>
    <hyperlink ref="B9" location="'35'!B1" display="'35'!B1"/>
    <hyperlink ref="B14" location="'36'!B1" display="'36'!B1"/>
    <hyperlink ref="B12" location="'37'!B1" display="'37'!B1"/>
    <hyperlink ref="B71" location="'12'!B1" display="'12'!B1"/>
    <hyperlink ref="B13" location="'39'!B1" display="'39'!B1"/>
    <hyperlink ref="B59" location="'41'!B1" display="'41'!B1"/>
    <hyperlink ref="B7" location="'42'!B1" display="'42'!B1"/>
    <hyperlink ref="B10" location="'43'!B1" display="'43'!B1"/>
    <hyperlink ref="B53" location="'44'!B1" display="'44'!B1"/>
    <hyperlink ref="B37" location="'1'!B1" display="'1'!B1"/>
    <hyperlink ref="B35" location="'2'!B1" display="'2'!B1"/>
    <hyperlink ref="B39" location="'3'!B1" display="'3'!B1"/>
    <hyperlink ref="B72" location="'4'!B1" display="'4'!B1"/>
    <hyperlink ref="B33" location="'5'!B1" display="'5'!B1"/>
    <hyperlink ref="B38" location="'6'!B1" display="'6'!B1"/>
    <hyperlink ref="B43" location="'7'!B1" display="'7'!B1"/>
    <hyperlink ref="B34" location="'8'!B1" display="'8'!B1"/>
    <hyperlink ref="B32" location="'9'!B1" display="'9'!B1"/>
    <hyperlink ref="B64" location="'10'!B1" display="'10'!B1"/>
    <hyperlink ref="B40" location="'11'!B1" display="'11'!B1"/>
    <hyperlink ref="B42" location="'13'!B1" display="'13'!B1"/>
    <hyperlink ref="B41" location="'14'!B1" display="'14'!B1"/>
    <hyperlink ref="B36" location="'15'!B1" display="'15'!B1"/>
    <hyperlink ref="B65" location="'16'!B1" display="'16'!B1"/>
    <hyperlink ref="B70" location="'17'!B1" display="'17'!B1"/>
    <hyperlink ref="B21" location="'19'!B1" display="'19'!B1"/>
    <hyperlink ref="B22" location="'20'!B1" display="'20'!B1"/>
    <hyperlink ref="B23" location="'21'!B1" display="'21'!B1"/>
    <hyperlink ref="B26" location="'22'!B1" display="'22'!B1"/>
    <hyperlink ref="B27" location="'23'!B1" display="'23'!B1"/>
    <hyperlink ref="B25" location="'24'!B1" display="'24'!B1"/>
    <hyperlink ref="B30" location="'25'!B1" display="'25'!B1"/>
    <hyperlink ref="B31" location="'26'!B1" display="'26'!B1"/>
    <hyperlink ref="B29" location="'27'!B1" display="'27'!B1"/>
    <hyperlink ref="B24" location="'28'!B1" display="'28'!B1"/>
    <hyperlink ref="B28" location="'29'!B1" display="'29'!B1"/>
    <hyperlink ref="B2" location="'73'!B1" display="'73'!B1"/>
    <hyperlink ref="B11" location="'40'!B1" display="'40'!B1"/>
    <hyperlink ref="B73" location="'74'!B1" display="'74'!B1"/>
    <hyperlink ref="D1" location="Recommendations!A1" display="Go to Recommendations"/>
    <hyperlink ref="E1" location="Findings!A1" display="Link to Findings"/>
  </hyperlinks>
  <pageMargins left="0.7" right="0.7" top="0.75" bottom="0.75" header="0.3" footer="0.3"/>
  <pageSetup orientation="portrait" horizontalDpi="4294967293" verticalDpi="4294967293"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A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6384" width="9.140625" style="3"/>
  </cols>
  <sheetData>
    <row r="1" spans="1:27" ht="23.25" customHeight="1" x14ac:dyDescent="0.25">
      <c r="A1" s="3" t="s">
        <v>26</v>
      </c>
      <c r="B1" s="4" t="s">
        <v>2284</v>
      </c>
      <c r="C1" s="535" t="s">
        <v>3058</v>
      </c>
      <c r="D1" s="37" t="str">
        <f>B1</f>
        <v>Sensitivity to Changes in Duct Leakage Percentage (Site 1-1057, Site 2-1058)</v>
      </c>
    </row>
    <row r="2" spans="1:27" x14ac:dyDescent="0.25">
      <c r="A2" s="3" t="s">
        <v>20</v>
      </c>
      <c r="B2" s="4" t="s">
        <v>58</v>
      </c>
      <c r="C2" s="536" t="s">
        <v>3059</v>
      </c>
    </row>
    <row r="3" spans="1:27" x14ac:dyDescent="0.25">
      <c r="A3" s="3" t="s">
        <v>1184</v>
      </c>
      <c r="B3" s="2" t="s">
        <v>3140</v>
      </c>
      <c r="C3" s="536" t="s">
        <v>1193</v>
      </c>
      <c r="D3" s="733"/>
      <c r="E3" s="733"/>
      <c r="F3" s="733"/>
      <c r="G3" s="733"/>
      <c r="H3" s="733"/>
      <c r="I3" s="733"/>
      <c r="J3" s="733"/>
      <c r="K3" s="733"/>
      <c r="L3" s="733"/>
      <c r="M3" s="733"/>
      <c r="N3" s="733"/>
      <c r="O3" s="733"/>
    </row>
    <row r="4" spans="1:27" ht="15" customHeight="1" x14ac:dyDescent="0.25">
      <c r="B4" s="4"/>
      <c r="C4" s="4"/>
      <c r="D4" s="3" t="s">
        <v>61</v>
      </c>
      <c r="P4" s="737"/>
      <c r="Q4" s="48"/>
      <c r="R4" s="48"/>
      <c r="S4" s="48"/>
      <c r="T4" s="48"/>
      <c r="U4" s="48"/>
      <c r="V4" s="48"/>
      <c r="W4" s="48"/>
      <c r="X4" s="48"/>
      <c r="Y4" s="48"/>
      <c r="Z4" s="48"/>
      <c r="AA4" s="48"/>
    </row>
    <row r="5" spans="1:27" x14ac:dyDescent="0.25">
      <c r="B5" s="4"/>
      <c r="C5" s="4"/>
      <c r="P5" s="737"/>
    </row>
    <row r="6" spans="1:27" x14ac:dyDescent="0.25">
      <c r="P6" s="737"/>
    </row>
    <row r="7" spans="1:27" x14ac:dyDescent="0.25">
      <c r="P7" s="737"/>
    </row>
    <row r="8" spans="1:27" x14ac:dyDescent="0.25">
      <c r="P8" s="737"/>
    </row>
    <row r="9" spans="1:27" x14ac:dyDescent="0.25">
      <c r="P9" s="737"/>
    </row>
    <row r="10" spans="1:27" x14ac:dyDescent="0.25">
      <c r="P10" s="737"/>
    </row>
    <row r="11" spans="1:27" x14ac:dyDescent="0.25">
      <c r="P11" s="737"/>
    </row>
    <row r="12" spans="1:27" x14ac:dyDescent="0.25">
      <c r="P12" s="737"/>
    </row>
    <row r="13" spans="1:27" x14ac:dyDescent="0.25">
      <c r="P13" s="737"/>
    </row>
    <row r="14" spans="1:27" x14ac:dyDescent="0.25">
      <c r="P14" s="737"/>
    </row>
    <row r="15" spans="1:27" x14ac:dyDescent="0.25">
      <c r="P15" s="737"/>
    </row>
    <row r="16" spans="1:27" x14ac:dyDescent="0.25">
      <c r="P16" s="737"/>
    </row>
    <row r="17" spans="16:16" x14ac:dyDescent="0.25">
      <c r="P17" s="737"/>
    </row>
    <row r="18" spans="16:16" x14ac:dyDescent="0.25">
      <c r="P18" s="737"/>
    </row>
    <row r="19" spans="16:16" x14ac:dyDescent="0.25">
      <c r="P19" s="737"/>
    </row>
    <row r="20" spans="16:16" x14ac:dyDescent="0.25">
      <c r="P20" s="737"/>
    </row>
    <row r="21" spans="16:16" x14ac:dyDescent="0.25">
      <c r="P21" s="737"/>
    </row>
    <row r="22" spans="16:16" x14ac:dyDescent="0.25">
      <c r="P22" s="737"/>
    </row>
    <row r="23" spans="16:16" x14ac:dyDescent="0.25">
      <c r="P23" s="737"/>
    </row>
    <row r="24" spans="16:16" x14ac:dyDescent="0.25">
      <c r="P24" s="737"/>
    </row>
    <row r="25" spans="16:16" x14ac:dyDescent="0.25">
      <c r="P25" s="737"/>
    </row>
    <row r="26" spans="16:16" x14ac:dyDescent="0.25">
      <c r="P26" s="737"/>
    </row>
    <row r="27" spans="16:16" x14ac:dyDescent="0.25">
      <c r="P27" s="737"/>
    </row>
    <row r="28" spans="16:16" x14ac:dyDescent="0.25">
      <c r="P28" s="737"/>
    </row>
    <row r="29" spans="16:16" x14ac:dyDescent="0.25">
      <c r="P29" s="737"/>
    </row>
    <row r="30" spans="16:16" x14ac:dyDescent="0.25">
      <c r="P30" s="737"/>
    </row>
    <row r="31" spans="16:16" x14ac:dyDescent="0.25">
      <c r="P31" s="737"/>
    </row>
    <row r="33" spans="4:4" x14ac:dyDescent="0.25">
      <c r="D33" s="37"/>
    </row>
  </sheetData>
  <customSheetViews>
    <customSheetView guid="{679A3195-3DEA-4AC2-A535-82AAF5B552BC}" fitToPage="1" hiddenColumns="1" topLeftCell="C1">
      <selection activeCell="C3" sqref="C3"/>
      <pageMargins left="0.7" right="0.7" top="0.75" bottom="0.75" header="0.3" footer="0.3"/>
      <pageSetup scale="67" orientation="landscape" horizontalDpi="4294967293" verticalDpi="4294967293" r:id="rId1"/>
    </customSheetView>
    <customSheetView guid="{7378B641-E8D1-4C14-8151-CF4CE159D121}" fitToPage="1" hiddenColumns="1" topLeftCell="C1">
      <selection activeCell="H39" sqref="H39"/>
      <pageMargins left="0.7" right="0.7" top="0.75" bottom="0.75" header="0.3" footer="0.3"/>
      <pageSetup scale="67" orientation="landscape" horizontalDpi="4294967293" verticalDpi="4294967293" r:id="rId2"/>
    </customSheetView>
    <customSheetView guid="{6D63B10B-E1E6-452A-80EB-4B2C7D61CF66}" fitToPage="1" hiddenColumns="1" topLeftCell="C1">
      <selection activeCell="C3" sqref="C3"/>
      <pageMargins left="0.7" right="0.7" top="0.75" bottom="0.75" header="0.3" footer="0.3"/>
      <pageSetup scale="67" orientation="landscape" horizontalDpi="4294967293" verticalDpi="4294967293" r:id="rId3"/>
    </customSheetView>
  </customSheetViews>
  <mergeCells count="2">
    <mergeCell ref="D3:O3"/>
    <mergeCell ref="P4:P31"/>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scale="67" orientation="landscape" horizontalDpi="4294967293" verticalDpi="4294967293" r:id="rId4"/>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WVQ26"/>
  <sheetViews>
    <sheetView workbookViewId="0">
      <selection activeCell="C3" sqref="C3"/>
    </sheetView>
  </sheetViews>
  <sheetFormatPr defaultRowHeight="15" x14ac:dyDescent="0.25"/>
  <cols>
    <col min="1" max="1" width="12.7109375" style="3" bestFit="1" customWidth="1"/>
    <col min="2" max="9" width="7.28515625" style="3" bestFit="1" customWidth="1"/>
    <col min="10" max="10" width="55.28515625" style="3" customWidth="1"/>
    <col min="11" max="14" width="9.140625" style="3" customWidth="1"/>
    <col min="15" max="255" width="9.140625" style="3"/>
    <col min="256" max="257" width="13.5703125" style="3" customWidth="1"/>
    <col min="258" max="258" width="7.5703125" style="3" customWidth="1"/>
    <col min="259" max="259" width="9.85546875" style="3" customWidth="1"/>
    <col min="260" max="261" width="9.140625" style="3" hidden="1" customWidth="1"/>
    <col min="262" max="262" width="9.140625" style="3"/>
    <col min="263" max="265" width="9.140625" style="3" hidden="1" customWidth="1"/>
    <col min="266" max="511" width="9.140625" style="3"/>
    <col min="512" max="513" width="13.5703125" style="3" customWidth="1"/>
    <col min="514" max="514" width="7.5703125" style="3" customWidth="1"/>
    <col min="515" max="515" width="9.85546875" style="3" customWidth="1"/>
    <col min="516" max="517" width="9.140625" style="3" hidden="1" customWidth="1"/>
    <col min="518" max="518" width="9.140625" style="3"/>
    <col min="519" max="521" width="9.140625" style="3" hidden="1" customWidth="1"/>
    <col min="522" max="767" width="9.140625" style="3"/>
    <col min="768" max="769" width="13.5703125" style="3" customWidth="1"/>
    <col min="770" max="770" width="7.5703125" style="3" customWidth="1"/>
    <col min="771" max="771" width="9.85546875" style="3" customWidth="1"/>
    <col min="772" max="773" width="9.140625" style="3" hidden="1" customWidth="1"/>
    <col min="774" max="774" width="9.140625" style="3"/>
    <col min="775" max="777" width="9.140625" style="3" hidden="1" customWidth="1"/>
    <col min="778" max="1023" width="9.140625" style="3"/>
    <col min="1024" max="1025" width="13.5703125" style="3" customWidth="1"/>
    <col min="1026" max="1026" width="7.5703125" style="3" customWidth="1"/>
    <col min="1027" max="1027" width="9.85546875" style="3" customWidth="1"/>
    <col min="1028" max="1029" width="9.140625" style="3" hidden="1" customWidth="1"/>
    <col min="1030" max="1030" width="9.140625" style="3"/>
    <col min="1031" max="1033" width="9.140625" style="3" hidden="1" customWidth="1"/>
    <col min="1034" max="1279" width="9.140625" style="3"/>
    <col min="1280" max="1281" width="13.5703125" style="3" customWidth="1"/>
    <col min="1282" max="1282" width="7.5703125" style="3" customWidth="1"/>
    <col min="1283" max="1283" width="9.85546875" style="3" customWidth="1"/>
    <col min="1284" max="1285" width="9.140625" style="3" hidden="1" customWidth="1"/>
    <col min="1286" max="1286" width="9.140625" style="3"/>
    <col min="1287" max="1289" width="9.140625" style="3" hidden="1" customWidth="1"/>
    <col min="1290" max="1535" width="9.140625" style="3"/>
    <col min="1536" max="1537" width="13.5703125" style="3" customWidth="1"/>
    <col min="1538" max="1538" width="7.5703125" style="3" customWidth="1"/>
    <col min="1539" max="1539" width="9.85546875" style="3" customWidth="1"/>
    <col min="1540" max="1541" width="9.140625" style="3" hidden="1" customWidth="1"/>
    <col min="1542" max="1542" width="9.140625" style="3"/>
    <col min="1543" max="1545" width="9.140625" style="3" hidden="1" customWidth="1"/>
    <col min="1546" max="1791" width="9.140625" style="3"/>
    <col min="1792" max="1793" width="13.5703125" style="3" customWidth="1"/>
    <col min="1794" max="1794" width="7.5703125" style="3" customWidth="1"/>
    <col min="1795" max="1795" width="9.85546875" style="3" customWidth="1"/>
    <col min="1796" max="1797" width="9.140625" style="3" hidden="1" customWidth="1"/>
    <col min="1798" max="1798" width="9.140625" style="3"/>
    <col min="1799" max="1801" width="9.140625" style="3" hidden="1" customWidth="1"/>
    <col min="1802" max="2047" width="9.140625" style="3"/>
    <col min="2048" max="2049" width="13.5703125" style="3" customWidth="1"/>
    <col min="2050" max="2050" width="7.5703125" style="3" customWidth="1"/>
    <col min="2051" max="2051" width="9.85546875" style="3" customWidth="1"/>
    <col min="2052" max="2053" width="9.140625" style="3" hidden="1" customWidth="1"/>
    <col min="2054" max="2054" width="9.140625" style="3"/>
    <col min="2055" max="2057" width="9.140625" style="3" hidden="1" customWidth="1"/>
    <col min="2058" max="2303" width="9.140625" style="3"/>
    <col min="2304" max="2305" width="13.5703125" style="3" customWidth="1"/>
    <col min="2306" max="2306" width="7.5703125" style="3" customWidth="1"/>
    <col min="2307" max="2307" width="9.85546875" style="3" customWidth="1"/>
    <col min="2308" max="2309" width="9.140625" style="3" hidden="1" customWidth="1"/>
    <col min="2310" max="2310" width="9.140625" style="3"/>
    <col min="2311" max="2313" width="9.140625" style="3" hidden="1" customWidth="1"/>
    <col min="2314" max="2559" width="9.140625" style="3"/>
    <col min="2560" max="2561" width="13.5703125" style="3" customWidth="1"/>
    <col min="2562" max="2562" width="7.5703125" style="3" customWidth="1"/>
    <col min="2563" max="2563" width="9.85546875" style="3" customWidth="1"/>
    <col min="2564" max="2565" width="9.140625" style="3" hidden="1" customWidth="1"/>
    <col min="2566" max="2566" width="9.140625" style="3"/>
    <col min="2567" max="2569" width="9.140625" style="3" hidden="1" customWidth="1"/>
    <col min="2570" max="2815" width="9.140625" style="3"/>
    <col min="2816" max="2817" width="13.5703125" style="3" customWidth="1"/>
    <col min="2818" max="2818" width="7.5703125" style="3" customWidth="1"/>
    <col min="2819" max="2819" width="9.85546875" style="3" customWidth="1"/>
    <col min="2820" max="2821" width="9.140625" style="3" hidden="1" customWidth="1"/>
    <col min="2822" max="2822" width="9.140625" style="3"/>
    <col min="2823" max="2825" width="9.140625" style="3" hidden="1" customWidth="1"/>
    <col min="2826" max="3071" width="9.140625" style="3"/>
    <col min="3072" max="3073" width="13.5703125" style="3" customWidth="1"/>
    <col min="3074" max="3074" width="7.5703125" style="3" customWidth="1"/>
    <col min="3075" max="3075" width="9.85546875" style="3" customWidth="1"/>
    <col min="3076" max="3077" width="9.140625" style="3" hidden="1" customWidth="1"/>
    <col min="3078" max="3078" width="9.140625" style="3"/>
    <col min="3079" max="3081" width="9.140625" style="3" hidden="1" customWidth="1"/>
    <col min="3082" max="3327" width="9.140625" style="3"/>
    <col min="3328" max="3329" width="13.5703125" style="3" customWidth="1"/>
    <col min="3330" max="3330" width="7.5703125" style="3" customWidth="1"/>
    <col min="3331" max="3331" width="9.85546875" style="3" customWidth="1"/>
    <col min="3332" max="3333" width="9.140625" style="3" hidden="1" customWidth="1"/>
    <col min="3334" max="3334" width="9.140625" style="3"/>
    <col min="3335" max="3337" width="9.140625" style="3" hidden="1" customWidth="1"/>
    <col min="3338" max="3583" width="9.140625" style="3"/>
    <col min="3584" max="3585" width="13.5703125" style="3" customWidth="1"/>
    <col min="3586" max="3586" width="7.5703125" style="3" customWidth="1"/>
    <col min="3587" max="3587" width="9.85546875" style="3" customWidth="1"/>
    <col min="3588" max="3589" width="9.140625" style="3" hidden="1" customWidth="1"/>
    <col min="3590" max="3590" width="9.140625" style="3"/>
    <col min="3591" max="3593" width="9.140625" style="3" hidden="1" customWidth="1"/>
    <col min="3594" max="3839" width="9.140625" style="3"/>
    <col min="3840" max="3841" width="13.5703125" style="3" customWidth="1"/>
    <col min="3842" max="3842" width="7.5703125" style="3" customWidth="1"/>
    <col min="3843" max="3843" width="9.85546875" style="3" customWidth="1"/>
    <col min="3844" max="3845" width="9.140625" style="3" hidden="1" customWidth="1"/>
    <col min="3846" max="3846" width="9.140625" style="3"/>
    <col min="3847" max="3849" width="9.140625" style="3" hidden="1" customWidth="1"/>
    <col min="3850" max="4095" width="9.140625" style="3"/>
    <col min="4096" max="4097" width="13.5703125" style="3" customWidth="1"/>
    <col min="4098" max="4098" width="7.5703125" style="3" customWidth="1"/>
    <col min="4099" max="4099" width="9.85546875" style="3" customWidth="1"/>
    <col min="4100" max="4101" width="9.140625" style="3" hidden="1" customWidth="1"/>
    <col min="4102" max="4102" width="9.140625" style="3"/>
    <col min="4103" max="4105" width="9.140625" style="3" hidden="1" customWidth="1"/>
    <col min="4106" max="4351" width="9.140625" style="3"/>
    <col min="4352" max="4353" width="13.5703125" style="3" customWidth="1"/>
    <col min="4354" max="4354" width="7.5703125" style="3" customWidth="1"/>
    <col min="4355" max="4355" width="9.85546875" style="3" customWidth="1"/>
    <col min="4356" max="4357" width="9.140625" style="3" hidden="1" customWidth="1"/>
    <col min="4358" max="4358" width="9.140625" style="3"/>
    <col min="4359" max="4361" width="9.140625" style="3" hidden="1" customWidth="1"/>
    <col min="4362" max="4607" width="9.140625" style="3"/>
    <col min="4608" max="4609" width="13.5703125" style="3" customWidth="1"/>
    <col min="4610" max="4610" width="7.5703125" style="3" customWidth="1"/>
    <col min="4611" max="4611" width="9.85546875" style="3" customWidth="1"/>
    <col min="4612" max="4613" width="9.140625" style="3" hidden="1" customWidth="1"/>
    <col min="4614" max="4614" width="9.140625" style="3"/>
    <col min="4615" max="4617" width="9.140625" style="3" hidden="1" customWidth="1"/>
    <col min="4618" max="4863" width="9.140625" style="3"/>
    <col min="4864" max="4865" width="13.5703125" style="3" customWidth="1"/>
    <col min="4866" max="4866" width="7.5703125" style="3" customWidth="1"/>
    <col min="4867" max="4867" width="9.85546875" style="3" customWidth="1"/>
    <col min="4868" max="4869" width="9.140625" style="3" hidden="1" customWidth="1"/>
    <col min="4870" max="4870" width="9.140625" style="3"/>
    <col min="4871" max="4873" width="9.140625" style="3" hidden="1" customWidth="1"/>
    <col min="4874" max="5119" width="9.140625" style="3"/>
    <col min="5120" max="5121" width="13.5703125" style="3" customWidth="1"/>
    <col min="5122" max="5122" width="7.5703125" style="3" customWidth="1"/>
    <col min="5123" max="5123" width="9.85546875" style="3" customWidth="1"/>
    <col min="5124" max="5125" width="9.140625" style="3" hidden="1" customWidth="1"/>
    <col min="5126" max="5126" width="9.140625" style="3"/>
    <col min="5127" max="5129" width="9.140625" style="3" hidden="1" customWidth="1"/>
    <col min="5130" max="5375" width="9.140625" style="3"/>
    <col min="5376" max="5377" width="13.5703125" style="3" customWidth="1"/>
    <col min="5378" max="5378" width="7.5703125" style="3" customWidth="1"/>
    <col min="5379" max="5379" width="9.85546875" style="3" customWidth="1"/>
    <col min="5380" max="5381" width="9.140625" style="3" hidden="1" customWidth="1"/>
    <col min="5382" max="5382" width="9.140625" style="3"/>
    <col min="5383" max="5385" width="9.140625" style="3" hidden="1" customWidth="1"/>
    <col min="5386" max="5631" width="9.140625" style="3"/>
    <col min="5632" max="5633" width="13.5703125" style="3" customWidth="1"/>
    <col min="5634" max="5634" width="7.5703125" style="3" customWidth="1"/>
    <col min="5635" max="5635" width="9.85546875" style="3" customWidth="1"/>
    <col min="5636" max="5637" width="9.140625" style="3" hidden="1" customWidth="1"/>
    <col min="5638" max="5638" width="9.140625" style="3"/>
    <col min="5639" max="5641" width="9.140625" style="3" hidden="1" customWidth="1"/>
    <col min="5642" max="5887" width="9.140625" style="3"/>
    <col min="5888" max="5889" width="13.5703125" style="3" customWidth="1"/>
    <col min="5890" max="5890" width="7.5703125" style="3" customWidth="1"/>
    <col min="5891" max="5891" width="9.85546875" style="3" customWidth="1"/>
    <col min="5892" max="5893" width="9.140625" style="3" hidden="1" customWidth="1"/>
    <col min="5894" max="5894" width="9.140625" style="3"/>
    <col min="5895" max="5897" width="9.140625" style="3" hidden="1" customWidth="1"/>
    <col min="5898" max="6143" width="9.140625" style="3"/>
    <col min="6144" max="6145" width="13.5703125" style="3" customWidth="1"/>
    <col min="6146" max="6146" width="7.5703125" style="3" customWidth="1"/>
    <col min="6147" max="6147" width="9.85546875" style="3" customWidth="1"/>
    <col min="6148" max="6149" width="9.140625" style="3" hidden="1" customWidth="1"/>
    <col min="6150" max="6150" width="9.140625" style="3"/>
    <col min="6151" max="6153" width="9.140625" style="3" hidden="1" customWidth="1"/>
    <col min="6154" max="6399" width="9.140625" style="3"/>
    <col min="6400" max="6401" width="13.5703125" style="3" customWidth="1"/>
    <col min="6402" max="6402" width="7.5703125" style="3" customWidth="1"/>
    <col min="6403" max="6403" width="9.85546875" style="3" customWidth="1"/>
    <col min="6404" max="6405" width="9.140625" style="3" hidden="1" customWidth="1"/>
    <col min="6406" max="6406" width="9.140625" style="3"/>
    <col min="6407" max="6409" width="9.140625" style="3" hidden="1" customWidth="1"/>
    <col min="6410" max="6655" width="9.140625" style="3"/>
    <col min="6656" max="6657" width="13.5703125" style="3" customWidth="1"/>
    <col min="6658" max="6658" width="7.5703125" style="3" customWidth="1"/>
    <col min="6659" max="6659" width="9.85546875" style="3" customWidth="1"/>
    <col min="6660" max="6661" width="9.140625" style="3" hidden="1" customWidth="1"/>
    <col min="6662" max="6662" width="9.140625" style="3"/>
    <col min="6663" max="6665" width="9.140625" style="3" hidden="1" customWidth="1"/>
    <col min="6666" max="6911" width="9.140625" style="3"/>
    <col min="6912" max="6913" width="13.5703125" style="3" customWidth="1"/>
    <col min="6914" max="6914" width="7.5703125" style="3" customWidth="1"/>
    <col min="6915" max="6915" width="9.85546875" style="3" customWidth="1"/>
    <col min="6916" max="6917" width="9.140625" style="3" hidden="1" customWidth="1"/>
    <col min="6918" max="6918" width="9.140625" style="3"/>
    <col min="6919" max="6921" width="9.140625" style="3" hidden="1" customWidth="1"/>
    <col min="6922" max="7167" width="9.140625" style="3"/>
    <col min="7168" max="7169" width="13.5703125" style="3" customWidth="1"/>
    <col min="7170" max="7170" width="7.5703125" style="3" customWidth="1"/>
    <col min="7171" max="7171" width="9.85546875" style="3" customWidth="1"/>
    <col min="7172" max="7173" width="9.140625" style="3" hidden="1" customWidth="1"/>
    <col min="7174" max="7174" width="9.140625" style="3"/>
    <col min="7175" max="7177" width="9.140625" style="3" hidden="1" customWidth="1"/>
    <col min="7178" max="7423" width="9.140625" style="3"/>
    <col min="7424" max="7425" width="13.5703125" style="3" customWidth="1"/>
    <col min="7426" max="7426" width="7.5703125" style="3" customWidth="1"/>
    <col min="7427" max="7427" width="9.85546875" style="3" customWidth="1"/>
    <col min="7428" max="7429" width="9.140625" style="3" hidden="1" customWidth="1"/>
    <col min="7430" max="7430" width="9.140625" style="3"/>
    <col min="7431" max="7433" width="9.140625" style="3" hidden="1" customWidth="1"/>
    <col min="7434" max="7679" width="9.140625" style="3"/>
    <col min="7680" max="7681" width="13.5703125" style="3" customWidth="1"/>
    <col min="7682" max="7682" width="7.5703125" style="3" customWidth="1"/>
    <col min="7683" max="7683" width="9.85546875" style="3" customWidth="1"/>
    <col min="7684" max="7685" width="9.140625" style="3" hidden="1" customWidth="1"/>
    <col min="7686" max="7686" width="9.140625" style="3"/>
    <col min="7687" max="7689" width="9.140625" style="3" hidden="1" customWidth="1"/>
    <col min="7690" max="7935" width="9.140625" style="3"/>
    <col min="7936" max="7937" width="13.5703125" style="3" customWidth="1"/>
    <col min="7938" max="7938" width="7.5703125" style="3" customWidth="1"/>
    <col min="7939" max="7939" width="9.85546875" style="3" customWidth="1"/>
    <col min="7940" max="7941" width="9.140625" style="3" hidden="1" customWidth="1"/>
    <col min="7942" max="7942" width="9.140625" style="3"/>
    <col min="7943" max="7945" width="9.140625" style="3" hidden="1" customWidth="1"/>
    <col min="7946" max="8191" width="9.140625" style="3"/>
    <col min="8192" max="8193" width="13.5703125" style="3" customWidth="1"/>
    <col min="8194" max="8194" width="7.5703125" style="3" customWidth="1"/>
    <col min="8195" max="8195" width="9.85546875" style="3" customWidth="1"/>
    <col min="8196" max="8197" width="9.140625" style="3" hidden="1" customWidth="1"/>
    <col min="8198" max="8198" width="9.140625" style="3"/>
    <col min="8199" max="8201" width="9.140625" style="3" hidden="1" customWidth="1"/>
    <col min="8202" max="8447" width="9.140625" style="3"/>
    <col min="8448" max="8449" width="13.5703125" style="3" customWidth="1"/>
    <col min="8450" max="8450" width="7.5703125" style="3" customWidth="1"/>
    <col min="8451" max="8451" width="9.85546875" style="3" customWidth="1"/>
    <col min="8452" max="8453" width="9.140625" style="3" hidden="1" customWidth="1"/>
    <col min="8454" max="8454" width="9.140625" style="3"/>
    <col min="8455" max="8457" width="9.140625" style="3" hidden="1" customWidth="1"/>
    <col min="8458" max="8703" width="9.140625" style="3"/>
    <col min="8704" max="8705" width="13.5703125" style="3" customWidth="1"/>
    <col min="8706" max="8706" width="7.5703125" style="3" customWidth="1"/>
    <col min="8707" max="8707" width="9.85546875" style="3" customWidth="1"/>
    <col min="8708" max="8709" width="9.140625" style="3" hidden="1" customWidth="1"/>
    <col min="8710" max="8710" width="9.140625" style="3"/>
    <col min="8711" max="8713" width="9.140625" style="3" hidden="1" customWidth="1"/>
    <col min="8714" max="8959" width="9.140625" style="3"/>
    <col min="8960" max="8961" width="13.5703125" style="3" customWidth="1"/>
    <col min="8962" max="8962" width="7.5703125" style="3" customWidth="1"/>
    <col min="8963" max="8963" width="9.85546875" style="3" customWidth="1"/>
    <col min="8964" max="8965" width="9.140625" style="3" hidden="1" customWidth="1"/>
    <col min="8966" max="8966" width="9.140625" style="3"/>
    <col min="8967" max="8969" width="9.140625" style="3" hidden="1" customWidth="1"/>
    <col min="8970" max="9215" width="9.140625" style="3"/>
    <col min="9216" max="9217" width="13.5703125" style="3" customWidth="1"/>
    <col min="9218" max="9218" width="7.5703125" style="3" customWidth="1"/>
    <col min="9219" max="9219" width="9.85546875" style="3" customWidth="1"/>
    <col min="9220" max="9221" width="9.140625" style="3" hidden="1" customWidth="1"/>
    <col min="9222" max="9222" width="9.140625" style="3"/>
    <col min="9223" max="9225" width="9.140625" style="3" hidden="1" customWidth="1"/>
    <col min="9226" max="9471" width="9.140625" style="3"/>
    <col min="9472" max="9473" width="13.5703125" style="3" customWidth="1"/>
    <col min="9474" max="9474" width="7.5703125" style="3" customWidth="1"/>
    <col min="9475" max="9475" width="9.85546875" style="3" customWidth="1"/>
    <col min="9476" max="9477" width="9.140625" style="3" hidden="1" customWidth="1"/>
    <col min="9478" max="9478" width="9.140625" style="3"/>
    <col min="9479" max="9481" width="9.140625" style="3" hidden="1" customWidth="1"/>
    <col min="9482" max="9727" width="9.140625" style="3"/>
    <col min="9728" max="9729" width="13.5703125" style="3" customWidth="1"/>
    <col min="9730" max="9730" width="7.5703125" style="3" customWidth="1"/>
    <col min="9731" max="9731" width="9.85546875" style="3" customWidth="1"/>
    <col min="9732" max="9733" width="9.140625" style="3" hidden="1" customWidth="1"/>
    <col min="9734" max="9734" width="9.140625" style="3"/>
    <col min="9735" max="9737" width="9.140625" style="3" hidden="1" customWidth="1"/>
    <col min="9738" max="9983" width="9.140625" style="3"/>
    <col min="9984" max="9985" width="13.5703125" style="3" customWidth="1"/>
    <col min="9986" max="9986" width="7.5703125" style="3" customWidth="1"/>
    <col min="9987" max="9987" width="9.85546875" style="3" customWidth="1"/>
    <col min="9988" max="9989" width="9.140625" style="3" hidden="1" customWidth="1"/>
    <col min="9990" max="9990" width="9.140625" style="3"/>
    <col min="9991" max="9993" width="9.140625" style="3" hidden="1" customWidth="1"/>
    <col min="9994" max="10239" width="9.140625" style="3"/>
    <col min="10240" max="10241" width="13.5703125" style="3" customWidth="1"/>
    <col min="10242" max="10242" width="7.5703125" style="3" customWidth="1"/>
    <col min="10243" max="10243" width="9.85546875" style="3" customWidth="1"/>
    <col min="10244" max="10245" width="9.140625" style="3" hidden="1" customWidth="1"/>
    <col min="10246" max="10246" width="9.140625" style="3"/>
    <col min="10247" max="10249" width="9.140625" style="3" hidden="1" customWidth="1"/>
    <col min="10250" max="10495" width="9.140625" style="3"/>
    <col min="10496" max="10497" width="13.5703125" style="3" customWidth="1"/>
    <col min="10498" max="10498" width="7.5703125" style="3" customWidth="1"/>
    <col min="10499" max="10499" width="9.85546875" style="3" customWidth="1"/>
    <col min="10500" max="10501" width="9.140625" style="3" hidden="1" customWidth="1"/>
    <col min="10502" max="10502" width="9.140625" style="3"/>
    <col min="10503" max="10505" width="9.140625" style="3" hidden="1" customWidth="1"/>
    <col min="10506" max="10751" width="9.140625" style="3"/>
    <col min="10752" max="10753" width="13.5703125" style="3" customWidth="1"/>
    <col min="10754" max="10754" width="7.5703125" style="3" customWidth="1"/>
    <col min="10755" max="10755" width="9.85546875" style="3" customWidth="1"/>
    <col min="10756" max="10757" width="9.140625" style="3" hidden="1" customWidth="1"/>
    <col min="10758" max="10758" width="9.140625" style="3"/>
    <col min="10759" max="10761" width="9.140625" style="3" hidden="1" customWidth="1"/>
    <col min="10762" max="11007" width="9.140625" style="3"/>
    <col min="11008" max="11009" width="13.5703125" style="3" customWidth="1"/>
    <col min="11010" max="11010" width="7.5703125" style="3" customWidth="1"/>
    <col min="11011" max="11011" width="9.85546875" style="3" customWidth="1"/>
    <col min="11012" max="11013" width="9.140625" style="3" hidden="1" customWidth="1"/>
    <col min="11014" max="11014" width="9.140625" style="3"/>
    <col min="11015" max="11017" width="9.140625" style="3" hidden="1" customWidth="1"/>
    <col min="11018" max="11263" width="9.140625" style="3"/>
    <col min="11264" max="11265" width="13.5703125" style="3" customWidth="1"/>
    <col min="11266" max="11266" width="7.5703125" style="3" customWidth="1"/>
    <col min="11267" max="11267" width="9.85546875" style="3" customWidth="1"/>
    <col min="11268" max="11269" width="9.140625" style="3" hidden="1" customWidth="1"/>
    <col min="11270" max="11270" width="9.140625" style="3"/>
    <col min="11271" max="11273" width="9.140625" style="3" hidden="1" customWidth="1"/>
    <col min="11274" max="11519" width="9.140625" style="3"/>
    <col min="11520" max="11521" width="13.5703125" style="3" customWidth="1"/>
    <col min="11522" max="11522" width="7.5703125" style="3" customWidth="1"/>
    <col min="11523" max="11523" width="9.85546875" style="3" customWidth="1"/>
    <col min="11524" max="11525" width="9.140625" style="3" hidden="1" customWidth="1"/>
    <col min="11526" max="11526" width="9.140625" style="3"/>
    <col min="11527" max="11529" width="9.140625" style="3" hidden="1" customWidth="1"/>
    <col min="11530" max="11775" width="9.140625" style="3"/>
    <col min="11776" max="11777" width="13.5703125" style="3" customWidth="1"/>
    <col min="11778" max="11778" width="7.5703125" style="3" customWidth="1"/>
    <col min="11779" max="11779" width="9.85546875" style="3" customWidth="1"/>
    <col min="11780" max="11781" width="9.140625" style="3" hidden="1" customWidth="1"/>
    <col min="11782" max="11782" width="9.140625" style="3"/>
    <col min="11783" max="11785" width="9.140625" style="3" hidden="1" customWidth="1"/>
    <col min="11786" max="12031" width="9.140625" style="3"/>
    <col min="12032" max="12033" width="13.5703125" style="3" customWidth="1"/>
    <col min="12034" max="12034" width="7.5703125" style="3" customWidth="1"/>
    <col min="12035" max="12035" width="9.85546875" style="3" customWidth="1"/>
    <col min="12036" max="12037" width="9.140625" style="3" hidden="1" customWidth="1"/>
    <col min="12038" max="12038" width="9.140625" style="3"/>
    <col min="12039" max="12041" width="9.140625" style="3" hidden="1" customWidth="1"/>
    <col min="12042" max="12287" width="9.140625" style="3"/>
    <col min="12288" max="12289" width="13.5703125" style="3" customWidth="1"/>
    <col min="12290" max="12290" width="7.5703125" style="3" customWidth="1"/>
    <col min="12291" max="12291" width="9.85546875" style="3" customWidth="1"/>
    <col min="12292" max="12293" width="9.140625" style="3" hidden="1" customWidth="1"/>
    <col min="12294" max="12294" width="9.140625" style="3"/>
    <col min="12295" max="12297" width="9.140625" style="3" hidden="1" customWidth="1"/>
    <col min="12298" max="12543" width="9.140625" style="3"/>
    <col min="12544" max="12545" width="13.5703125" style="3" customWidth="1"/>
    <col min="12546" max="12546" width="7.5703125" style="3" customWidth="1"/>
    <col min="12547" max="12547" width="9.85546875" style="3" customWidth="1"/>
    <col min="12548" max="12549" width="9.140625" style="3" hidden="1" customWidth="1"/>
    <col min="12550" max="12550" width="9.140625" style="3"/>
    <col min="12551" max="12553" width="9.140625" style="3" hidden="1" customWidth="1"/>
    <col min="12554" max="12799" width="9.140625" style="3"/>
    <col min="12800" max="12801" width="13.5703125" style="3" customWidth="1"/>
    <col min="12802" max="12802" width="7.5703125" style="3" customWidth="1"/>
    <col min="12803" max="12803" width="9.85546875" style="3" customWidth="1"/>
    <col min="12804" max="12805" width="9.140625" style="3" hidden="1" customWidth="1"/>
    <col min="12806" max="12806" width="9.140625" style="3"/>
    <col min="12807" max="12809" width="9.140625" style="3" hidden="1" customWidth="1"/>
    <col min="12810" max="13055" width="9.140625" style="3"/>
    <col min="13056" max="13057" width="13.5703125" style="3" customWidth="1"/>
    <col min="13058" max="13058" width="7.5703125" style="3" customWidth="1"/>
    <col min="13059" max="13059" width="9.85546875" style="3" customWidth="1"/>
    <col min="13060" max="13061" width="9.140625" style="3" hidden="1" customWidth="1"/>
    <col min="13062" max="13062" width="9.140625" style="3"/>
    <col min="13063" max="13065" width="9.140625" style="3" hidden="1" customWidth="1"/>
    <col min="13066" max="13311" width="9.140625" style="3"/>
    <col min="13312" max="13313" width="13.5703125" style="3" customWidth="1"/>
    <col min="13314" max="13314" width="7.5703125" style="3" customWidth="1"/>
    <col min="13315" max="13315" width="9.85546875" style="3" customWidth="1"/>
    <col min="13316" max="13317" width="9.140625" style="3" hidden="1" customWidth="1"/>
    <col min="13318" max="13318" width="9.140625" style="3"/>
    <col min="13319" max="13321" width="9.140625" style="3" hidden="1" customWidth="1"/>
    <col min="13322" max="13567" width="9.140625" style="3"/>
    <col min="13568" max="13569" width="13.5703125" style="3" customWidth="1"/>
    <col min="13570" max="13570" width="7.5703125" style="3" customWidth="1"/>
    <col min="13571" max="13571" width="9.85546875" style="3" customWidth="1"/>
    <col min="13572" max="13573" width="9.140625" style="3" hidden="1" customWidth="1"/>
    <col min="13574" max="13574" width="9.140625" style="3"/>
    <col min="13575" max="13577" width="9.140625" style="3" hidden="1" customWidth="1"/>
    <col min="13578" max="13823" width="9.140625" style="3"/>
    <col min="13824" max="13825" width="13.5703125" style="3" customWidth="1"/>
    <col min="13826" max="13826" width="7.5703125" style="3" customWidth="1"/>
    <col min="13827" max="13827" width="9.85546875" style="3" customWidth="1"/>
    <col min="13828" max="13829" width="9.140625" style="3" hidden="1" customWidth="1"/>
    <col min="13830" max="13830" width="9.140625" style="3"/>
    <col min="13831" max="13833" width="9.140625" style="3" hidden="1" customWidth="1"/>
    <col min="13834" max="14079" width="9.140625" style="3"/>
    <col min="14080" max="14081" width="13.5703125" style="3" customWidth="1"/>
    <col min="14082" max="14082" width="7.5703125" style="3" customWidth="1"/>
    <col min="14083" max="14083" width="9.85546875" style="3" customWidth="1"/>
    <col min="14084" max="14085" width="9.140625" style="3" hidden="1" customWidth="1"/>
    <col min="14086" max="14086" width="9.140625" style="3"/>
    <col min="14087" max="14089" width="9.140625" style="3" hidden="1" customWidth="1"/>
    <col min="14090" max="14335" width="9.140625" style="3"/>
    <col min="14336" max="14337" width="13.5703125" style="3" customWidth="1"/>
    <col min="14338" max="14338" width="7.5703125" style="3" customWidth="1"/>
    <col min="14339" max="14339" width="9.85546875" style="3" customWidth="1"/>
    <col min="14340" max="14341" width="9.140625" style="3" hidden="1" customWidth="1"/>
    <col min="14342" max="14342" width="9.140625" style="3"/>
    <col min="14343" max="14345" width="9.140625" style="3" hidden="1" customWidth="1"/>
    <col min="14346" max="14591" width="9.140625" style="3"/>
    <col min="14592" max="14593" width="13.5703125" style="3" customWidth="1"/>
    <col min="14594" max="14594" width="7.5703125" style="3" customWidth="1"/>
    <col min="14595" max="14595" width="9.85546875" style="3" customWidth="1"/>
    <col min="14596" max="14597" width="9.140625" style="3" hidden="1" customWidth="1"/>
    <col min="14598" max="14598" width="9.140625" style="3"/>
    <col min="14599" max="14601" width="9.140625" style="3" hidden="1" customWidth="1"/>
    <col min="14602" max="14847" width="9.140625" style="3"/>
    <col min="14848" max="14849" width="13.5703125" style="3" customWidth="1"/>
    <col min="14850" max="14850" width="7.5703125" style="3" customWidth="1"/>
    <col min="14851" max="14851" width="9.85546875" style="3" customWidth="1"/>
    <col min="14852" max="14853" width="9.140625" style="3" hidden="1" customWidth="1"/>
    <col min="14854" max="14854" width="9.140625" style="3"/>
    <col min="14855" max="14857" width="9.140625" style="3" hidden="1" customWidth="1"/>
    <col min="14858" max="15103" width="9.140625" style="3"/>
    <col min="15104" max="15105" width="13.5703125" style="3" customWidth="1"/>
    <col min="15106" max="15106" width="7.5703125" style="3" customWidth="1"/>
    <col min="15107" max="15107" width="9.85546875" style="3" customWidth="1"/>
    <col min="15108" max="15109" width="9.140625" style="3" hidden="1" customWidth="1"/>
    <col min="15110" max="15110" width="9.140625" style="3"/>
    <col min="15111" max="15113" width="9.140625" style="3" hidden="1" customWidth="1"/>
    <col min="15114" max="15359" width="9.140625" style="3"/>
    <col min="15360" max="15361" width="13.5703125" style="3" customWidth="1"/>
    <col min="15362" max="15362" width="7.5703125" style="3" customWidth="1"/>
    <col min="15363" max="15363" width="9.85546875" style="3" customWidth="1"/>
    <col min="15364" max="15365" width="9.140625" style="3" hidden="1" customWidth="1"/>
    <col min="15366" max="15366" width="9.140625" style="3"/>
    <col min="15367" max="15369" width="9.140625" style="3" hidden="1" customWidth="1"/>
    <col min="15370" max="15615" width="9.140625" style="3"/>
    <col min="15616" max="15617" width="13.5703125" style="3" customWidth="1"/>
    <col min="15618" max="15618" width="7.5703125" style="3" customWidth="1"/>
    <col min="15619" max="15619" width="9.85546875" style="3" customWidth="1"/>
    <col min="15620" max="15621" width="9.140625" style="3" hidden="1" customWidth="1"/>
    <col min="15622" max="15622" width="9.140625" style="3"/>
    <col min="15623" max="15625" width="9.140625" style="3" hidden="1" customWidth="1"/>
    <col min="15626" max="15871" width="9.140625" style="3"/>
    <col min="15872" max="15873" width="13.5703125" style="3" customWidth="1"/>
    <col min="15874" max="15874" width="7.5703125" style="3" customWidth="1"/>
    <col min="15875" max="15875" width="9.85546875" style="3" customWidth="1"/>
    <col min="15876" max="15877" width="9.140625" style="3" hidden="1" customWidth="1"/>
    <col min="15878" max="15878" width="9.140625" style="3"/>
    <col min="15879" max="15881" width="9.140625" style="3" hidden="1" customWidth="1"/>
    <col min="15882" max="16127" width="9.140625" style="3"/>
    <col min="16128" max="16129" width="13.5703125" style="3" customWidth="1"/>
    <col min="16130" max="16130" width="7.5703125" style="3" customWidth="1"/>
    <col min="16131" max="16131" width="9.85546875" style="3" customWidth="1"/>
    <col min="16132" max="16133" width="9.140625" style="3" hidden="1" customWidth="1"/>
    <col min="16134" max="16134" width="9.140625" style="3"/>
    <col min="16135" max="16137" width="9.140625" style="3" hidden="1" customWidth="1"/>
    <col min="16138" max="16384" width="9.140625" style="3"/>
  </cols>
  <sheetData>
    <row r="1" spans="1:9" s="49" customFormat="1" ht="14.25" x14ac:dyDescent="0.25">
      <c r="A1" s="43" t="s">
        <v>2285</v>
      </c>
      <c r="B1" s="43" t="s">
        <v>2286</v>
      </c>
      <c r="C1" s="43" t="s">
        <v>2287</v>
      </c>
      <c r="D1" s="43" t="s">
        <v>2288</v>
      </c>
      <c r="E1" s="43" t="s">
        <v>2289</v>
      </c>
      <c r="G1" s="43"/>
      <c r="H1" s="43"/>
      <c r="I1" s="43"/>
    </row>
    <row r="2" spans="1:9" x14ac:dyDescent="0.25">
      <c r="A2" s="53">
        <v>2</v>
      </c>
      <c r="B2" s="45">
        <v>59.85</v>
      </c>
      <c r="C2" s="45">
        <v>58</v>
      </c>
      <c r="D2" s="45">
        <v>66.39</v>
      </c>
      <c r="E2" s="45">
        <v>59</v>
      </c>
      <c r="F2" s="45"/>
      <c r="G2" s="51"/>
      <c r="H2" s="51"/>
      <c r="I2" s="51"/>
    </row>
    <row r="3" spans="1:9" x14ac:dyDescent="0.25">
      <c r="A3" s="53">
        <v>4</v>
      </c>
      <c r="B3" s="45">
        <v>60.26</v>
      </c>
      <c r="C3" s="45">
        <v>58.9</v>
      </c>
      <c r="D3" s="45">
        <v>66.89</v>
      </c>
      <c r="E3" s="45">
        <v>60.4</v>
      </c>
      <c r="F3" s="45"/>
      <c r="G3" s="51"/>
      <c r="H3" s="51"/>
      <c r="I3" s="51"/>
    </row>
    <row r="4" spans="1:9" x14ac:dyDescent="0.25">
      <c r="A4" s="53">
        <v>6</v>
      </c>
      <c r="B4" s="45">
        <v>60.68</v>
      </c>
      <c r="C4" s="45">
        <v>59.8</v>
      </c>
      <c r="D4" s="45">
        <v>67.39</v>
      </c>
      <c r="E4" s="45">
        <v>61.9</v>
      </c>
      <c r="F4" s="45"/>
      <c r="G4" s="51"/>
      <c r="H4" s="51"/>
      <c r="I4" s="51"/>
    </row>
    <row r="5" spans="1:9" x14ac:dyDescent="0.25">
      <c r="A5" s="53">
        <v>10</v>
      </c>
      <c r="B5" s="45">
        <v>61.54</v>
      </c>
      <c r="C5" s="45">
        <v>61.8</v>
      </c>
      <c r="D5" s="45">
        <v>68.44</v>
      </c>
      <c r="E5" s="45">
        <v>65</v>
      </c>
      <c r="F5" s="45"/>
      <c r="G5" s="51"/>
      <c r="H5" s="51"/>
      <c r="I5" s="51"/>
    </row>
    <row r="6" spans="1:9" x14ac:dyDescent="0.25">
      <c r="A6" s="53">
        <v>20</v>
      </c>
      <c r="B6" s="45">
        <v>63.83</v>
      </c>
      <c r="C6" s="45">
        <v>67.900000000000006</v>
      </c>
      <c r="D6" s="45">
        <v>71.23</v>
      </c>
      <c r="E6" s="45">
        <v>74.099999999999994</v>
      </c>
      <c r="F6" s="45"/>
      <c r="G6" s="51"/>
      <c r="H6" s="51"/>
      <c r="I6" s="51"/>
    </row>
    <row r="7" spans="1:9" x14ac:dyDescent="0.25">
      <c r="A7" s="53">
        <v>40</v>
      </c>
      <c r="B7" s="45">
        <v>69.14</v>
      </c>
      <c r="C7" s="45">
        <v>89.1</v>
      </c>
      <c r="D7" s="45">
        <v>77.680000000000007</v>
      </c>
      <c r="E7" s="45">
        <v>101.1</v>
      </c>
      <c r="F7" s="45"/>
      <c r="G7" s="51"/>
      <c r="H7" s="51"/>
      <c r="I7" s="51"/>
    </row>
    <row r="8" spans="1:9" x14ac:dyDescent="0.25">
      <c r="A8" s="53">
        <v>60</v>
      </c>
      <c r="B8" s="45">
        <v>75.66</v>
      </c>
      <c r="C8" s="45">
        <v>142.9</v>
      </c>
      <c r="D8" s="45">
        <v>85.64</v>
      </c>
      <c r="E8" s="45">
        <v>152.4</v>
      </c>
      <c r="F8" s="45"/>
      <c r="G8" s="51"/>
      <c r="H8" s="51"/>
      <c r="I8" s="51"/>
    </row>
    <row r="9" spans="1:9" x14ac:dyDescent="0.25">
      <c r="A9" s="50"/>
      <c r="B9" s="45"/>
      <c r="C9" s="45"/>
      <c r="D9" s="45"/>
      <c r="E9" s="45"/>
      <c r="F9" s="45"/>
      <c r="G9" s="51"/>
      <c r="H9" s="51"/>
      <c r="I9" s="51"/>
    </row>
    <row r="10" spans="1:9" x14ac:dyDescent="0.25">
      <c r="A10" s="50"/>
      <c r="B10" s="45"/>
      <c r="C10" s="45"/>
      <c r="D10" s="45"/>
      <c r="E10" s="45"/>
      <c r="F10" s="45"/>
      <c r="G10" s="51"/>
      <c r="H10" s="51"/>
      <c r="I10" s="51"/>
    </row>
    <row r="11" spans="1:9" x14ac:dyDescent="0.25">
      <c r="A11" s="50"/>
      <c r="B11" s="45"/>
      <c r="C11" s="45"/>
      <c r="D11" s="45"/>
      <c r="E11" s="45"/>
      <c r="F11" s="45"/>
      <c r="G11" s="51"/>
      <c r="H11" s="51"/>
      <c r="I11" s="51"/>
    </row>
    <row r="12" spans="1:9" x14ac:dyDescent="0.25">
      <c r="A12" s="50"/>
      <c r="B12" s="45"/>
      <c r="C12" s="45"/>
      <c r="D12" s="45"/>
      <c r="E12" s="45"/>
      <c r="F12" s="45"/>
      <c r="G12" s="51"/>
      <c r="H12" s="51"/>
      <c r="I12" s="51"/>
    </row>
    <row r="13" spans="1:9" x14ac:dyDescent="0.25">
      <c r="A13" s="50"/>
      <c r="B13" s="45"/>
      <c r="C13" s="45"/>
      <c r="D13" s="45"/>
      <c r="E13" s="45"/>
      <c r="F13" s="45"/>
      <c r="G13" s="51"/>
      <c r="H13" s="51"/>
      <c r="I13" s="51"/>
    </row>
    <row r="14" spans="1:9" x14ac:dyDescent="0.25">
      <c r="A14" s="50"/>
      <c r="B14" s="45"/>
      <c r="C14" s="45"/>
      <c r="D14" s="45"/>
      <c r="E14" s="45"/>
      <c r="F14" s="45"/>
      <c r="G14" s="51"/>
      <c r="H14" s="51"/>
      <c r="I14" s="51"/>
    </row>
    <row r="15" spans="1:9" x14ac:dyDescent="0.25">
      <c r="A15" s="50"/>
      <c r="B15" s="45"/>
      <c r="C15" s="45"/>
      <c r="D15" s="45"/>
      <c r="E15" s="45"/>
      <c r="F15" s="45"/>
      <c r="G15" s="51"/>
      <c r="H15" s="51"/>
      <c r="I15" s="51"/>
    </row>
    <row r="16" spans="1:9" x14ac:dyDescent="0.25">
      <c r="A16" s="50"/>
      <c r="B16" s="45"/>
      <c r="C16" s="45"/>
      <c r="D16" s="45"/>
      <c r="E16" s="45"/>
      <c r="F16" s="45"/>
      <c r="G16" s="51"/>
      <c r="H16" s="51"/>
      <c r="I16" s="51"/>
    </row>
    <row r="17" spans="1:10" x14ac:dyDescent="0.25">
      <c r="A17" s="50"/>
      <c r="B17" s="45"/>
      <c r="C17" s="45"/>
      <c r="D17" s="45"/>
      <c r="E17" s="45"/>
      <c r="F17" s="45"/>
      <c r="G17" s="51"/>
      <c r="H17" s="51"/>
      <c r="I17" s="51"/>
    </row>
    <row r="18" spans="1:10" x14ac:dyDescent="0.25">
      <c r="A18" s="50"/>
      <c r="B18" s="45"/>
      <c r="C18" s="45"/>
      <c r="D18" s="45"/>
      <c r="E18" s="45"/>
      <c r="F18" s="45"/>
      <c r="G18" s="51"/>
      <c r="H18" s="51"/>
      <c r="I18" s="51"/>
    </row>
    <row r="19" spans="1:10" x14ac:dyDescent="0.25">
      <c r="A19" s="50"/>
      <c r="B19" s="45"/>
      <c r="C19" s="45"/>
      <c r="D19" s="45"/>
      <c r="E19" s="45"/>
      <c r="F19" s="45"/>
      <c r="G19" s="51"/>
      <c r="H19" s="51"/>
      <c r="I19" s="51"/>
    </row>
    <row r="20" spans="1:10" x14ac:dyDescent="0.25">
      <c r="A20" s="50"/>
      <c r="B20" s="45"/>
      <c r="C20" s="45"/>
      <c r="D20" s="45"/>
      <c r="E20" s="45"/>
      <c r="F20" s="45"/>
      <c r="G20" s="51"/>
      <c r="H20" s="51"/>
      <c r="I20" s="51"/>
    </row>
    <row r="21" spans="1:10" x14ac:dyDescent="0.25">
      <c r="A21" s="50"/>
      <c r="B21" s="45"/>
      <c r="C21" s="45"/>
      <c r="D21" s="45"/>
      <c r="E21" s="45"/>
      <c r="F21" s="45"/>
      <c r="G21" s="51"/>
      <c r="H21" s="51"/>
      <c r="I21" s="51"/>
    </row>
    <row r="22" spans="1:10" x14ac:dyDescent="0.25">
      <c r="A22" s="50"/>
      <c r="B22" s="45"/>
      <c r="C22" s="45"/>
      <c r="D22" s="45"/>
      <c r="E22" s="45"/>
      <c r="F22" s="45"/>
      <c r="G22" s="51"/>
      <c r="H22" s="51"/>
      <c r="I22" s="51"/>
    </row>
    <row r="23" spans="1:10" x14ac:dyDescent="0.25">
      <c r="A23" s="50"/>
      <c r="B23" s="45"/>
      <c r="C23" s="45"/>
      <c r="D23" s="45"/>
      <c r="E23" s="45"/>
      <c r="F23" s="45"/>
      <c r="G23" s="51"/>
      <c r="H23" s="51"/>
      <c r="I23" s="51"/>
    </row>
    <row r="24" spans="1:10" x14ac:dyDescent="0.25">
      <c r="A24" s="50"/>
      <c r="B24" s="45"/>
      <c r="C24" s="45"/>
      <c r="D24" s="45"/>
      <c r="E24" s="45"/>
      <c r="F24" s="45"/>
      <c r="G24" s="51"/>
      <c r="H24" s="51"/>
      <c r="I24" s="51"/>
    </row>
    <row r="25" spans="1:10" x14ac:dyDescent="0.25">
      <c r="A25" s="50"/>
      <c r="B25" s="45"/>
      <c r="C25" s="45"/>
      <c r="D25" s="45"/>
      <c r="E25" s="45"/>
      <c r="F25" s="45"/>
      <c r="G25" s="51"/>
      <c r="H25" s="51"/>
      <c r="I25" s="51"/>
    </row>
    <row r="26" spans="1:10" ht="60" x14ac:dyDescent="0.25">
      <c r="J26" s="46" t="s">
        <v>1206</v>
      </c>
    </row>
  </sheetData>
  <customSheetViews>
    <customSheetView guid="{679A3195-3DEA-4AC2-A535-82AAF5B552BC}" hiddenColumns="1" state="hidden">
      <selection activeCell="C3" sqref="C3"/>
      <pageMargins left="0.75" right="0.75" top="1" bottom="1" header="0.5" footer="0.5"/>
      <pageSetup orientation="portrait" verticalDpi="1200" r:id="rId1"/>
      <headerFooter alignWithMargins="0"/>
    </customSheetView>
    <customSheetView guid="{7378B641-E8D1-4C14-8151-CF4CE159D121}" hiddenColumns="1">
      <selection activeCell="C3" sqref="C3"/>
      <pageMargins left="0.75" right="0.75" top="1" bottom="1" header="0.5" footer="0.5"/>
      <pageSetup orientation="portrait" verticalDpi="1200" r:id="rId2"/>
      <headerFooter alignWithMargins="0"/>
    </customSheetView>
    <customSheetView guid="{6D63B10B-E1E6-452A-80EB-4B2C7D61CF66}" hiddenColumns="1" state="hidden">
      <selection activeCell="C3" sqref="C3"/>
      <pageMargins left="0.75" right="0.75" top="1" bottom="1" header="0.5" footer="0.5"/>
      <pageSetup orientation="portrait" verticalDpi="1200" r:id="rId3"/>
      <headerFooter alignWithMargins="0"/>
    </customSheetView>
  </customSheetViews>
  <pageMargins left="0.75" right="0.75" top="1" bottom="1" header="0.5" footer="0.5"/>
  <pageSetup orientation="portrait" verticalDpi="1200" r:id="rId4"/>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A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6384" width="9.140625" style="3"/>
  </cols>
  <sheetData>
    <row r="1" spans="1:27" ht="21" customHeight="1" x14ac:dyDescent="0.25">
      <c r="A1" s="3" t="s">
        <v>26</v>
      </c>
      <c r="B1" s="4" t="s">
        <v>2290</v>
      </c>
      <c r="C1" s="535" t="s">
        <v>3058</v>
      </c>
      <c r="D1" s="37" t="str">
        <f>B1</f>
        <v>Sensitivity to Changes in Improved Roof U-Value (Site 2-1058)</v>
      </c>
    </row>
    <row r="2" spans="1:27" x14ac:dyDescent="0.25">
      <c r="A2" s="3" t="s">
        <v>20</v>
      </c>
      <c r="B2" s="4" t="s">
        <v>58</v>
      </c>
      <c r="C2" s="536" t="s">
        <v>3059</v>
      </c>
    </row>
    <row r="3" spans="1:27" x14ac:dyDescent="0.25">
      <c r="A3" s="3" t="s">
        <v>1184</v>
      </c>
      <c r="B3" s="2" t="s">
        <v>3140</v>
      </c>
      <c r="C3" s="536" t="s">
        <v>1193</v>
      </c>
      <c r="D3" s="733"/>
      <c r="E3" s="733"/>
      <c r="F3" s="733"/>
      <c r="G3" s="733"/>
      <c r="H3" s="733"/>
      <c r="I3" s="733"/>
      <c r="J3" s="733"/>
      <c r="K3" s="733"/>
      <c r="L3" s="733"/>
      <c r="M3" s="733"/>
      <c r="N3" s="733"/>
      <c r="O3" s="733"/>
    </row>
    <row r="4" spans="1:27" ht="15" customHeight="1" x14ac:dyDescent="0.25">
      <c r="B4" s="4"/>
      <c r="C4" s="4"/>
      <c r="D4" s="3" t="s">
        <v>61</v>
      </c>
      <c r="P4" s="737"/>
      <c r="Q4" s="48"/>
      <c r="R4" s="48"/>
      <c r="S4" s="48"/>
      <c r="T4" s="48"/>
      <c r="U4" s="48"/>
      <c r="V4" s="48"/>
      <c r="W4" s="48"/>
      <c r="X4" s="48"/>
      <c r="Y4" s="48"/>
      <c r="Z4" s="48"/>
      <c r="AA4" s="48"/>
    </row>
    <row r="5" spans="1:27" x14ac:dyDescent="0.25">
      <c r="B5" s="4"/>
      <c r="C5" s="4"/>
      <c r="P5" s="737"/>
    </row>
    <row r="6" spans="1:27" x14ac:dyDescent="0.25">
      <c r="P6" s="737"/>
    </row>
    <row r="7" spans="1:27" x14ac:dyDescent="0.25">
      <c r="P7" s="737"/>
    </row>
    <row r="8" spans="1:27" x14ac:dyDescent="0.25">
      <c r="P8" s="737"/>
    </row>
    <row r="9" spans="1:27" x14ac:dyDescent="0.25">
      <c r="P9" s="737"/>
    </row>
    <row r="10" spans="1:27" x14ac:dyDescent="0.25">
      <c r="P10" s="737"/>
    </row>
    <row r="11" spans="1:27" x14ac:dyDescent="0.25">
      <c r="P11" s="737"/>
    </row>
    <row r="12" spans="1:27" x14ac:dyDescent="0.25">
      <c r="P12" s="737"/>
    </row>
    <row r="13" spans="1:27" x14ac:dyDescent="0.25">
      <c r="P13" s="737"/>
    </row>
    <row r="14" spans="1:27" x14ac:dyDescent="0.25">
      <c r="P14" s="737"/>
    </row>
    <row r="15" spans="1:27" x14ac:dyDescent="0.25">
      <c r="P15" s="737"/>
    </row>
    <row r="16" spans="1:27" x14ac:dyDescent="0.25">
      <c r="P16" s="737"/>
    </row>
    <row r="17" spans="16:16" x14ac:dyDescent="0.25">
      <c r="P17" s="737"/>
    </row>
    <row r="18" spans="16:16" x14ac:dyDescent="0.25">
      <c r="P18" s="737"/>
    </row>
    <row r="19" spans="16:16" x14ac:dyDescent="0.25">
      <c r="P19" s="737"/>
    </row>
    <row r="20" spans="16:16" x14ac:dyDescent="0.25">
      <c r="P20" s="737"/>
    </row>
    <row r="21" spans="16:16" x14ac:dyDescent="0.25">
      <c r="P21" s="737"/>
    </row>
    <row r="22" spans="16:16" x14ac:dyDescent="0.25">
      <c r="P22" s="737"/>
    </row>
    <row r="23" spans="16:16" x14ac:dyDescent="0.25">
      <c r="P23" s="737"/>
    </row>
    <row r="24" spans="16:16" x14ac:dyDescent="0.25">
      <c r="P24" s="737"/>
    </row>
    <row r="25" spans="16:16" x14ac:dyDescent="0.25">
      <c r="P25" s="737"/>
    </row>
    <row r="26" spans="16:16" x14ac:dyDescent="0.25">
      <c r="P26" s="737"/>
    </row>
    <row r="27" spans="16:16" x14ac:dyDescent="0.25">
      <c r="P27" s="737"/>
    </row>
    <row r="28" spans="16:16" x14ac:dyDescent="0.25">
      <c r="P28" s="737"/>
    </row>
    <row r="29" spans="16:16" x14ac:dyDescent="0.25">
      <c r="P29" s="737"/>
    </row>
    <row r="30" spans="16:16" x14ac:dyDescent="0.25">
      <c r="P30" s="737"/>
    </row>
    <row r="31" spans="16:16" x14ac:dyDescent="0.25">
      <c r="P31" s="737"/>
    </row>
    <row r="33" spans="4:4" x14ac:dyDescent="0.25">
      <c r="D33" s="37"/>
    </row>
  </sheetData>
  <customSheetViews>
    <customSheetView guid="{679A3195-3DEA-4AC2-A535-82AAF5B552BC}" fitToPage="1" hiddenColumns="1" topLeftCell="C1">
      <selection activeCell="C3" sqref="C3"/>
      <pageMargins left="0.7" right="0.7" top="0.75" bottom="0.75" header="0.3" footer="0.3"/>
      <pageSetup scale="67" orientation="landscape" horizontalDpi="4294967293" verticalDpi="4294967293" r:id="rId1"/>
    </customSheetView>
    <customSheetView guid="{7378B641-E8D1-4C14-8151-CF4CE159D121}" fitToPage="1" hiddenColumns="1" topLeftCell="C1">
      <selection activeCell="D33" sqref="D33:D35"/>
      <pageMargins left="0.7" right="0.7" top="0.75" bottom="0.75" header="0.3" footer="0.3"/>
      <pageSetup scale="67" orientation="landscape" horizontalDpi="4294967293" verticalDpi="4294967293" r:id="rId2"/>
    </customSheetView>
    <customSheetView guid="{6D63B10B-E1E6-452A-80EB-4B2C7D61CF66}" fitToPage="1" hiddenColumns="1" topLeftCell="C1">
      <selection activeCell="C3" sqref="C3"/>
      <pageMargins left="0.7" right="0.7" top="0.75" bottom="0.75" header="0.3" footer="0.3"/>
      <pageSetup scale="67" orientation="landscape" horizontalDpi="4294967293" verticalDpi="4294967293" r:id="rId3"/>
    </customSheetView>
  </customSheetViews>
  <mergeCells count="2">
    <mergeCell ref="D3:O3"/>
    <mergeCell ref="P4:P31"/>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scale="67" orientation="landscape" horizontalDpi="4294967293" verticalDpi="4294967293" r:id="rId4"/>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WVQ26"/>
  <sheetViews>
    <sheetView workbookViewId="0">
      <selection activeCell="C3" sqref="C3"/>
    </sheetView>
  </sheetViews>
  <sheetFormatPr defaultRowHeight="15" x14ac:dyDescent="0.25"/>
  <cols>
    <col min="1" max="1" width="12.7109375" style="3" bestFit="1" customWidth="1"/>
    <col min="2" max="9" width="7.28515625" style="3" bestFit="1" customWidth="1"/>
    <col min="10" max="10" width="55.28515625" style="3" customWidth="1"/>
    <col min="11" max="14" width="9.140625" style="3" customWidth="1"/>
    <col min="15" max="255" width="9.140625" style="3"/>
    <col min="256" max="257" width="13.5703125" style="3" customWidth="1"/>
    <col min="258" max="258" width="7.5703125" style="3" customWidth="1"/>
    <col min="259" max="259" width="9.85546875" style="3" customWidth="1"/>
    <col min="260" max="261" width="9.140625" style="3" hidden="1" customWidth="1"/>
    <col min="262" max="262" width="9.140625" style="3"/>
    <col min="263" max="265" width="9.140625" style="3" hidden="1" customWidth="1"/>
    <col min="266" max="511" width="9.140625" style="3"/>
    <col min="512" max="513" width="13.5703125" style="3" customWidth="1"/>
    <col min="514" max="514" width="7.5703125" style="3" customWidth="1"/>
    <col min="515" max="515" width="9.85546875" style="3" customWidth="1"/>
    <col min="516" max="517" width="9.140625" style="3" hidden="1" customWidth="1"/>
    <col min="518" max="518" width="9.140625" style="3"/>
    <col min="519" max="521" width="9.140625" style="3" hidden="1" customWidth="1"/>
    <col min="522" max="767" width="9.140625" style="3"/>
    <col min="768" max="769" width="13.5703125" style="3" customWidth="1"/>
    <col min="770" max="770" width="7.5703125" style="3" customWidth="1"/>
    <col min="771" max="771" width="9.85546875" style="3" customWidth="1"/>
    <col min="772" max="773" width="9.140625" style="3" hidden="1" customWidth="1"/>
    <col min="774" max="774" width="9.140625" style="3"/>
    <col min="775" max="777" width="9.140625" style="3" hidden="1" customWidth="1"/>
    <col min="778" max="1023" width="9.140625" style="3"/>
    <col min="1024" max="1025" width="13.5703125" style="3" customWidth="1"/>
    <col min="1026" max="1026" width="7.5703125" style="3" customWidth="1"/>
    <col min="1027" max="1027" width="9.85546875" style="3" customWidth="1"/>
    <col min="1028" max="1029" width="9.140625" style="3" hidden="1" customWidth="1"/>
    <col min="1030" max="1030" width="9.140625" style="3"/>
    <col min="1031" max="1033" width="9.140625" style="3" hidden="1" customWidth="1"/>
    <col min="1034" max="1279" width="9.140625" style="3"/>
    <col min="1280" max="1281" width="13.5703125" style="3" customWidth="1"/>
    <col min="1282" max="1282" width="7.5703125" style="3" customWidth="1"/>
    <col min="1283" max="1283" width="9.85546875" style="3" customWidth="1"/>
    <col min="1284" max="1285" width="9.140625" style="3" hidden="1" customWidth="1"/>
    <col min="1286" max="1286" width="9.140625" style="3"/>
    <col min="1287" max="1289" width="9.140625" style="3" hidden="1" customWidth="1"/>
    <col min="1290" max="1535" width="9.140625" style="3"/>
    <col min="1536" max="1537" width="13.5703125" style="3" customWidth="1"/>
    <col min="1538" max="1538" width="7.5703125" style="3" customWidth="1"/>
    <col min="1539" max="1539" width="9.85546875" style="3" customWidth="1"/>
    <col min="1540" max="1541" width="9.140625" style="3" hidden="1" customWidth="1"/>
    <col min="1542" max="1542" width="9.140625" style="3"/>
    <col min="1543" max="1545" width="9.140625" style="3" hidden="1" customWidth="1"/>
    <col min="1546" max="1791" width="9.140625" style="3"/>
    <col min="1792" max="1793" width="13.5703125" style="3" customWidth="1"/>
    <col min="1794" max="1794" width="7.5703125" style="3" customWidth="1"/>
    <col min="1795" max="1795" width="9.85546875" style="3" customWidth="1"/>
    <col min="1796" max="1797" width="9.140625" style="3" hidden="1" customWidth="1"/>
    <col min="1798" max="1798" width="9.140625" style="3"/>
    <col min="1799" max="1801" width="9.140625" style="3" hidden="1" customWidth="1"/>
    <col min="1802" max="2047" width="9.140625" style="3"/>
    <col min="2048" max="2049" width="13.5703125" style="3" customWidth="1"/>
    <col min="2050" max="2050" width="7.5703125" style="3" customWidth="1"/>
    <col min="2051" max="2051" width="9.85546875" style="3" customWidth="1"/>
    <col min="2052" max="2053" width="9.140625" style="3" hidden="1" customWidth="1"/>
    <col min="2054" max="2054" width="9.140625" style="3"/>
    <col min="2055" max="2057" width="9.140625" style="3" hidden="1" customWidth="1"/>
    <col min="2058" max="2303" width="9.140625" style="3"/>
    <col min="2304" max="2305" width="13.5703125" style="3" customWidth="1"/>
    <col min="2306" max="2306" width="7.5703125" style="3" customWidth="1"/>
    <col min="2307" max="2307" width="9.85546875" style="3" customWidth="1"/>
    <col min="2308" max="2309" width="9.140625" style="3" hidden="1" customWidth="1"/>
    <col min="2310" max="2310" width="9.140625" style="3"/>
    <col min="2311" max="2313" width="9.140625" style="3" hidden="1" customWidth="1"/>
    <col min="2314" max="2559" width="9.140625" style="3"/>
    <col min="2560" max="2561" width="13.5703125" style="3" customWidth="1"/>
    <col min="2562" max="2562" width="7.5703125" style="3" customWidth="1"/>
    <col min="2563" max="2563" width="9.85546875" style="3" customWidth="1"/>
    <col min="2564" max="2565" width="9.140625" style="3" hidden="1" customWidth="1"/>
    <col min="2566" max="2566" width="9.140625" style="3"/>
    <col min="2567" max="2569" width="9.140625" style="3" hidden="1" customWidth="1"/>
    <col min="2570" max="2815" width="9.140625" style="3"/>
    <col min="2816" max="2817" width="13.5703125" style="3" customWidth="1"/>
    <col min="2818" max="2818" width="7.5703125" style="3" customWidth="1"/>
    <col min="2819" max="2819" width="9.85546875" style="3" customWidth="1"/>
    <col min="2820" max="2821" width="9.140625" style="3" hidden="1" customWidth="1"/>
    <col min="2822" max="2822" width="9.140625" style="3"/>
    <col min="2823" max="2825" width="9.140625" style="3" hidden="1" customWidth="1"/>
    <col min="2826" max="3071" width="9.140625" style="3"/>
    <col min="3072" max="3073" width="13.5703125" style="3" customWidth="1"/>
    <col min="3074" max="3074" width="7.5703125" style="3" customWidth="1"/>
    <col min="3075" max="3075" width="9.85546875" style="3" customWidth="1"/>
    <col min="3076" max="3077" width="9.140625" style="3" hidden="1" customWidth="1"/>
    <col min="3078" max="3078" width="9.140625" style="3"/>
    <col min="3079" max="3081" width="9.140625" style="3" hidden="1" customWidth="1"/>
    <col min="3082" max="3327" width="9.140625" style="3"/>
    <col min="3328" max="3329" width="13.5703125" style="3" customWidth="1"/>
    <col min="3330" max="3330" width="7.5703125" style="3" customWidth="1"/>
    <col min="3331" max="3331" width="9.85546875" style="3" customWidth="1"/>
    <col min="3332" max="3333" width="9.140625" style="3" hidden="1" customWidth="1"/>
    <col min="3334" max="3334" width="9.140625" style="3"/>
    <col min="3335" max="3337" width="9.140625" style="3" hidden="1" customWidth="1"/>
    <col min="3338" max="3583" width="9.140625" style="3"/>
    <col min="3584" max="3585" width="13.5703125" style="3" customWidth="1"/>
    <col min="3586" max="3586" width="7.5703125" style="3" customWidth="1"/>
    <col min="3587" max="3587" width="9.85546875" style="3" customWidth="1"/>
    <col min="3588" max="3589" width="9.140625" style="3" hidden="1" customWidth="1"/>
    <col min="3590" max="3590" width="9.140625" style="3"/>
    <col min="3591" max="3593" width="9.140625" style="3" hidden="1" customWidth="1"/>
    <col min="3594" max="3839" width="9.140625" style="3"/>
    <col min="3840" max="3841" width="13.5703125" style="3" customWidth="1"/>
    <col min="3842" max="3842" width="7.5703125" style="3" customWidth="1"/>
    <col min="3843" max="3843" width="9.85546875" style="3" customWidth="1"/>
    <col min="3844" max="3845" width="9.140625" style="3" hidden="1" customWidth="1"/>
    <col min="3846" max="3846" width="9.140625" style="3"/>
    <col min="3847" max="3849" width="9.140625" style="3" hidden="1" customWidth="1"/>
    <col min="3850" max="4095" width="9.140625" style="3"/>
    <col min="4096" max="4097" width="13.5703125" style="3" customWidth="1"/>
    <col min="4098" max="4098" width="7.5703125" style="3" customWidth="1"/>
    <col min="4099" max="4099" width="9.85546875" style="3" customWidth="1"/>
    <col min="4100" max="4101" width="9.140625" style="3" hidden="1" customWidth="1"/>
    <col min="4102" max="4102" width="9.140625" style="3"/>
    <col min="4103" max="4105" width="9.140625" style="3" hidden="1" customWidth="1"/>
    <col min="4106" max="4351" width="9.140625" style="3"/>
    <col min="4352" max="4353" width="13.5703125" style="3" customWidth="1"/>
    <col min="4354" max="4354" width="7.5703125" style="3" customWidth="1"/>
    <col min="4355" max="4355" width="9.85546875" style="3" customWidth="1"/>
    <col min="4356" max="4357" width="9.140625" style="3" hidden="1" customWidth="1"/>
    <col min="4358" max="4358" width="9.140625" style="3"/>
    <col min="4359" max="4361" width="9.140625" style="3" hidden="1" customWidth="1"/>
    <col min="4362" max="4607" width="9.140625" style="3"/>
    <col min="4608" max="4609" width="13.5703125" style="3" customWidth="1"/>
    <col min="4610" max="4610" width="7.5703125" style="3" customWidth="1"/>
    <col min="4611" max="4611" width="9.85546875" style="3" customWidth="1"/>
    <col min="4612" max="4613" width="9.140625" style="3" hidden="1" customWidth="1"/>
    <col min="4614" max="4614" width="9.140625" style="3"/>
    <col min="4615" max="4617" width="9.140625" style="3" hidden="1" customWidth="1"/>
    <col min="4618" max="4863" width="9.140625" style="3"/>
    <col min="4864" max="4865" width="13.5703125" style="3" customWidth="1"/>
    <col min="4866" max="4866" width="7.5703125" style="3" customWidth="1"/>
    <col min="4867" max="4867" width="9.85546875" style="3" customWidth="1"/>
    <col min="4868" max="4869" width="9.140625" style="3" hidden="1" customWidth="1"/>
    <col min="4870" max="4870" width="9.140625" style="3"/>
    <col min="4871" max="4873" width="9.140625" style="3" hidden="1" customWidth="1"/>
    <col min="4874" max="5119" width="9.140625" style="3"/>
    <col min="5120" max="5121" width="13.5703125" style="3" customWidth="1"/>
    <col min="5122" max="5122" width="7.5703125" style="3" customWidth="1"/>
    <col min="5123" max="5123" width="9.85546875" style="3" customWidth="1"/>
    <col min="5124" max="5125" width="9.140625" style="3" hidden="1" customWidth="1"/>
    <col min="5126" max="5126" width="9.140625" style="3"/>
    <col min="5127" max="5129" width="9.140625" style="3" hidden="1" customWidth="1"/>
    <col min="5130" max="5375" width="9.140625" style="3"/>
    <col min="5376" max="5377" width="13.5703125" style="3" customWidth="1"/>
    <col min="5378" max="5378" width="7.5703125" style="3" customWidth="1"/>
    <col min="5379" max="5379" width="9.85546875" style="3" customWidth="1"/>
    <col min="5380" max="5381" width="9.140625" style="3" hidden="1" customWidth="1"/>
    <col min="5382" max="5382" width="9.140625" style="3"/>
    <col min="5383" max="5385" width="9.140625" style="3" hidden="1" customWidth="1"/>
    <col min="5386" max="5631" width="9.140625" style="3"/>
    <col min="5632" max="5633" width="13.5703125" style="3" customWidth="1"/>
    <col min="5634" max="5634" width="7.5703125" style="3" customWidth="1"/>
    <col min="5635" max="5635" width="9.85546875" style="3" customWidth="1"/>
    <col min="5636" max="5637" width="9.140625" style="3" hidden="1" customWidth="1"/>
    <col min="5638" max="5638" width="9.140625" style="3"/>
    <col min="5639" max="5641" width="9.140625" style="3" hidden="1" customWidth="1"/>
    <col min="5642" max="5887" width="9.140625" style="3"/>
    <col min="5888" max="5889" width="13.5703125" style="3" customWidth="1"/>
    <col min="5890" max="5890" width="7.5703125" style="3" customWidth="1"/>
    <col min="5891" max="5891" width="9.85546875" style="3" customWidth="1"/>
    <col min="5892" max="5893" width="9.140625" style="3" hidden="1" customWidth="1"/>
    <col min="5894" max="5894" width="9.140625" style="3"/>
    <col min="5895" max="5897" width="9.140625" style="3" hidden="1" customWidth="1"/>
    <col min="5898" max="6143" width="9.140625" style="3"/>
    <col min="6144" max="6145" width="13.5703125" style="3" customWidth="1"/>
    <col min="6146" max="6146" width="7.5703125" style="3" customWidth="1"/>
    <col min="6147" max="6147" width="9.85546875" style="3" customWidth="1"/>
    <col min="6148" max="6149" width="9.140625" style="3" hidden="1" customWidth="1"/>
    <col min="6150" max="6150" width="9.140625" style="3"/>
    <col min="6151" max="6153" width="9.140625" style="3" hidden="1" customWidth="1"/>
    <col min="6154" max="6399" width="9.140625" style="3"/>
    <col min="6400" max="6401" width="13.5703125" style="3" customWidth="1"/>
    <col min="6402" max="6402" width="7.5703125" style="3" customWidth="1"/>
    <col min="6403" max="6403" width="9.85546875" style="3" customWidth="1"/>
    <col min="6404" max="6405" width="9.140625" style="3" hidden="1" customWidth="1"/>
    <col min="6406" max="6406" width="9.140625" style="3"/>
    <col min="6407" max="6409" width="9.140625" style="3" hidden="1" customWidth="1"/>
    <col min="6410" max="6655" width="9.140625" style="3"/>
    <col min="6656" max="6657" width="13.5703125" style="3" customWidth="1"/>
    <col min="6658" max="6658" width="7.5703125" style="3" customWidth="1"/>
    <col min="6659" max="6659" width="9.85546875" style="3" customWidth="1"/>
    <col min="6660" max="6661" width="9.140625" style="3" hidden="1" customWidth="1"/>
    <col min="6662" max="6662" width="9.140625" style="3"/>
    <col min="6663" max="6665" width="9.140625" style="3" hidden="1" customWidth="1"/>
    <col min="6666" max="6911" width="9.140625" style="3"/>
    <col min="6912" max="6913" width="13.5703125" style="3" customWidth="1"/>
    <col min="6914" max="6914" width="7.5703125" style="3" customWidth="1"/>
    <col min="6915" max="6915" width="9.85546875" style="3" customWidth="1"/>
    <col min="6916" max="6917" width="9.140625" style="3" hidden="1" customWidth="1"/>
    <col min="6918" max="6918" width="9.140625" style="3"/>
    <col min="6919" max="6921" width="9.140625" style="3" hidden="1" customWidth="1"/>
    <col min="6922" max="7167" width="9.140625" style="3"/>
    <col min="7168" max="7169" width="13.5703125" style="3" customWidth="1"/>
    <col min="7170" max="7170" width="7.5703125" style="3" customWidth="1"/>
    <col min="7171" max="7171" width="9.85546875" style="3" customWidth="1"/>
    <col min="7172" max="7173" width="9.140625" style="3" hidden="1" customWidth="1"/>
    <col min="7174" max="7174" width="9.140625" style="3"/>
    <col min="7175" max="7177" width="9.140625" style="3" hidden="1" customWidth="1"/>
    <col min="7178" max="7423" width="9.140625" style="3"/>
    <col min="7424" max="7425" width="13.5703125" style="3" customWidth="1"/>
    <col min="7426" max="7426" width="7.5703125" style="3" customWidth="1"/>
    <col min="7427" max="7427" width="9.85546875" style="3" customWidth="1"/>
    <col min="7428" max="7429" width="9.140625" style="3" hidden="1" customWidth="1"/>
    <col min="7430" max="7430" width="9.140625" style="3"/>
    <col min="7431" max="7433" width="9.140625" style="3" hidden="1" customWidth="1"/>
    <col min="7434" max="7679" width="9.140625" style="3"/>
    <col min="7680" max="7681" width="13.5703125" style="3" customWidth="1"/>
    <col min="7682" max="7682" width="7.5703125" style="3" customWidth="1"/>
    <col min="7683" max="7683" width="9.85546875" style="3" customWidth="1"/>
    <col min="7684" max="7685" width="9.140625" style="3" hidden="1" customWidth="1"/>
    <col min="7686" max="7686" width="9.140625" style="3"/>
    <col min="7687" max="7689" width="9.140625" style="3" hidden="1" customWidth="1"/>
    <col min="7690" max="7935" width="9.140625" style="3"/>
    <col min="7936" max="7937" width="13.5703125" style="3" customWidth="1"/>
    <col min="7938" max="7938" width="7.5703125" style="3" customWidth="1"/>
    <col min="7939" max="7939" width="9.85546875" style="3" customWidth="1"/>
    <col min="7940" max="7941" width="9.140625" style="3" hidden="1" customWidth="1"/>
    <col min="7942" max="7942" width="9.140625" style="3"/>
    <col min="7943" max="7945" width="9.140625" style="3" hidden="1" customWidth="1"/>
    <col min="7946" max="8191" width="9.140625" style="3"/>
    <col min="8192" max="8193" width="13.5703125" style="3" customWidth="1"/>
    <col min="8194" max="8194" width="7.5703125" style="3" customWidth="1"/>
    <col min="8195" max="8195" width="9.85546875" style="3" customWidth="1"/>
    <col min="8196" max="8197" width="9.140625" style="3" hidden="1" customWidth="1"/>
    <col min="8198" max="8198" width="9.140625" style="3"/>
    <col min="8199" max="8201" width="9.140625" style="3" hidden="1" customWidth="1"/>
    <col min="8202" max="8447" width="9.140625" style="3"/>
    <col min="8448" max="8449" width="13.5703125" style="3" customWidth="1"/>
    <col min="8450" max="8450" width="7.5703125" style="3" customWidth="1"/>
    <col min="8451" max="8451" width="9.85546875" style="3" customWidth="1"/>
    <col min="8452" max="8453" width="9.140625" style="3" hidden="1" customWidth="1"/>
    <col min="8454" max="8454" width="9.140625" style="3"/>
    <col min="8455" max="8457" width="9.140625" style="3" hidden="1" customWidth="1"/>
    <col min="8458" max="8703" width="9.140625" style="3"/>
    <col min="8704" max="8705" width="13.5703125" style="3" customWidth="1"/>
    <col min="8706" max="8706" width="7.5703125" style="3" customWidth="1"/>
    <col min="8707" max="8707" width="9.85546875" style="3" customWidth="1"/>
    <col min="8708" max="8709" width="9.140625" style="3" hidden="1" customWidth="1"/>
    <col min="8710" max="8710" width="9.140625" style="3"/>
    <col min="8711" max="8713" width="9.140625" style="3" hidden="1" customWidth="1"/>
    <col min="8714" max="8959" width="9.140625" style="3"/>
    <col min="8960" max="8961" width="13.5703125" style="3" customWidth="1"/>
    <col min="8962" max="8962" width="7.5703125" style="3" customWidth="1"/>
    <col min="8963" max="8963" width="9.85546875" style="3" customWidth="1"/>
    <col min="8964" max="8965" width="9.140625" style="3" hidden="1" customWidth="1"/>
    <col min="8966" max="8966" width="9.140625" style="3"/>
    <col min="8967" max="8969" width="9.140625" style="3" hidden="1" customWidth="1"/>
    <col min="8970" max="9215" width="9.140625" style="3"/>
    <col min="9216" max="9217" width="13.5703125" style="3" customWidth="1"/>
    <col min="9218" max="9218" width="7.5703125" style="3" customWidth="1"/>
    <col min="9219" max="9219" width="9.85546875" style="3" customWidth="1"/>
    <col min="9220" max="9221" width="9.140625" style="3" hidden="1" customWidth="1"/>
    <col min="9222" max="9222" width="9.140625" style="3"/>
    <col min="9223" max="9225" width="9.140625" style="3" hidden="1" customWidth="1"/>
    <col min="9226" max="9471" width="9.140625" style="3"/>
    <col min="9472" max="9473" width="13.5703125" style="3" customWidth="1"/>
    <col min="9474" max="9474" width="7.5703125" style="3" customWidth="1"/>
    <col min="9475" max="9475" width="9.85546875" style="3" customWidth="1"/>
    <col min="9476" max="9477" width="9.140625" style="3" hidden="1" customWidth="1"/>
    <col min="9478" max="9478" width="9.140625" style="3"/>
    <col min="9479" max="9481" width="9.140625" style="3" hidden="1" customWidth="1"/>
    <col min="9482" max="9727" width="9.140625" style="3"/>
    <col min="9728" max="9729" width="13.5703125" style="3" customWidth="1"/>
    <col min="9730" max="9730" width="7.5703125" style="3" customWidth="1"/>
    <col min="9731" max="9731" width="9.85546875" style="3" customWidth="1"/>
    <col min="9732" max="9733" width="9.140625" style="3" hidden="1" customWidth="1"/>
    <col min="9734" max="9734" width="9.140625" style="3"/>
    <col min="9735" max="9737" width="9.140625" style="3" hidden="1" customWidth="1"/>
    <col min="9738" max="9983" width="9.140625" style="3"/>
    <col min="9984" max="9985" width="13.5703125" style="3" customWidth="1"/>
    <col min="9986" max="9986" width="7.5703125" style="3" customWidth="1"/>
    <col min="9987" max="9987" width="9.85546875" style="3" customWidth="1"/>
    <col min="9988" max="9989" width="9.140625" style="3" hidden="1" customWidth="1"/>
    <col min="9990" max="9990" width="9.140625" style="3"/>
    <col min="9991" max="9993" width="9.140625" style="3" hidden="1" customWidth="1"/>
    <col min="9994" max="10239" width="9.140625" style="3"/>
    <col min="10240" max="10241" width="13.5703125" style="3" customWidth="1"/>
    <col min="10242" max="10242" width="7.5703125" style="3" customWidth="1"/>
    <col min="10243" max="10243" width="9.85546875" style="3" customWidth="1"/>
    <col min="10244" max="10245" width="9.140625" style="3" hidden="1" customWidth="1"/>
    <col min="10246" max="10246" width="9.140625" style="3"/>
    <col min="10247" max="10249" width="9.140625" style="3" hidden="1" customWidth="1"/>
    <col min="10250" max="10495" width="9.140625" style="3"/>
    <col min="10496" max="10497" width="13.5703125" style="3" customWidth="1"/>
    <col min="10498" max="10498" width="7.5703125" style="3" customWidth="1"/>
    <col min="10499" max="10499" width="9.85546875" style="3" customWidth="1"/>
    <col min="10500" max="10501" width="9.140625" style="3" hidden="1" customWidth="1"/>
    <col min="10502" max="10502" width="9.140625" style="3"/>
    <col min="10503" max="10505" width="9.140625" style="3" hidden="1" customWidth="1"/>
    <col min="10506" max="10751" width="9.140625" style="3"/>
    <col min="10752" max="10753" width="13.5703125" style="3" customWidth="1"/>
    <col min="10754" max="10754" width="7.5703125" style="3" customWidth="1"/>
    <col min="10755" max="10755" width="9.85546875" style="3" customWidth="1"/>
    <col min="10756" max="10757" width="9.140625" style="3" hidden="1" customWidth="1"/>
    <col min="10758" max="10758" width="9.140625" style="3"/>
    <col min="10759" max="10761" width="9.140625" style="3" hidden="1" customWidth="1"/>
    <col min="10762" max="11007" width="9.140625" style="3"/>
    <col min="11008" max="11009" width="13.5703125" style="3" customWidth="1"/>
    <col min="11010" max="11010" width="7.5703125" style="3" customWidth="1"/>
    <col min="11011" max="11011" width="9.85546875" style="3" customWidth="1"/>
    <col min="11012" max="11013" width="9.140625" style="3" hidden="1" customWidth="1"/>
    <col min="11014" max="11014" width="9.140625" style="3"/>
    <col min="11015" max="11017" width="9.140625" style="3" hidden="1" customWidth="1"/>
    <col min="11018" max="11263" width="9.140625" style="3"/>
    <col min="11264" max="11265" width="13.5703125" style="3" customWidth="1"/>
    <col min="11266" max="11266" width="7.5703125" style="3" customWidth="1"/>
    <col min="11267" max="11267" width="9.85546875" style="3" customWidth="1"/>
    <col min="11268" max="11269" width="9.140625" style="3" hidden="1" customWidth="1"/>
    <col min="11270" max="11270" width="9.140625" style="3"/>
    <col min="11271" max="11273" width="9.140625" style="3" hidden="1" customWidth="1"/>
    <col min="11274" max="11519" width="9.140625" style="3"/>
    <col min="11520" max="11521" width="13.5703125" style="3" customWidth="1"/>
    <col min="11522" max="11522" width="7.5703125" style="3" customWidth="1"/>
    <col min="11523" max="11523" width="9.85546875" style="3" customWidth="1"/>
    <col min="11524" max="11525" width="9.140625" style="3" hidden="1" customWidth="1"/>
    <col min="11526" max="11526" width="9.140625" style="3"/>
    <col min="11527" max="11529" width="9.140625" style="3" hidden="1" customWidth="1"/>
    <col min="11530" max="11775" width="9.140625" style="3"/>
    <col min="11776" max="11777" width="13.5703125" style="3" customWidth="1"/>
    <col min="11778" max="11778" width="7.5703125" style="3" customWidth="1"/>
    <col min="11779" max="11779" width="9.85546875" style="3" customWidth="1"/>
    <col min="11780" max="11781" width="9.140625" style="3" hidden="1" customWidth="1"/>
    <col min="11782" max="11782" width="9.140625" style="3"/>
    <col min="11783" max="11785" width="9.140625" style="3" hidden="1" customWidth="1"/>
    <col min="11786" max="12031" width="9.140625" style="3"/>
    <col min="12032" max="12033" width="13.5703125" style="3" customWidth="1"/>
    <col min="12034" max="12034" width="7.5703125" style="3" customWidth="1"/>
    <col min="12035" max="12035" width="9.85546875" style="3" customWidth="1"/>
    <col min="12036" max="12037" width="9.140625" style="3" hidden="1" customWidth="1"/>
    <col min="12038" max="12038" width="9.140625" style="3"/>
    <col min="12039" max="12041" width="9.140625" style="3" hidden="1" customWidth="1"/>
    <col min="12042" max="12287" width="9.140625" style="3"/>
    <col min="12288" max="12289" width="13.5703125" style="3" customWidth="1"/>
    <col min="12290" max="12290" width="7.5703125" style="3" customWidth="1"/>
    <col min="12291" max="12291" width="9.85546875" style="3" customWidth="1"/>
    <col min="12292" max="12293" width="9.140625" style="3" hidden="1" customWidth="1"/>
    <col min="12294" max="12294" width="9.140625" style="3"/>
    <col min="12295" max="12297" width="9.140625" style="3" hidden="1" customWidth="1"/>
    <col min="12298" max="12543" width="9.140625" style="3"/>
    <col min="12544" max="12545" width="13.5703125" style="3" customWidth="1"/>
    <col min="12546" max="12546" width="7.5703125" style="3" customWidth="1"/>
    <col min="12547" max="12547" width="9.85546875" style="3" customWidth="1"/>
    <col min="12548" max="12549" width="9.140625" style="3" hidden="1" customWidth="1"/>
    <col min="12550" max="12550" width="9.140625" style="3"/>
    <col min="12551" max="12553" width="9.140625" style="3" hidden="1" customWidth="1"/>
    <col min="12554" max="12799" width="9.140625" style="3"/>
    <col min="12800" max="12801" width="13.5703125" style="3" customWidth="1"/>
    <col min="12802" max="12802" width="7.5703125" style="3" customWidth="1"/>
    <col min="12803" max="12803" width="9.85546875" style="3" customWidth="1"/>
    <col min="12804" max="12805" width="9.140625" style="3" hidden="1" customWidth="1"/>
    <col min="12806" max="12806" width="9.140625" style="3"/>
    <col min="12807" max="12809" width="9.140625" style="3" hidden="1" customWidth="1"/>
    <col min="12810" max="13055" width="9.140625" style="3"/>
    <col min="13056" max="13057" width="13.5703125" style="3" customWidth="1"/>
    <col min="13058" max="13058" width="7.5703125" style="3" customWidth="1"/>
    <col min="13059" max="13059" width="9.85546875" style="3" customWidth="1"/>
    <col min="13060" max="13061" width="9.140625" style="3" hidden="1" customWidth="1"/>
    <col min="13062" max="13062" width="9.140625" style="3"/>
    <col min="13063" max="13065" width="9.140625" style="3" hidden="1" customWidth="1"/>
    <col min="13066" max="13311" width="9.140625" style="3"/>
    <col min="13312" max="13313" width="13.5703125" style="3" customWidth="1"/>
    <col min="13314" max="13314" width="7.5703125" style="3" customWidth="1"/>
    <col min="13315" max="13315" width="9.85546875" style="3" customWidth="1"/>
    <col min="13316" max="13317" width="9.140625" style="3" hidden="1" customWidth="1"/>
    <col min="13318" max="13318" width="9.140625" style="3"/>
    <col min="13319" max="13321" width="9.140625" style="3" hidden="1" customWidth="1"/>
    <col min="13322" max="13567" width="9.140625" style="3"/>
    <col min="13568" max="13569" width="13.5703125" style="3" customWidth="1"/>
    <col min="13570" max="13570" width="7.5703125" style="3" customWidth="1"/>
    <col min="13571" max="13571" width="9.85546875" style="3" customWidth="1"/>
    <col min="13572" max="13573" width="9.140625" style="3" hidden="1" customWidth="1"/>
    <col min="13574" max="13574" width="9.140625" style="3"/>
    <col min="13575" max="13577" width="9.140625" style="3" hidden="1" customWidth="1"/>
    <col min="13578" max="13823" width="9.140625" style="3"/>
    <col min="13824" max="13825" width="13.5703125" style="3" customWidth="1"/>
    <col min="13826" max="13826" width="7.5703125" style="3" customWidth="1"/>
    <col min="13827" max="13827" width="9.85546875" style="3" customWidth="1"/>
    <col min="13828" max="13829" width="9.140625" style="3" hidden="1" customWidth="1"/>
    <col min="13830" max="13830" width="9.140625" style="3"/>
    <col min="13831" max="13833" width="9.140625" style="3" hidden="1" customWidth="1"/>
    <col min="13834" max="14079" width="9.140625" style="3"/>
    <col min="14080" max="14081" width="13.5703125" style="3" customWidth="1"/>
    <col min="14082" max="14082" width="7.5703125" style="3" customWidth="1"/>
    <col min="14083" max="14083" width="9.85546875" style="3" customWidth="1"/>
    <col min="14084" max="14085" width="9.140625" style="3" hidden="1" customWidth="1"/>
    <col min="14086" max="14086" width="9.140625" style="3"/>
    <col min="14087" max="14089" width="9.140625" style="3" hidden="1" customWidth="1"/>
    <col min="14090" max="14335" width="9.140625" style="3"/>
    <col min="14336" max="14337" width="13.5703125" style="3" customWidth="1"/>
    <col min="14338" max="14338" width="7.5703125" style="3" customWidth="1"/>
    <col min="14339" max="14339" width="9.85546875" style="3" customWidth="1"/>
    <col min="14340" max="14341" width="9.140625" style="3" hidden="1" customWidth="1"/>
    <col min="14342" max="14342" width="9.140625" style="3"/>
    <col min="14343" max="14345" width="9.140625" style="3" hidden="1" customWidth="1"/>
    <col min="14346" max="14591" width="9.140625" style="3"/>
    <col min="14592" max="14593" width="13.5703125" style="3" customWidth="1"/>
    <col min="14594" max="14594" width="7.5703125" style="3" customWidth="1"/>
    <col min="14595" max="14595" width="9.85546875" style="3" customWidth="1"/>
    <col min="14596" max="14597" width="9.140625" style="3" hidden="1" customWidth="1"/>
    <col min="14598" max="14598" width="9.140625" style="3"/>
    <col min="14599" max="14601" width="9.140625" style="3" hidden="1" customWidth="1"/>
    <col min="14602" max="14847" width="9.140625" style="3"/>
    <col min="14848" max="14849" width="13.5703125" style="3" customWidth="1"/>
    <col min="14850" max="14850" width="7.5703125" style="3" customWidth="1"/>
    <col min="14851" max="14851" width="9.85546875" style="3" customWidth="1"/>
    <col min="14852" max="14853" width="9.140625" style="3" hidden="1" customWidth="1"/>
    <col min="14854" max="14854" width="9.140625" style="3"/>
    <col min="14855" max="14857" width="9.140625" style="3" hidden="1" customWidth="1"/>
    <col min="14858" max="15103" width="9.140625" style="3"/>
    <col min="15104" max="15105" width="13.5703125" style="3" customWidth="1"/>
    <col min="15106" max="15106" width="7.5703125" style="3" customWidth="1"/>
    <col min="15107" max="15107" width="9.85546875" style="3" customWidth="1"/>
    <col min="15108" max="15109" width="9.140625" style="3" hidden="1" customWidth="1"/>
    <col min="15110" max="15110" width="9.140625" style="3"/>
    <col min="15111" max="15113" width="9.140625" style="3" hidden="1" customWidth="1"/>
    <col min="15114" max="15359" width="9.140625" style="3"/>
    <col min="15360" max="15361" width="13.5703125" style="3" customWidth="1"/>
    <col min="15362" max="15362" width="7.5703125" style="3" customWidth="1"/>
    <col min="15363" max="15363" width="9.85546875" style="3" customWidth="1"/>
    <col min="15364" max="15365" width="9.140625" style="3" hidden="1" customWidth="1"/>
    <col min="15366" max="15366" width="9.140625" style="3"/>
    <col min="15367" max="15369" width="9.140625" style="3" hidden="1" customWidth="1"/>
    <col min="15370" max="15615" width="9.140625" style="3"/>
    <col min="15616" max="15617" width="13.5703125" style="3" customWidth="1"/>
    <col min="15618" max="15618" width="7.5703125" style="3" customWidth="1"/>
    <col min="15619" max="15619" width="9.85546875" style="3" customWidth="1"/>
    <col min="15620" max="15621" width="9.140625" style="3" hidden="1" customWidth="1"/>
    <col min="15622" max="15622" width="9.140625" style="3"/>
    <col min="15623" max="15625" width="9.140625" style="3" hidden="1" customWidth="1"/>
    <col min="15626" max="15871" width="9.140625" style="3"/>
    <col min="15872" max="15873" width="13.5703125" style="3" customWidth="1"/>
    <col min="15874" max="15874" width="7.5703125" style="3" customWidth="1"/>
    <col min="15875" max="15875" width="9.85546875" style="3" customWidth="1"/>
    <col min="15876" max="15877" width="9.140625" style="3" hidden="1" customWidth="1"/>
    <col min="15878" max="15878" width="9.140625" style="3"/>
    <col min="15879" max="15881" width="9.140625" style="3" hidden="1" customWidth="1"/>
    <col min="15882" max="16127" width="9.140625" style="3"/>
    <col min="16128" max="16129" width="13.5703125" style="3" customWidth="1"/>
    <col min="16130" max="16130" width="7.5703125" style="3" customWidth="1"/>
    <col min="16131" max="16131" width="9.85546875" style="3" customWidth="1"/>
    <col min="16132" max="16133" width="9.140625" style="3" hidden="1" customWidth="1"/>
    <col min="16134" max="16134" width="9.140625" style="3"/>
    <col min="16135" max="16137" width="9.140625" style="3" hidden="1" customWidth="1"/>
    <col min="16138" max="16384" width="9.140625" style="3"/>
  </cols>
  <sheetData>
    <row r="1" spans="1:9" s="49" customFormat="1" ht="14.25" x14ac:dyDescent="0.25">
      <c r="A1" s="43" t="s">
        <v>2291</v>
      </c>
      <c r="B1" s="43" t="s">
        <v>2286</v>
      </c>
      <c r="C1" s="43" t="s">
        <v>2287</v>
      </c>
      <c r="D1" s="43"/>
      <c r="E1" s="43"/>
      <c r="G1" s="43"/>
      <c r="H1" s="43"/>
      <c r="I1" s="43"/>
    </row>
    <row r="2" spans="1:9" x14ac:dyDescent="0.25">
      <c r="A2" s="297">
        <v>0.3</v>
      </c>
      <c r="B2" s="45">
        <v>63.59</v>
      </c>
      <c r="C2" s="45">
        <v>67.2</v>
      </c>
      <c r="D2" s="45"/>
      <c r="E2" s="45"/>
      <c r="F2" s="45"/>
      <c r="G2" s="51"/>
      <c r="H2" s="51"/>
      <c r="I2" s="51"/>
    </row>
    <row r="3" spans="1:9" x14ac:dyDescent="0.25">
      <c r="A3" s="297">
        <v>0.248</v>
      </c>
      <c r="B3" s="45">
        <v>63.58</v>
      </c>
      <c r="C3" s="45">
        <v>62.4</v>
      </c>
      <c r="D3" s="45"/>
      <c r="E3" s="45"/>
      <c r="F3" s="45"/>
      <c r="G3" s="51"/>
      <c r="H3" s="51"/>
      <c r="I3" s="51"/>
    </row>
    <row r="4" spans="1:9" x14ac:dyDescent="0.25">
      <c r="A4" s="297">
        <v>0.19900000000000001</v>
      </c>
      <c r="B4" s="45">
        <v>63.3</v>
      </c>
      <c r="C4" s="45">
        <v>57.5</v>
      </c>
      <c r="D4" s="45"/>
      <c r="E4" s="45"/>
      <c r="F4" s="45"/>
      <c r="G4" s="51"/>
      <c r="H4" s="51"/>
      <c r="I4" s="51"/>
    </row>
    <row r="5" spans="1:9" x14ac:dyDescent="0.25">
      <c r="A5" s="297">
        <v>0.14899999999999999</v>
      </c>
      <c r="B5" s="45">
        <v>62.9</v>
      </c>
      <c r="C5" s="45">
        <v>52.2</v>
      </c>
      <c r="D5" s="45"/>
      <c r="E5" s="45"/>
      <c r="F5" s="45"/>
      <c r="G5" s="51"/>
      <c r="H5" s="51"/>
      <c r="I5" s="51"/>
    </row>
    <row r="6" spans="1:9" x14ac:dyDescent="0.25">
      <c r="A6" s="297">
        <v>0.1</v>
      </c>
      <c r="B6" s="45">
        <v>62.37</v>
      </c>
      <c r="C6" s="45">
        <v>46.6</v>
      </c>
      <c r="D6" s="45"/>
      <c r="E6" s="45"/>
      <c r="F6" s="45"/>
      <c r="G6" s="51"/>
      <c r="H6" s="51"/>
      <c r="I6" s="51"/>
    </row>
    <row r="7" spans="1:9" x14ac:dyDescent="0.25">
      <c r="A7" s="297">
        <v>0.05</v>
      </c>
      <c r="B7" s="45">
        <v>61.51</v>
      </c>
      <c r="C7" s="45">
        <v>40.700000000000003</v>
      </c>
      <c r="D7" s="45"/>
      <c r="E7" s="45"/>
      <c r="F7" s="45"/>
      <c r="G7" s="51"/>
      <c r="H7" s="51"/>
      <c r="I7" s="51"/>
    </row>
    <row r="8" spans="1:9" x14ac:dyDescent="0.25">
      <c r="A8" s="297">
        <v>0.01</v>
      </c>
      <c r="B8" s="45">
        <v>60.41</v>
      </c>
      <c r="C8" s="45">
        <v>35.799999999999997</v>
      </c>
      <c r="D8" s="45"/>
      <c r="E8" s="45"/>
      <c r="F8" s="45"/>
      <c r="G8" s="51"/>
      <c r="H8" s="51"/>
      <c r="I8" s="51"/>
    </row>
    <row r="9" spans="1:9" x14ac:dyDescent="0.25">
      <c r="A9" s="50"/>
      <c r="B9" s="45"/>
      <c r="C9" s="45"/>
      <c r="D9" s="45"/>
      <c r="E9" s="45"/>
      <c r="F9" s="45"/>
      <c r="G9" s="51"/>
      <c r="H9" s="51"/>
      <c r="I9" s="51"/>
    </row>
    <row r="10" spans="1:9" x14ac:dyDescent="0.25">
      <c r="A10" s="50"/>
      <c r="B10" s="45"/>
      <c r="C10" s="45"/>
      <c r="D10" s="45"/>
      <c r="E10" s="45"/>
      <c r="F10" s="45"/>
      <c r="G10" s="51"/>
      <c r="H10" s="51"/>
      <c r="I10" s="51"/>
    </row>
    <row r="11" spans="1:9" x14ac:dyDescent="0.25">
      <c r="A11" s="50"/>
      <c r="B11" s="45"/>
      <c r="C11" s="45"/>
      <c r="D11" s="45"/>
      <c r="E11" s="45"/>
      <c r="F11" s="45"/>
      <c r="G11" s="51"/>
      <c r="H11" s="51"/>
      <c r="I11" s="51"/>
    </row>
    <row r="12" spans="1:9" x14ac:dyDescent="0.25">
      <c r="A12" s="50"/>
      <c r="B12" s="45"/>
      <c r="C12" s="45"/>
      <c r="D12" s="45"/>
      <c r="E12" s="45"/>
      <c r="F12" s="45"/>
      <c r="G12" s="51"/>
      <c r="H12" s="51"/>
      <c r="I12" s="51"/>
    </row>
    <row r="13" spans="1:9" x14ac:dyDescent="0.25">
      <c r="A13" s="50"/>
      <c r="B13" s="45"/>
      <c r="C13" s="45"/>
      <c r="D13" s="45"/>
      <c r="E13" s="45"/>
      <c r="F13" s="45"/>
      <c r="G13" s="51"/>
      <c r="H13" s="51"/>
      <c r="I13" s="51"/>
    </row>
    <row r="14" spans="1:9" x14ac:dyDescent="0.25">
      <c r="A14" s="50"/>
      <c r="B14" s="45"/>
      <c r="C14" s="45"/>
      <c r="D14" s="45"/>
      <c r="E14" s="45"/>
      <c r="F14" s="45"/>
      <c r="G14" s="51"/>
      <c r="H14" s="51"/>
      <c r="I14" s="51"/>
    </row>
    <row r="15" spans="1:9" x14ac:dyDescent="0.25">
      <c r="A15" s="50"/>
      <c r="B15" s="45"/>
      <c r="C15" s="45"/>
      <c r="D15" s="45"/>
      <c r="E15" s="45"/>
      <c r="F15" s="45"/>
      <c r="G15" s="51"/>
      <c r="H15" s="51"/>
      <c r="I15" s="51"/>
    </row>
    <row r="16" spans="1:9" x14ac:dyDescent="0.25">
      <c r="A16" s="50"/>
      <c r="B16" s="45"/>
      <c r="C16" s="45"/>
      <c r="D16" s="45"/>
      <c r="E16" s="45"/>
      <c r="F16" s="45"/>
      <c r="G16" s="51"/>
      <c r="H16" s="51"/>
      <c r="I16" s="51"/>
    </row>
    <row r="17" spans="1:10" x14ac:dyDescent="0.25">
      <c r="A17" s="50"/>
      <c r="B17" s="45"/>
      <c r="C17" s="45"/>
      <c r="D17" s="45"/>
      <c r="E17" s="45"/>
      <c r="F17" s="45"/>
      <c r="G17" s="51"/>
      <c r="H17" s="51"/>
      <c r="I17" s="51"/>
    </row>
    <row r="18" spans="1:10" x14ac:dyDescent="0.25">
      <c r="A18" s="50"/>
      <c r="B18" s="45"/>
      <c r="C18" s="45"/>
      <c r="D18" s="45"/>
      <c r="E18" s="45"/>
      <c r="F18" s="45"/>
      <c r="G18" s="51"/>
      <c r="H18" s="51"/>
      <c r="I18" s="51"/>
    </row>
    <row r="19" spans="1:10" x14ac:dyDescent="0.25">
      <c r="A19" s="50"/>
      <c r="B19" s="45"/>
      <c r="C19" s="45"/>
      <c r="D19" s="45"/>
      <c r="E19" s="45"/>
      <c r="F19" s="45"/>
      <c r="G19" s="51"/>
      <c r="H19" s="51"/>
      <c r="I19" s="51"/>
    </row>
    <row r="20" spans="1:10" x14ac:dyDescent="0.25">
      <c r="A20" s="50"/>
      <c r="B20" s="45"/>
      <c r="C20" s="45"/>
      <c r="D20" s="45"/>
      <c r="E20" s="45"/>
      <c r="F20" s="45"/>
      <c r="G20" s="51"/>
      <c r="H20" s="51"/>
      <c r="I20" s="51"/>
    </row>
    <row r="21" spans="1:10" x14ac:dyDescent="0.25">
      <c r="A21" s="50"/>
      <c r="B21" s="45"/>
      <c r="C21" s="45"/>
      <c r="D21" s="45"/>
      <c r="E21" s="45"/>
      <c r="F21" s="45"/>
      <c r="G21" s="51"/>
      <c r="H21" s="51"/>
      <c r="I21" s="51"/>
    </row>
    <row r="22" spans="1:10" x14ac:dyDescent="0.25">
      <c r="A22" s="50"/>
      <c r="B22" s="45"/>
      <c r="C22" s="45"/>
      <c r="D22" s="45"/>
      <c r="E22" s="45"/>
      <c r="F22" s="45"/>
      <c r="G22" s="51"/>
      <c r="H22" s="51"/>
      <c r="I22" s="51"/>
    </row>
    <row r="23" spans="1:10" x14ac:dyDescent="0.25">
      <c r="A23" s="50"/>
      <c r="B23" s="45"/>
      <c r="C23" s="45"/>
      <c r="D23" s="45"/>
      <c r="E23" s="45"/>
      <c r="F23" s="45"/>
      <c r="G23" s="51"/>
      <c r="H23" s="51"/>
      <c r="I23" s="51"/>
    </row>
    <row r="24" spans="1:10" x14ac:dyDescent="0.25">
      <c r="A24" s="50"/>
      <c r="B24" s="45"/>
      <c r="C24" s="45"/>
      <c r="D24" s="45"/>
      <c r="E24" s="45"/>
      <c r="F24" s="45"/>
      <c r="G24" s="51"/>
      <c r="H24" s="51"/>
      <c r="I24" s="51"/>
    </row>
    <row r="25" spans="1:10" x14ac:dyDescent="0.25">
      <c r="A25" s="50"/>
      <c r="B25" s="45"/>
      <c r="C25" s="45"/>
      <c r="D25" s="45"/>
      <c r="E25" s="45"/>
      <c r="F25" s="45"/>
      <c r="G25" s="51"/>
      <c r="H25" s="51"/>
      <c r="I25" s="51"/>
    </row>
    <row r="26" spans="1:10" ht="60" x14ac:dyDescent="0.25">
      <c r="J26" s="46" t="s">
        <v>1206</v>
      </c>
    </row>
  </sheetData>
  <customSheetViews>
    <customSheetView guid="{679A3195-3DEA-4AC2-A535-82AAF5B552BC}" hiddenColumns="1" state="hidden">
      <selection activeCell="C3" sqref="C3"/>
      <pageMargins left="0.75" right="0.75" top="1" bottom="1" header="0.5" footer="0.5"/>
      <pageSetup orientation="portrait" verticalDpi="1200" r:id="rId1"/>
      <headerFooter alignWithMargins="0"/>
    </customSheetView>
    <customSheetView guid="{7378B641-E8D1-4C14-8151-CF4CE159D121}" hiddenColumns="1">
      <selection activeCell="F10" sqref="F10"/>
      <pageMargins left="0.75" right="0.75" top="1" bottom="1" header="0.5" footer="0.5"/>
      <pageSetup orientation="portrait" verticalDpi="1200" r:id="rId2"/>
      <headerFooter alignWithMargins="0"/>
    </customSheetView>
    <customSheetView guid="{6D63B10B-E1E6-452A-80EB-4B2C7D61CF66}" hiddenColumns="1" state="hidden">
      <selection activeCell="C3" sqref="C3"/>
      <pageMargins left="0.75" right="0.75" top="1" bottom="1" header="0.5" footer="0.5"/>
      <pageSetup orientation="portrait" verticalDpi="1200" r:id="rId3"/>
      <headerFooter alignWithMargins="0"/>
    </customSheetView>
  </customSheetViews>
  <pageMargins left="0.75" right="0.75" top="1" bottom="1" header="0.5" footer="0.5"/>
  <pageSetup orientation="portrait" verticalDpi="1200" r:id="rId4"/>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A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6384" width="9.140625" style="3"/>
  </cols>
  <sheetData>
    <row r="1" spans="1:27" ht="24" customHeight="1" x14ac:dyDescent="0.25">
      <c r="A1" s="3" t="s">
        <v>26</v>
      </c>
      <c r="B1" s="4" t="s">
        <v>2292</v>
      </c>
      <c r="C1" s="535" t="s">
        <v>3058</v>
      </c>
      <c r="D1" s="37" t="str">
        <f>B1</f>
        <v>Site 1-1057 Monthly kWh Comparison</v>
      </c>
    </row>
    <row r="2" spans="1:27" x14ac:dyDescent="0.25">
      <c r="A2" s="3" t="s">
        <v>20</v>
      </c>
      <c r="B2" s="4" t="s">
        <v>58</v>
      </c>
      <c r="C2" s="536" t="s">
        <v>3059</v>
      </c>
    </row>
    <row r="3" spans="1:27" x14ac:dyDescent="0.25">
      <c r="A3" s="3" t="s">
        <v>1184</v>
      </c>
      <c r="B3" s="2" t="s">
        <v>3140</v>
      </c>
      <c r="C3" s="536" t="s">
        <v>1193</v>
      </c>
      <c r="D3" s="733"/>
      <c r="E3" s="733"/>
      <c r="F3" s="733"/>
      <c r="G3" s="733"/>
      <c r="H3" s="733"/>
      <c r="I3" s="733"/>
      <c r="J3" s="733"/>
      <c r="K3" s="733"/>
      <c r="L3" s="733"/>
      <c r="M3" s="733"/>
      <c r="N3" s="733"/>
      <c r="O3" s="733"/>
    </row>
    <row r="4" spans="1:27" ht="15" customHeight="1" x14ac:dyDescent="0.25">
      <c r="B4" s="4"/>
      <c r="C4" s="4"/>
      <c r="D4" s="3" t="s">
        <v>61</v>
      </c>
      <c r="P4" s="737"/>
      <c r="Q4" s="48"/>
      <c r="R4" s="48"/>
      <c r="S4" s="48"/>
      <c r="T4" s="48"/>
      <c r="U4" s="48"/>
      <c r="V4" s="48"/>
      <c r="W4" s="48"/>
      <c r="X4" s="48"/>
      <c r="Y4" s="48"/>
      <c r="Z4" s="48"/>
      <c r="AA4" s="48"/>
    </row>
    <row r="5" spans="1:27" x14ac:dyDescent="0.25">
      <c r="B5" s="4"/>
      <c r="C5" s="4"/>
      <c r="P5" s="737"/>
    </row>
    <row r="6" spans="1:27" x14ac:dyDescent="0.25">
      <c r="P6" s="737"/>
    </row>
    <row r="7" spans="1:27" x14ac:dyDescent="0.25">
      <c r="P7" s="737"/>
    </row>
    <row r="8" spans="1:27" x14ac:dyDescent="0.25">
      <c r="P8" s="737"/>
    </row>
    <row r="9" spans="1:27" x14ac:dyDescent="0.25">
      <c r="P9" s="737"/>
    </row>
    <row r="10" spans="1:27" x14ac:dyDescent="0.25">
      <c r="P10" s="737"/>
    </row>
    <row r="11" spans="1:27" x14ac:dyDescent="0.25">
      <c r="P11" s="737"/>
    </row>
    <row r="12" spans="1:27" x14ac:dyDescent="0.25">
      <c r="P12" s="737"/>
    </row>
    <row r="13" spans="1:27" x14ac:dyDescent="0.25">
      <c r="P13" s="737"/>
    </row>
    <row r="14" spans="1:27" x14ac:dyDescent="0.25">
      <c r="P14" s="737"/>
    </row>
    <row r="15" spans="1:27" x14ac:dyDescent="0.25">
      <c r="P15" s="737"/>
    </row>
    <row r="16" spans="1:27" x14ac:dyDescent="0.25">
      <c r="P16" s="737"/>
    </row>
    <row r="17" spans="16:16" x14ac:dyDescent="0.25">
      <c r="P17" s="737"/>
    </row>
    <row r="18" spans="16:16" x14ac:dyDescent="0.25">
      <c r="P18" s="737"/>
    </row>
    <row r="19" spans="16:16" x14ac:dyDescent="0.25">
      <c r="P19" s="737"/>
    </row>
    <row r="20" spans="16:16" x14ac:dyDescent="0.25">
      <c r="P20" s="737"/>
    </row>
    <row r="21" spans="16:16" x14ac:dyDescent="0.25">
      <c r="P21" s="737"/>
    </row>
    <row r="22" spans="16:16" x14ac:dyDescent="0.25">
      <c r="P22" s="737"/>
    </row>
    <row r="23" spans="16:16" x14ac:dyDescent="0.25">
      <c r="P23" s="737"/>
    </row>
    <row r="24" spans="16:16" x14ac:dyDescent="0.25">
      <c r="P24" s="737"/>
    </row>
    <row r="25" spans="16:16" x14ac:dyDescent="0.25">
      <c r="P25" s="737"/>
    </row>
    <row r="26" spans="16:16" x14ac:dyDescent="0.25">
      <c r="P26" s="737"/>
    </row>
    <row r="27" spans="16:16" x14ac:dyDescent="0.25">
      <c r="P27" s="737"/>
    </row>
    <row r="28" spans="16:16" x14ac:dyDescent="0.25">
      <c r="P28" s="737"/>
    </row>
    <row r="29" spans="16:16" x14ac:dyDescent="0.25">
      <c r="P29" s="737"/>
    </row>
    <row r="30" spans="16:16" x14ac:dyDescent="0.25">
      <c r="P30" s="737"/>
    </row>
    <row r="31" spans="16:16" x14ac:dyDescent="0.25">
      <c r="P31" s="737"/>
    </row>
    <row r="33" spans="4:4" x14ac:dyDescent="0.25">
      <c r="D33" s="37"/>
    </row>
  </sheetData>
  <customSheetViews>
    <customSheetView guid="{679A3195-3DEA-4AC2-A535-82AAF5B552BC}" fitToPage="1" hiddenColumns="1" topLeftCell="C1">
      <selection activeCell="C3" sqref="C3"/>
      <pageMargins left="0.7" right="0.7" top="0.75" bottom="0.75" header="0.3" footer="0.3"/>
      <pageSetup scale="67" orientation="landscape" horizontalDpi="4294967293" verticalDpi="4294967293" r:id="rId1"/>
    </customSheetView>
    <customSheetView guid="{7378B641-E8D1-4C14-8151-CF4CE159D121}" fitToPage="1" hiddenColumns="1" topLeftCell="C1">
      <selection activeCell="D33" sqref="D33:D35"/>
      <pageMargins left="0.7" right="0.7" top="0.75" bottom="0.75" header="0.3" footer="0.3"/>
      <pageSetup scale="67" orientation="landscape" horizontalDpi="4294967293" verticalDpi="4294967293" r:id="rId2"/>
    </customSheetView>
    <customSheetView guid="{6D63B10B-E1E6-452A-80EB-4B2C7D61CF66}" fitToPage="1" hiddenColumns="1" topLeftCell="C1">
      <selection activeCell="C3" sqref="C3"/>
      <pageMargins left="0.7" right="0.7" top="0.75" bottom="0.75" header="0.3" footer="0.3"/>
      <pageSetup scale="67" orientation="landscape" horizontalDpi="4294967293" verticalDpi="4294967293" r:id="rId3"/>
    </customSheetView>
  </customSheetViews>
  <mergeCells count="2">
    <mergeCell ref="D3:O3"/>
    <mergeCell ref="P4:P31"/>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scale="67" orientation="landscape" horizontalDpi="4294967293" verticalDpi="4294967293" r:id="rId4"/>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E14"/>
  <sheetViews>
    <sheetView workbookViewId="0">
      <selection activeCell="C3" sqref="C3"/>
    </sheetView>
  </sheetViews>
  <sheetFormatPr defaultRowHeight="15" x14ac:dyDescent="0.25"/>
  <cols>
    <col min="1" max="1" width="10.85546875" style="3" bestFit="1" customWidth="1"/>
    <col min="2" max="3" width="7.28515625" style="3" bestFit="1" customWidth="1"/>
    <col min="4" max="4" width="7.28515625" style="3" customWidth="1"/>
    <col min="5" max="5" width="53.42578125" style="3" customWidth="1"/>
    <col min="6" max="241" width="9.140625" style="3"/>
    <col min="242" max="242" width="17.85546875" style="3" customWidth="1"/>
    <col min="243" max="497" width="9.140625" style="3"/>
    <col min="498" max="498" width="17.85546875" style="3" customWidth="1"/>
    <col min="499" max="753" width="9.140625" style="3"/>
    <col min="754" max="754" width="17.85546875" style="3" customWidth="1"/>
    <col min="755" max="1009" width="9.140625" style="3"/>
    <col min="1010" max="1010" width="17.85546875" style="3" customWidth="1"/>
    <col min="1011" max="1265" width="9.140625" style="3"/>
    <col min="1266" max="1266" width="17.85546875" style="3" customWidth="1"/>
    <col min="1267" max="1521" width="9.140625" style="3"/>
    <col min="1522" max="1522" width="17.85546875" style="3" customWidth="1"/>
    <col min="1523" max="1777" width="9.140625" style="3"/>
    <col min="1778" max="1778" width="17.85546875" style="3" customWidth="1"/>
    <col min="1779" max="2033" width="9.140625" style="3"/>
    <col min="2034" max="2034" width="17.85546875" style="3" customWidth="1"/>
    <col min="2035" max="2289" width="9.140625" style="3"/>
    <col min="2290" max="2290" width="17.85546875" style="3" customWidth="1"/>
    <col min="2291" max="2545" width="9.140625" style="3"/>
    <col min="2546" max="2546" width="17.85546875" style="3" customWidth="1"/>
    <col min="2547" max="2801" width="9.140625" style="3"/>
    <col min="2802" max="2802" width="17.85546875" style="3" customWidth="1"/>
    <col min="2803" max="3057" width="9.140625" style="3"/>
    <col min="3058" max="3058" width="17.85546875" style="3" customWidth="1"/>
    <col min="3059" max="3313" width="9.140625" style="3"/>
    <col min="3314" max="3314" width="17.85546875" style="3" customWidth="1"/>
    <col min="3315" max="3569" width="9.140625" style="3"/>
    <col min="3570" max="3570" width="17.85546875" style="3" customWidth="1"/>
    <col min="3571" max="3825" width="9.140625" style="3"/>
    <col min="3826" max="3826" width="17.85546875" style="3" customWidth="1"/>
    <col min="3827" max="4081" width="9.140625" style="3"/>
    <col min="4082" max="4082" width="17.85546875" style="3" customWidth="1"/>
    <col min="4083" max="4337" width="9.140625" style="3"/>
    <col min="4338" max="4338" width="17.85546875" style="3" customWidth="1"/>
    <col min="4339" max="4593" width="9.140625" style="3"/>
    <col min="4594" max="4594" width="17.85546875" style="3" customWidth="1"/>
    <col min="4595" max="4849" width="9.140625" style="3"/>
    <col min="4850" max="4850" width="17.85546875" style="3" customWidth="1"/>
    <col min="4851" max="5105" width="9.140625" style="3"/>
    <col min="5106" max="5106" width="17.85546875" style="3" customWidth="1"/>
    <col min="5107" max="5361" width="9.140625" style="3"/>
    <col min="5362" max="5362" width="17.85546875" style="3" customWidth="1"/>
    <col min="5363" max="5617" width="9.140625" style="3"/>
    <col min="5618" max="5618" width="17.85546875" style="3" customWidth="1"/>
    <col min="5619" max="5873" width="9.140625" style="3"/>
    <col min="5874" max="5874" width="17.85546875" style="3" customWidth="1"/>
    <col min="5875" max="6129" width="9.140625" style="3"/>
    <col min="6130" max="6130" width="17.85546875" style="3" customWidth="1"/>
    <col min="6131" max="6385" width="9.140625" style="3"/>
    <col min="6386" max="6386" width="17.85546875" style="3" customWidth="1"/>
    <col min="6387" max="6641" width="9.140625" style="3"/>
    <col min="6642" max="6642" width="17.85546875" style="3" customWidth="1"/>
    <col min="6643" max="6897" width="9.140625" style="3"/>
    <col min="6898" max="6898" width="17.85546875" style="3" customWidth="1"/>
    <col min="6899" max="7153" width="9.140625" style="3"/>
    <col min="7154" max="7154" width="17.85546875" style="3" customWidth="1"/>
    <col min="7155" max="7409" width="9.140625" style="3"/>
    <col min="7410" max="7410" width="17.85546875" style="3" customWidth="1"/>
    <col min="7411" max="7665" width="9.140625" style="3"/>
    <col min="7666" max="7666" width="17.85546875" style="3" customWidth="1"/>
    <col min="7667" max="7921" width="9.140625" style="3"/>
    <col min="7922" max="7922" width="17.85546875" style="3" customWidth="1"/>
    <col min="7923" max="8177" width="9.140625" style="3"/>
    <col min="8178" max="8178" width="17.85546875" style="3" customWidth="1"/>
    <col min="8179" max="8433" width="9.140625" style="3"/>
    <col min="8434" max="8434" width="17.85546875" style="3" customWidth="1"/>
    <col min="8435" max="8689" width="9.140625" style="3"/>
    <col min="8690" max="8690" width="17.85546875" style="3" customWidth="1"/>
    <col min="8691" max="8945" width="9.140625" style="3"/>
    <col min="8946" max="8946" width="17.85546875" style="3" customWidth="1"/>
    <col min="8947" max="9201" width="9.140625" style="3"/>
    <col min="9202" max="9202" width="17.85546875" style="3" customWidth="1"/>
    <col min="9203" max="9457" width="9.140625" style="3"/>
    <col min="9458" max="9458" width="17.85546875" style="3" customWidth="1"/>
    <col min="9459" max="9713" width="9.140625" style="3"/>
    <col min="9714" max="9714" width="17.85546875" style="3" customWidth="1"/>
    <col min="9715" max="9969" width="9.140625" style="3"/>
    <col min="9970" max="9970" width="17.85546875" style="3" customWidth="1"/>
    <col min="9971" max="10225" width="9.140625" style="3"/>
    <col min="10226" max="10226" width="17.85546875" style="3" customWidth="1"/>
    <col min="10227" max="10481" width="9.140625" style="3"/>
    <col min="10482" max="10482" width="17.85546875" style="3" customWidth="1"/>
    <col min="10483" max="10737" width="9.140625" style="3"/>
    <col min="10738" max="10738" width="17.85546875" style="3" customWidth="1"/>
    <col min="10739" max="10993" width="9.140625" style="3"/>
    <col min="10994" max="10994" width="17.85546875" style="3" customWidth="1"/>
    <col min="10995" max="11249" width="9.140625" style="3"/>
    <col min="11250" max="11250" width="17.85546875" style="3" customWidth="1"/>
    <col min="11251" max="11505" width="9.140625" style="3"/>
    <col min="11506" max="11506" width="17.85546875" style="3" customWidth="1"/>
    <col min="11507" max="11761" width="9.140625" style="3"/>
    <col min="11762" max="11762" width="17.85546875" style="3" customWidth="1"/>
    <col min="11763" max="12017" width="9.140625" style="3"/>
    <col min="12018" max="12018" width="17.85546875" style="3" customWidth="1"/>
    <col min="12019" max="12273" width="9.140625" style="3"/>
    <col min="12274" max="12274" width="17.85546875" style="3" customWidth="1"/>
    <col min="12275" max="12529" width="9.140625" style="3"/>
    <col min="12530" max="12530" width="17.85546875" style="3" customWidth="1"/>
    <col min="12531" max="12785" width="9.140625" style="3"/>
    <col min="12786" max="12786" width="17.85546875" style="3" customWidth="1"/>
    <col min="12787" max="13041" width="9.140625" style="3"/>
    <col min="13042" max="13042" width="17.85546875" style="3" customWidth="1"/>
    <col min="13043" max="13297" width="9.140625" style="3"/>
    <col min="13298" max="13298" width="17.85546875" style="3" customWidth="1"/>
    <col min="13299" max="13553" width="9.140625" style="3"/>
    <col min="13554" max="13554" width="17.85546875" style="3" customWidth="1"/>
    <col min="13555" max="13809" width="9.140625" style="3"/>
    <col min="13810" max="13810" width="17.85546875" style="3" customWidth="1"/>
    <col min="13811" max="14065" width="9.140625" style="3"/>
    <col min="14066" max="14066" width="17.85546875" style="3" customWidth="1"/>
    <col min="14067" max="14321" width="9.140625" style="3"/>
    <col min="14322" max="14322" width="17.85546875" style="3" customWidth="1"/>
    <col min="14323" max="14577" width="9.140625" style="3"/>
    <col min="14578" max="14578" width="17.85546875" style="3" customWidth="1"/>
    <col min="14579" max="14833" width="9.140625" style="3"/>
    <col min="14834" max="14834" width="17.85546875" style="3" customWidth="1"/>
    <col min="14835" max="15089" width="9.140625" style="3"/>
    <col min="15090" max="15090" width="17.85546875" style="3" customWidth="1"/>
    <col min="15091" max="15345" width="9.140625" style="3"/>
    <col min="15346" max="15346" width="17.85546875" style="3" customWidth="1"/>
    <col min="15347" max="15601" width="9.140625" style="3"/>
    <col min="15602" max="15602" width="17.85546875" style="3" customWidth="1"/>
    <col min="15603" max="15857" width="9.140625" style="3"/>
    <col min="15858" max="15858" width="17.85546875" style="3" customWidth="1"/>
    <col min="15859" max="16113" width="9.140625" style="3"/>
    <col min="16114" max="16114" width="17.85546875" style="3" customWidth="1"/>
    <col min="16115" max="16384" width="9.140625" style="3"/>
  </cols>
  <sheetData>
    <row r="1" spans="1:5" s="43" customFormat="1" ht="14.25" x14ac:dyDescent="0.25">
      <c r="A1" s="42" t="s">
        <v>2293</v>
      </c>
      <c r="B1" s="43" t="s">
        <v>2278</v>
      </c>
      <c r="C1" s="43" t="s">
        <v>2282</v>
      </c>
      <c r="D1" s="43" t="s">
        <v>2294</v>
      </c>
    </row>
    <row r="2" spans="1:5" x14ac:dyDescent="0.25">
      <c r="A2" s="44" t="s">
        <v>2295</v>
      </c>
      <c r="B2" s="45">
        <v>746</v>
      </c>
      <c r="C2" s="45">
        <v>682.32680000000005</v>
      </c>
      <c r="D2" s="45">
        <v>582.42424242424249</v>
      </c>
      <c r="E2" s="46" t="s">
        <v>1208</v>
      </c>
    </row>
    <row r="3" spans="1:5" x14ac:dyDescent="0.25">
      <c r="A3" s="44" t="s">
        <v>2296</v>
      </c>
      <c r="B3" s="69">
        <v>600</v>
      </c>
      <c r="C3" s="69">
        <v>573.8614</v>
      </c>
      <c r="D3" s="69">
        <v>420</v>
      </c>
    </row>
    <row r="4" spans="1:5" x14ac:dyDescent="0.25">
      <c r="A4" s="44" t="s">
        <v>2297</v>
      </c>
      <c r="B4" s="69">
        <v>623</v>
      </c>
      <c r="C4" s="69">
        <v>599.92700000000002</v>
      </c>
      <c r="D4" s="69">
        <v>452.59999999999997</v>
      </c>
    </row>
    <row r="5" spans="1:5" x14ac:dyDescent="0.25">
      <c r="A5" s="44" t="s">
        <v>2298</v>
      </c>
      <c r="B5" s="69">
        <v>576</v>
      </c>
      <c r="C5" s="69">
        <v>544.33540000000005</v>
      </c>
      <c r="D5" s="69">
        <v>466.45161290322579</v>
      </c>
    </row>
    <row r="6" spans="1:5" x14ac:dyDescent="0.25">
      <c r="A6" s="44" t="s">
        <v>2299</v>
      </c>
      <c r="B6" s="69">
        <v>579</v>
      </c>
      <c r="C6" s="69">
        <v>513.77440000000001</v>
      </c>
      <c r="D6" s="69">
        <v>512.53333333333342</v>
      </c>
    </row>
    <row r="7" spans="1:5" x14ac:dyDescent="0.25">
      <c r="A7" s="44" t="s">
        <v>2300</v>
      </c>
      <c r="B7" s="69">
        <v>480</v>
      </c>
      <c r="C7" s="69">
        <v>477.14589999999998</v>
      </c>
      <c r="D7" s="69">
        <v>472.75862068965517</v>
      </c>
    </row>
    <row r="8" spans="1:5" x14ac:dyDescent="0.25">
      <c r="A8" s="44" t="s">
        <v>2301</v>
      </c>
      <c r="B8" s="69">
        <v>452</v>
      </c>
      <c r="C8" s="69">
        <v>502.53890000000001</v>
      </c>
      <c r="D8" s="69">
        <v>436.90625</v>
      </c>
    </row>
    <row r="9" spans="1:5" x14ac:dyDescent="0.25">
      <c r="A9" s="44" t="s">
        <v>2302</v>
      </c>
      <c r="B9" s="69">
        <v>452</v>
      </c>
      <c r="C9" s="69">
        <v>569.38710000000003</v>
      </c>
      <c r="D9" s="69">
        <v>399.90000000000003</v>
      </c>
    </row>
    <row r="10" spans="1:5" x14ac:dyDescent="0.25">
      <c r="A10" s="44" t="s">
        <v>2303</v>
      </c>
      <c r="B10" s="69">
        <v>471</v>
      </c>
      <c r="C10" s="69">
        <v>553.49879999999996</v>
      </c>
      <c r="D10" s="69">
        <v>543</v>
      </c>
    </row>
    <row r="11" spans="1:5" x14ac:dyDescent="0.25">
      <c r="A11" s="44" t="s">
        <v>2304</v>
      </c>
      <c r="B11" s="69">
        <v>524</v>
      </c>
      <c r="C11" s="69">
        <v>609.08410000000003</v>
      </c>
      <c r="D11" s="69">
        <v>510.00000000000006</v>
      </c>
    </row>
    <row r="12" spans="1:5" x14ac:dyDescent="0.25">
      <c r="A12" s="44" t="s">
        <v>2305</v>
      </c>
      <c r="B12" s="69">
        <v>600</v>
      </c>
      <c r="C12" s="69">
        <v>632.01220000000001</v>
      </c>
      <c r="D12" s="69">
        <v>488.70967741935482</v>
      </c>
    </row>
    <row r="13" spans="1:5" x14ac:dyDescent="0.25">
      <c r="A13" s="44" t="s">
        <v>2306</v>
      </c>
      <c r="B13" s="69">
        <v>741</v>
      </c>
      <c r="C13" s="69">
        <v>690.34969999999998</v>
      </c>
      <c r="D13" s="69">
        <v>696.9655172413793</v>
      </c>
    </row>
    <row r="14" spans="1:5" ht="60" x14ac:dyDescent="0.25">
      <c r="E14" s="46" t="s">
        <v>1206</v>
      </c>
    </row>
  </sheetData>
  <customSheetViews>
    <customSheetView guid="{679A3195-3DEA-4AC2-A535-82AAF5B552BC}" state="hidden">
      <selection activeCell="C3" sqref="C3"/>
      <pageMargins left="0.75" right="0.75" top="1" bottom="1" header="0.5" footer="0.5"/>
      <pageSetup orientation="portrait" horizontalDpi="1200" verticalDpi="1200" r:id="rId1"/>
      <headerFooter alignWithMargins="0"/>
    </customSheetView>
    <customSheetView guid="{7378B641-E8D1-4C14-8151-CF4CE159D121}">
      <selection activeCell="C3" sqref="C3"/>
      <pageMargins left="0.75" right="0.75" top="1" bottom="1" header="0.5" footer="0.5"/>
      <pageSetup orientation="portrait" horizontalDpi="1200" verticalDpi="1200" r:id="rId2"/>
      <headerFooter alignWithMargins="0"/>
    </customSheetView>
    <customSheetView guid="{6D63B10B-E1E6-452A-80EB-4B2C7D61CF66}" state="hidden">
      <selection activeCell="C3" sqref="C3"/>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A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6384" width="9.140625" style="3"/>
  </cols>
  <sheetData>
    <row r="1" spans="1:27" ht="19.5" customHeight="1" x14ac:dyDescent="0.25">
      <c r="A1" s="3" t="s">
        <v>26</v>
      </c>
      <c r="B1" s="4" t="s">
        <v>2307</v>
      </c>
      <c r="C1" s="535" t="s">
        <v>3058</v>
      </c>
      <c r="D1" s="37" t="str">
        <f>B1</f>
        <v>Site 1-1057 Monthly Therms Comparison</v>
      </c>
    </row>
    <row r="2" spans="1:27" x14ac:dyDescent="0.25">
      <c r="A2" s="3" t="s">
        <v>20</v>
      </c>
      <c r="B2" s="4" t="s">
        <v>58</v>
      </c>
      <c r="C2" s="536" t="s">
        <v>3059</v>
      </c>
    </row>
    <row r="3" spans="1:27" x14ac:dyDescent="0.25">
      <c r="A3" s="3" t="s">
        <v>1184</v>
      </c>
      <c r="B3" s="2" t="s">
        <v>3140</v>
      </c>
      <c r="C3" s="536" t="s">
        <v>1193</v>
      </c>
      <c r="D3" s="733"/>
      <c r="E3" s="733"/>
      <c r="F3" s="733"/>
      <c r="G3" s="733"/>
      <c r="H3" s="733"/>
      <c r="I3" s="733"/>
      <c r="J3" s="733"/>
      <c r="K3" s="733"/>
      <c r="L3" s="733"/>
      <c r="M3" s="733"/>
      <c r="N3" s="733"/>
      <c r="O3" s="733"/>
    </row>
    <row r="4" spans="1:27" ht="15" customHeight="1" x14ac:dyDescent="0.25">
      <c r="B4" s="4"/>
      <c r="C4" s="4"/>
      <c r="D4" s="3" t="s">
        <v>61</v>
      </c>
      <c r="P4" s="737"/>
      <c r="Q4" s="48"/>
      <c r="R4" s="48"/>
      <c r="S4" s="48"/>
      <c r="T4" s="48"/>
      <c r="U4" s="48"/>
      <c r="V4" s="48"/>
      <c r="W4" s="48"/>
      <c r="X4" s="48"/>
      <c r="Y4" s="48"/>
      <c r="Z4" s="48"/>
      <c r="AA4" s="48"/>
    </row>
    <row r="5" spans="1:27" x14ac:dyDescent="0.25">
      <c r="B5" s="4"/>
      <c r="C5" s="4"/>
      <c r="P5" s="737"/>
    </row>
    <row r="6" spans="1:27" x14ac:dyDescent="0.25">
      <c r="P6" s="737"/>
    </row>
    <row r="7" spans="1:27" x14ac:dyDescent="0.25">
      <c r="P7" s="737"/>
    </row>
    <row r="8" spans="1:27" x14ac:dyDescent="0.25">
      <c r="P8" s="737"/>
    </row>
    <row r="9" spans="1:27" x14ac:dyDescent="0.25">
      <c r="P9" s="737"/>
    </row>
    <row r="10" spans="1:27" x14ac:dyDescent="0.25">
      <c r="P10" s="737"/>
    </row>
    <row r="11" spans="1:27" x14ac:dyDescent="0.25">
      <c r="P11" s="737"/>
    </row>
    <row r="12" spans="1:27" x14ac:dyDescent="0.25">
      <c r="P12" s="737"/>
    </row>
    <row r="13" spans="1:27" x14ac:dyDescent="0.25">
      <c r="P13" s="737"/>
    </row>
    <row r="14" spans="1:27" x14ac:dyDescent="0.25">
      <c r="P14" s="737"/>
    </row>
    <row r="15" spans="1:27" x14ac:dyDescent="0.25">
      <c r="P15" s="737"/>
    </row>
    <row r="16" spans="1:27" x14ac:dyDescent="0.25">
      <c r="P16" s="737"/>
    </row>
    <row r="17" spans="16:16" x14ac:dyDescent="0.25">
      <c r="P17" s="737"/>
    </row>
    <row r="18" spans="16:16" x14ac:dyDescent="0.25">
      <c r="P18" s="737"/>
    </row>
    <row r="19" spans="16:16" x14ac:dyDescent="0.25">
      <c r="P19" s="737"/>
    </row>
    <row r="20" spans="16:16" x14ac:dyDescent="0.25">
      <c r="P20" s="737"/>
    </row>
    <row r="21" spans="16:16" x14ac:dyDescent="0.25">
      <c r="P21" s="737"/>
    </row>
    <row r="22" spans="16:16" x14ac:dyDescent="0.25">
      <c r="P22" s="737"/>
    </row>
    <row r="23" spans="16:16" x14ac:dyDescent="0.25">
      <c r="P23" s="737"/>
    </row>
    <row r="24" spans="16:16" x14ac:dyDescent="0.25">
      <c r="P24" s="737"/>
    </row>
    <row r="25" spans="16:16" x14ac:dyDescent="0.25">
      <c r="P25" s="737"/>
    </row>
    <row r="26" spans="16:16" x14ac:dyDescent="0.25">
      <c r="P26" s="737"/>
    </row>
    <row r="27" spans="16:16" x14ac:dyDescent="0.25">
      <c r="P27" s="737"/>
    </row>
    <row r="28" spans="16:16" x14ac:dyDescent="0.25">
      <c r="P28" s="737"/>
    </row>
    <row r="29" spans="16:16" x14ac:dyDescent="0.25">
      <c r="P29" s="737"/>
    </row>
    <row r="30" spans="16:16" x14ac:dyDescent="0.25">
      <c r="P30" s="737"/>
    </row>
    <row r="31" spans="16:16" x14ac:dyDescent="0.25">
      <c r="P31" s="737"/>
    </row>
    <row r="33" spans="4:4" x14ac:dyDescent="0.25">
      <c r="D33" s="37"/>
    </row>
  </sheetData>
  <customSheetViews>
    <customSheetView guid="{679A3195-3DEA-4AC2-A535-82AAF5B552BC}" fitToPage="1" hiddenColumns="1" topLeftCell="C1">
      <selection activeCell="C3" sqref="C3"/>
      <pageMargins left="0.7" right="0.7" top="0.75" bottom="0.75" header="0.3" footer="0.3"/>
      <pageSetup scale="67" orientation="landscape" horizontalDpi="4294967293" verticalDpi="4294967293" r:id="rId1"/>
    </customSheetView>
    <customSheetView guid="{7378B641-E8D1-4C14-8151-CF4CE159D121}" fitToPage="1" hiddenColumns="1" topLeftCell="C1">
      <selection activeCell="D33" sqref="D33:D35"/>
      <pageMargins left="0.7" right="0.7" top="0.75" bottom="0.75" header="0.3" footer="0.3"/>
      <pageSetup scale="67" orientation="landscape" horizontalDpi="4294967293" verticalDpi="4294967293" r:id="rId2"/>
    </customSheetView>
    <customSheetView guid="{6D63B10B-E1E6-452A-80EB-4B2C7D61CF66}" fitToPage="1" hiddenColumns="1" topLeftCell="C1">
      <selection activeCell="C3" sqref="C3"/>
      <pageMargins left="0.7" right="0.7" top="0.75" bottom="0.75" header="0.3" footer="0.3"/>
      <pageSetup scale="67" orientation="landscape" horizontalDpi="4294967293" verticalDpi="4294967293" r:id="rId3"/>
    </customSheetView>
  </customSheetViews>
  <mergeCells count="2">
    <mergeCell ref="D3:O3"/>
    <mergeCell ref="P4:P31"/>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scale="67" orientation="landscape" horizontalDpi="4294967293" verticalDpi="4294967293" r:id="rId4"/>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E14"/>
  <sheetViews>
    <sheetView workbookViewId="0">
      <selection activeCell="C3" sqref="C3"/>
    </sheetView>
  </sheetViews>
  <sheetFormatPr defaultRowHeight="15" x14ac:dyDescent="0.25"/>
  <cols>
    <col min="1" max="1" width="10.85546875" style="3" bestFit="1" customWidth="1"/>
    <col min="2" max="3" width="7.28515625" style="3" bestFit="1" customWidth="1"/>
    <col min="4" max="4" width="7.28515625" style="3" customWidth="1"/>
    <col min="5" max="5" width="53.42578125" style="3" customWidth="1"/>
    <col min="6" max="241" width="9.140625" style="3"/>
    <col min="242" max="242" width="17.85546875" style="3" customWidth="1"/>
    <col min="243" max="497" width="9.140625" style="3"/>
    <col min="498" max="498" width="17.85546875" style="3" customWidth="1"/>
    <col min="499" max="753" width="9.140625" style="3"/>
    <col min="754" max="754" width="17.85546875" style="3" customWidth="1"/>
    <col min="755" max="1009" width="9.140625" style="3"/>
    <col min="1010" max="1010" width="17.85546875" style="3" customWidth="1"/>
    <col min="1011" max="1265" width="9.140625" style="3"/>
    <col min="1266" max="1266" width="17.85546875" style="3" customWidth="1"/>
    <col min="1267" max="1521" width="9.140625" style="3"/>
    <col min="1522" max="1522" width="17.85546875" style="3" customWidth="1"/>
    <col min="1523" max="1777" width="9.140625" style="3"/>
    <col min="1778" max="1778" width="17.85546875" style="3" customWidth="1"/>
    <col min="1779" max="2033" width="9.140625" style="3"/>
    <col min="2034" max="2034" width="17.85546875" style="3" customWidth="1"/>
    <col min="2035" max="2289" width="9.140625" style="3"/>
    <col min="2290" max="2290" width="17.85546875" style="3" customWidth="1"/>
    <col min="2291" max="2545" width="9.140625" style="3"/>
    <col min="2546" max="2546" width="17.85546875" style="3" customWidth="1"/>
    <col min="2547" max="2801" width="9.140625" style="3"/>
    <col min="2802" max="2802" width="17.85546875" style="3" customWidth="1"/>
    <col min="2803" max="3057" width="9.140625" style="3"/>
    <col min="3058" max="3058" width="17.85546875" style="3" customWidth="1"/>
    <col min="3059" max="3313" width="9.140625" style="3"/>
    <col min="3314" max="3314" width="17.85546875" style="3" customWidth="1"/>
    <col min="3315" max="3569" width="9.140625" style="3"/>
    <col min="3570" max="3570" width="17.85546875" style="3" customWidth="1"/>
    <col min="3571" max="3825" width="9.140625" style="3"/>
    <col min="3826" max="3826" width="17.85546875" style="3" customWidth="1"/>
    <col min="3827" max="4081" width="9.140625" style="3"/>
    <col min="4082" max="4082" width="17.85546875" style="3" customWidth="1"/>
    <col min="4083" max="4337" width="9.140625" style="3"/>
    <col min="4338" max="4338" width="17.85546875" style="3" customWidth="1"/>
    <col min="4339" max="4593" width="9.140625" style="3"/>
    <col min="4594" max="4594" width="17.85546875" style="3" customWidth="1"/>
    <col min="4595" max="4849" width="9.140625" style="3"/>
    <col min="4850" max="4850" width="17.85546875" style="3" customWidth="1"/>
    <col min="4851" max="5105" width="9.140625" style="3"/>
    <col min="5106" max="5106" width="17.85546875" style="3" customWidth="1"/>
    <col min="5107" max="5361" width="9.140625" style="3"/>
    <col min="5362" max="5362" width="17.85546875" style="3" customWidth="1"/>
    <col min="5363" max="5617" width="9.140625" style="3"/>
    <col min="5618" max="5618" width="17.85546875" style="3" customWidth="1"/>
    <col min="5619" max="5873" width="9.140625" style="3"/>
    <col min="5874" max="5874" width="17.85546875" style="3" customWidth="1"/>
    <col min="5875" max="6129" width="9.140625" style="3"/>
    <col min="6130" max="6130" width="17.85546875" style="3" customWidth="1"/>
    <col min="6131" max="6385" width="9.140625" style="3"/>
    <col min="6386" max="6386" width="17.85546875" style="3" customWidth="1"/>
    <col min="6387" max="6641" width="9.140625" style="3"/>
    <col min="6642" max="6642" width="17.85546875" style="3" customWidth="1"/>
    <col min="6643" max="6897" width="9.140625" style="3"/>
    <col min="6898" max="6898" width="17.85546875" style="3" customWidth="1"/>
    <col min="6899" max="7153" width="9.140625" style="3"/>
    <col min="7154" max="7154" width="17.85546875" style="3" customWidth="1"/>
    <col min="7155" max="7409" width="9.140625" style="3"/>
    <col min="7410" max="7410" width="17.85546875" style="3" customWidth="1"/>
    <col min="7411" max="7665" width="9.140625" style="3"/>
    <col min="7666" max="7666" width="17.85546875" style="3" customWidth="1"/>
    <col min="7667" max="7921" width="9.140625" style="3"/>
    <col min="7922" max="7922" width="17.85546875" style="3" customWidth="1"/>
    <col min="7923" max="8177" width="9.140625" style="3"/>
    <col min="8178" max="8178" width="17.85546875" style="3" customWidth="1"/>
    <col min="8179" max="8433" width="9.140625" style="3"/>
    <col min="8434" max="8434" width="17.85546875" style="3" customWidth="1"/>
    <col min="8435" max="8689" width="9.140625" style="3"/>
    <col min="8690" max="8690" width="17.85546875" style="3" customWidth="1"/>
    <col min="8691" max="8945" width="9.140625" style="3"/>
    <col min="8946" max="8946" width="17.85546875" style="3" customWidth="1"/>
    <col min="8947" max="9201" width="9.140625" style="3"/>
    <col min="9202" max="9202" width="17.85546875" style="3" customWidth="1"/>
    <col min="9203" max="9457" width="9.140625" style="3"/>
    <col min="9458" max="9458" width="17.85546875" style="3" customWidth="1"/>
    <col min="9459" max="9713" width="9.140625" style="3"/>
    <col min="9714" max="9714" width="17.85546875" style="3" customWidth="1"/>
    <col min="9715" max="9969" width="9.140625" style="3"/>
    <col min="9970" max="9970" width="17.85546875" style="3" customWidth="1"/>
    <col min="9971" max="10225" width="9.140625" style="3"/>
    <col min="10226" max="10226" width="17.85546875" style="3" customWidth="1"/>
    <col min="10227" max="10481" width="9.140625" style="3"/>
    <col min="10482" max="10482" width="17.85546875" style="3" customWidth="1"/>
    <col min="10483" max="10737" width="9.140625" style="3"/>
    <col min="10738" max="10738" width="17.85546875" style="3" customWidth="1"/>
    <col min="10739" max="10993" width="9.140625" style="3"/>
    <col min="10994" max="10994" width="17.85546875" style="3" customWidth="1"/>
    <col min="10995" max="11249" width="9.140625" style="3"/>
    <col min="11250" max="11250" width="17.85546875" style="3" customWidth="1"/>
    <col min="11251" max="11505" width="9.140625" style="3"/>
    <col min="11506" max="11506" width="17.85546875" style="3" customWidth="1"/>
    <col min="11507" max="11761" width="9.140625" style="3"/>
    <col min="11762" max="11762" width="17.85546875" style="3" customWidth="1"/>
    <col min="11763" max="12017" width="9.140625" style="3"/>
    <col min="12018" max="12018" width="17.85546875" style="3" customWidth="1"/>
    <col min="12019" max="12273" width="9.140625" style="3"/>
    <col min="12274" max="12274" width="17.85546875" style="3" customWidth="1"/>
    <col min="12275" max="12529" width="9.140625" style="3"/>
    <col min="12530" max="12530" width="17.85546875" style="3" customWidth="1"/>
    <col min="12531" max="12785" width="9.140625" style="3"/>
    <col min="12786" max="12786" width="17.85546875" style="3" customWidth="1"/>
    <col min="12787" max="13041" width="9.140625" style="3"/>
    <col min="13042" max="13042" width="17.85546875" style="3" customWidth="1"/>
    <col min="13043" max="13297" width="9.140625" style="3"/>
    <col min="13298" max="13298" width="17.85546875" style="3" customWidth="1"/>
    <col min="13299" max="13553" width="9.140625" style="3"/>
    <col min="13554" max="13554" width="17.85546875" style="3" customWidth="1"/>
    <col min="13555" max="13809" width="9.140625" style="3"/>
    <col min="13810" max="13810" width="17.85546875" style="3" customWidth="1"/>
    <col min="13811" max="14065" width="9.140625" style="3"/>
    <col min="14066" max="14066" width="17.85546875" style="3" customWidth="1"/>
    <col min="14067" max="14321" width="9.140625" style="3"/>
    <col min="14322" max="14322" width="17.85546875" style="3" customWidth="1"/>
    <col min="14323" max="14577" width="9.140625" style="3"/>
    <col min="14578" max="14578" width="17.85546875" style="3" customWidth="1"/>
    <col min="14579" max="14833" width="9.140625" style="3"/>
    <col min="14834" max="14834" width="17.85546875" style="3" customWidth="1"/>
    <col min="14835" max="15089" width="9.140625" style="3"/>
    <col min="15090" max="15090" width="17.85546875" style="3" customWidth="1"/>
    <col min="15091" max="15345" width="9.140625" style="3"/>
    <col min="15346" max="15346" width="17.85546875" style="3" customWidth="1"/>
    <col min="15347" max="15601" width="9.140625" style="3"/>
    <col min="15602" max="15602" width="17.85546875" style="3" customWidth="1"/>
    <col min="15603" max="15857" width="9.140625" style="3"/>
    <col min="15858" max="15858" width="17.85546875" style="3" customWidth="1"/>
    <col min="15859" max="16113" width="9.140625" style="3"/>
    <col min="16114" max="16114" width="17.85546875" style="3" customWidth="1"/>
    <col min="16115" max="16384" width="9.140625" style="3"/>
  </cols>
  <sheetData>
    <row r="1" spans="1:5" s="43" customFormat="1" ht="14.25" x14ac:dyDescent="0.25">
      <c r="A1" s="42" t="s">
        <v>2293</v>
      </c>
      <c r="B1" s="43" t="s">
        <v>2278</v>
      </c>
      <c r="C1" s="43" t="s">
        <v>2282</v>
      </c>
      <c r="D1" s="43" t="s">
        <v>2294</v>
      </c>
    </row>
    <row r="2" spans="1:5" x14ac:dyDescent="0.25">
      <c r="A2" s="44" t="s">
        <v>2295</v>
      </c>
      <c r="B2" s="45">
        <v>259</v>
      </c>
      <c r="C2" s="45">
        <v>292.38</v>
      </c>
      <c r="D2" s="45">
        <v>109.46875</v>
      </c>
      <c r="E2" s="46" t="s">
        <v>1208</v>
      </c>
    </row>
    <row r="3" spans="1:5" x14ac:dyDescent="0.25">
      <c r="A3" s="44" t="s">
        <v>2296</v>
      </c>
      <c r="B3" s="69">
        <v>178</v>
      </c>
      <c r="C3" s="69">
        <v>194.2</v>
      </c>
      <c r="D3" s="69">
        <v>101.73333333333333</v>
      </c>
    </row>
    <row r="4" spans="1:5" x14ac:dyDescent="0.25">
      <c r="A4" s="44" t="s">
        <v>2297</v>
      </c>
      <c r="B4" s="69">
        <v>167</v>
      </c>
      <c r="C4" s="69">
        <v>224.84</v>
      </c>
      <c r="D4" s="69">
        <v>63.033333333333331</v>
      </c>
    </row>
    <row r="5" spans="1:5" x14ac:dyDescent="0.25">
      <c r="A5" s="44" t="s">
        <v>2298</v>
      </c>
      <c r="B5" s="69">
        <v>136</v>
      </c>
      <c r="C5" s="69">
        <v>184.03</v>
      </c>
      <c r="D5" s="69">
        <v>89.032258064516128</v>
      </c>
    </row>
    <row r="6" spans="1:5" x14ac:dyDescent="0.25">
      <c r="A6" s="44" t="s">
        <v>2299</v>
      </c>
      <c r="B6" s="69">
        <v>111</v>
      </c>
      <c r="C6" s="69">
        <v>156.63999999999999</v>
      </c>
      <c r="D6" s="69">
        <v>62</v>
      </c>
    </row>
    <row r="7" spans="1:5" x14ac:dyDescent="0.25">
      <c r="A7" s="44" t="s">
        <v>2300</v>
      </c>
      <c r="B7" s="69">
        <v>51</v>
      </c>
      <c r="C7" s="69">
        <v>116.56</v>
      </c>
      <c r="D7" s="69">
        <v>40.344827586206897</v>
      </c>
    </row>
    <row r="8" spans="1:5" x14ac:dyDescent="0.25">
      <c r="A8" s="44" t="s">
        <v>2301</v>
      </c>
      <c r="B8" s="69">
        <v>28</v>
      </c>
      <c r="C8" s="69">
        <v>97.42</v>
      </c>
      <c r="D8" s="69">
        <v>30.03125</v>
      </c>
    </row>
    <row r="9" spans="1:5" x14ac:dyDescent="0.25">
      <c r="A9" s="44" t="s">
        <v>2302</v>
      </c>
      <c r="B9" s="69">
        <v>28</v>
      </c>
      <c r="C9" s="69">
        <v>93.12</v>
      </c>
      <c r="D9" s="69">
        <v>38.233333333333334</v>
      </c>
    </row>
    <row r="10" spans="1:5" x14ac:dyDescent="0.25">
      <c r="A10" s="44" t="s">
        <v>2303</v>
      </c>
      <c r="B10" s="69">
        <v>26</v>
      </c>
      <c r="C10" s="69">
        <v>86.75</v>
      </c>
      <c r="D10" s="69">
        <v>39</v>
      </c>
    </row>
    <row r="11" spans="1:5" x14ac:dyDescent="0.25">
      <c r="A11" s="44" t="s">
        <v>2304</v>
      </c>
      <c r="B11" s="69">
        <v>62</v>
      </c>
      <c r="C11" s="69">
        <v>115.63</v>
      </c>
      <c r="D11" s="69">
        <v>51</v>
      </c>
    </row>
    <row r="12" spans="1:5" x14ac:dyDescent="0.25">
      <c r="A12" s="44" t="s">
        <v>2305</v>
      </c>
      <c r="B12" s="69">
        <v>152</v>
      </c>
      <c r="C12" s="69">
        <v>179.37</v>
      </c>
      <c r="D12" s="69">
        <v>56.129032258064512</v>
      </c>
    </row>
    <row r="13" spans="1:5" x14ac:dyDescent="0.25">
      <c r="A13" s="44" t="s">
        <v>2306</v>
      </c>
      <c r="B13" s="69">
        <v>255</v>
      </c>
      <c r="C13" s="69">
        <v>277.27999999999997</v>
      </c>
      <c r="D13" s="69">
        <v>113.31034482758621</v>
      </c>
    </row>
    <row r="14" spans="1:5" ht="60" x14ac:dyDescent="0.25">
      <c r="E14" s="46" t="s">
        <v>1206</v>
      </c>
    </row>
  </sheetData>
  <customSheetViews>
    <customSheetView guid="{679A3195-3DEA-4AC2-A535-82AAF5B552BC}" state="hidden">
      <selection activeCell="C3" sqref="C3"/>
      <pageMargins left="0.75" right="0.75" top="1" bottom="1" header="0.5" footer="0.5"/>
      <pageSetup orientation="portrait" horizontalDpi="1200" verticalDpi="1200" r:id="rId1"/>
      <headerFooter alignWithMargins="0"/>
    </customSheetView>
    <customSheetView guid="{7378B641-E8D1-4C14-8151-CF4CE159D121}">
      <selection activeCell="C3" sqref="C3"/>
      <pageMargins left="0.75" right="0.75" top="1" bottom="1" header="0.5" footer="0.5"/>
      <pageSetup orientation="portrait" horizontalDpi="1200" verticalDpi="1200" r:id="rId2"/>
      <headerFooter alignWithMargins="0"/>
    </customSheetView>
    <customSheetView guid="{6D63B10B-E1E6-452A-80EB-4B2C7D61CF66}" state="hidden">
      <selection activeCell="C3" sqref="C3"/>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F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9" customWidth="1"/>
    <col min="5" max="5" width="11.5703125" customWidth="1"/>
    <col min="6" max="6" width="11.7109375" customWidth="1"/>
  </cols>
  <sheetData>
    <row r="1" spans="1:6" ht="21" customHeight="1" x14ac:dyDescent="0.25">
      <c r="A1" s="3" t="s">
        <v>26</v>
      </c>
      <c r="B1" s="4" t="s">
        <v>2308</v>
      </c>
      <c r="C1" s="535" t="s">
        <v>3058</v>
      </c>
      <c r="D1" s="558" t="str">
        <f>B1</f>
        <v>Site 1-1057 Energy End Use Comparison</v>
      </c>
    </row>
    <row r="2" spans="1:6" x14ac:dyDescent="0.25">
      <c r="A2" t="s">
        <v>20</v>
      </c>
      <c r="B2" s="2" t="s">
        <v>60</v>
      </c>
      <c r="C2" s="536" t="s">
        <v>3059</v>
      </c>
    </row>
    <row r="3" spans="1:6" x14ac:dyDescent="0.25">
      <c r="A3" t="s">
        <v>1184</v>
      </c>
      <c r="B3" s="2" t="s">
        <v>3140</v>
      </c>
      <c r="C3" s="536" t="s">
        <v>1193</v>
      </c>
    </row>
    <row r="4" spans="1:6" ht="42.75" x14ac:dyDescent="0.25">
      <c r="D4" s="604"/>
      <c r="E4" s="607" t="s">
        <v>3201</v>
      </c>
      <c r="F4" s="606" t="s">
        <v>2309</v>
      </c>
    </row>
    <row r="5" spans="1:6" x14ac:dyDescent="0.25">
      <c r="B5" s="2"/>
      <c r="C5" s="2"/>
      <c r="D5" s="82" t="s">
        <v>2294</v>
      </c>
      <c r="E5" s="634">
        <v>47.454359171064503</v>
      </c>
      <c r="F5" s="634" t="s">
        <v>2310</v>
      </c>
    </row>
    <row r="6" spans="1:6" x14ac:dyDescent="0.25">
      <c r="D6" s="82" t="s">
        <v>2278</v>
      </c>
      <c r="E6" s="634">
        <v>80.28</v>
      </c>
      <c r="F6" s="298">
        <v>1.6917307788438343</v>
      </c>
    </row>
    <row r="7" spans="1:6" x14ac:dyDescent="0.25">
      <c r="D7" s="82" t="s">
        <v>2282</v>
      </c>
      <c r="E7" s="634">
        <v>107.33116603235013</v>
      </c>
      <c r="F7" s="298">
        <v>2.2617767452182931</v>
      </c>
    </row>
    <row r="8" spans="1:6" x14ac:dyDescent="0.25">
      <c r="D8" s="82"/>
      <c r="E8" s="82"/>
    </row>
    <row r="9" spans="1:6" x14ac:dyDescent="0.25">
      <c r="D9" s="82"/>
      <c r="E9" s="82"/>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G11" sqref="G11"/>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A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6384" width="9.140625" style="3"/>
  </cols>
  <sheetData>
    <row r="1" spans="1:27" ht="23.25" customHeight="1" x14ac:dyDescent="0.25">
      <c r="A1" s="3" t="s">
        <v>26</v>
      </c>
      <c r="B1" s="4" t="s">
        <v>2311</v>
      </c>
      <c r="C1" s="535" t="s">
        <v>3058</v>
      </c>
      <c r="D1" s="37" t="str">
        <f>B1</f>
        <v>Site 2-1058 Monthly kWh Comparison</v>
      </c>
    </row>
    <row r="2" spans="1:27" x14ac:dyDescent="0.25">
      <c r="A2" s="3" t="s">
        <v>20</v>
      </c>
      <c r="B2" s="4" t="s">
        <v>58</v>
      </c>
      <c r="C2" s="536" t="s">
        <v>3059</v>
      </c>
    </row>
    <row r="3" spans="1:27" x14ac:dyDescent="0.25">
      <c r="A3" s="3" t="s">
        <v>1184</v>
      </c>
      <c r="B3" s="2" t="s">
        <v>3140</v>
      </c>
      <c r="C3" s="536" t="s">
        <v>1193</v>
      </c>
      <c r="D3" s="733"/>
      <c r="E3" s="733"/>
      <c r="F3" s="733"/>
      <c r="G3" s="733"/>
      <c r="H3" s="733"/>
      <c r="I3" s="733"/>
      <c r="J3" s="733"/>
      <c r="K3" s="733"/>
      <c r="L3" s="733"/>
      <c r="M3" s="733"/>
      <c r="N3" s="733"/>
      <c r="O3" s="733"/>
    </row>
    <row r="4" spans="1:27" ht="15" customHeight="1" x14ac:dyDescent="0.25">
      <c r="B4" s="4"/>
      <c r="C4" s="4"/>
      <c r="D4" s="3" t="s">
        <v>61</v>
      </c>
      <c r="P4" s="737"/>
      <c r="Q4" s="48"/>
      <c r="R4" s="48"/>
      <c r="S4" s="48"/>
      <c r="T4" s="48"/>
      <c r="U4" s="48"/>
      <c r="V4" s="48"/>
      <c r="W4" s="48"/>
      <c r="X4" s="48"/>
      <c r="Y4" s="48"/>
      <c r="Z4" s="48"/>
      <c r="AA4" s="48"/>
    </row>
    <row r="5" spans="1:27" x14ac:dyDescent="0.25">
      <c r="B5" s="4"/>
      <c r="C5" s="4"/>
      <c r="P5" s="737"/>
    </row>
    <row r="6" spans="1:27" x14ac:dyDescent="0.25">
      <c r="P6" s="737"/>
    </row>
    <row r="7" spans="1:27" x14ac:dyDescent="0.25">
      <c r="P7" s="737"/>
    </row>
    <row r="8" spans="1:27" x14ac:dyDescent="0.25">
      <c r="P8" s="737"/>
    </row>
    <row r="9" spans="1:27" x14ac:dyDescent="0.25">
      <c r="P9" s="737"/>
    </row>
    <row r="10" spans="1:27" x14ac:dyDescent="0.25">
      <c r="P10" s="737"/>
    </row>
    <row r="11" spans="1:27" x14ac:dyDescent="0.25">
      <c r="P11" s="737"/>
    </row>
    <row r="12" spans="1:27" x14ac:dyDescent="0.25">
      <c r="P12" s="737"/>
    </row>
    <row r="13" spans="1:27" x14ac:dyDescent="0.25">
      <c r="P13" s="737"/>
    </row>
    <row r="14" spans="1:27" x14ac:dyDescent="0.25">
      <c r="P14" s="737"/>
    </row>
    <row r="15" spans="1:27" x14ac:dyDescent="0.25">
      <c r="P15" s="737"/>
    </row>
    <row r="16" spans="1:27" x14ac:dyDescent="0.25">
      <c r="P16" s="737"/>
    </row>
    <row r="17" spans="16:16" x14ac:dyDescent="0.25">
      <c r="P17" s="737"/>
    </row>
    <row r="18" spans="16:16" x14ac:dyDescent="0.25">
      <c r="P18" s="737"/>
    </row>
    <row r="19" spans="16:16" x14ac:dyDescent="0.25">
      <c r="P19" s="737"/>
    </row>
    <row r="20" spans="16:16" x14ac:dyDescent="0.25">
      <c r="P20" s="737"/>
    </row>
    <row r="21" spans="16:16" x14ac:dyDescent="0.25">
      <c r="P21" s="737"/>
    </row>
    <row r="22" spans="16:16" x14ac:dyDescent="0.25">
      <c r="P22" s="737"/>
    </row>
    <row r="23" spans="16:16" x14ac:dyDescent="0.25">
      <c r="P23" s="737"/>
    </row>
    <row r="24" spans="16:16" x14ac:dyDescent="0.25">
      <c r="P24" s="737"/>
    </row>
    <row r="25" spans="16:16" x14ac:dyDescent="0.25">
      <c r="P25" s="737"/>
    </row>
    <row r="26" spans="16:16" x14ac:dyDescent="0.25">
      <c r="P26" s="737"/>
    </row>
    <row r="27" spans="16:16" x14ac:dyDescent="0.25">
      <c r="P27" s="737"/>
    </row>
    <row r="28" spans="16:16" x14ac:dyDescent="0.25">
      <c r="P28" s="737"/>
    </row>
    <row r="29" spans="16:16" x14ac:dyDescent="0.25">
      <c r="P29" s="737"/>
    </row>
    <row r="30" spans="16:16" x14ac:dyDescent="0.25">
      <c r="P30" s="737"/>
    </row>
    <row r="31" spans="16:16" x14ac:dyDescent="0.25">
      <c r="P31" s="737"/>
    </row>
    <row r="33" spans="4:4" x14ac:dyDescent="0.25">
      <c r="D33" s="37"/>
    </row>
  </sheetData>
  <customSheetViews>
    <customSheetView guid="{679A3195-3DEA-4AC2-A535-82AAF5B552BC}" fitToPage="1" hiddenColumns="1" topLeftCell="C1">
      <selection activeCell="C3" sqref="C3"/>
      <pageMargins left="0.7" right="0.7" top="0.75" bottom="0.75" header="0.3" footer="0.3"/>
      <pageSetup scale="67" orientation="landscape" horizontalDpi="4294967293" verticalDpi="4294967293" r:id="rId1"/>
    </customSheetView>
    <customSheetView guid="{7378B641-E8D1-4C14-8151-CF4CE159D121}" fitToPage="1" hiddenColumns="1" topLeftCell="C1">
      <selection activeCell="D33" sqref="D33:D35"/>
      <pageMargins left="0.7" right="0.7" top="0.75" bottom="0.75" header="0.3" footer="0.3"/>
      <pageSetup scale="67" orientation="landscape" horizontalDpi="4294967293" verticalDpi="4294967293" r:id="rId2"/>
    </customSheetView>
    <customSheetView guid="{6D63B10B-E1E6-452A-80EB-4B2C7D61CF66}" fitToPage="1" hiddenColumns="1" topLeftCell="C1">
      <selection activeCell="C3" sqref="C3"/>
      <pageMargins left="0.7" right="0.7" top="0.75" bottom="0.75" header="0.3" footer="0.3"/>
      <pageSetup scale="67" orientation="landscape" horizontalDpi="4294967293" verticalDpi="4294967293" r:id="rId3"/>
    </customSheetView>
  </customSheetViews>
  <mergeCells count="2">
    <mergeCell ref="D3:O3"/>
    <mergeCell ref="P4:P31"/>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scale="67" orientation="landscape" horizontalDpi="4294967293" verticalDpi="4294967293"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80"/>
  <sheetViews>
    <sheetView zoomScaleNormal="100" workbookViewId="0">
      <pane xSplit="1" ySplit="1" topLeftCell="B2" activePane="bottomRight" state="frozen"/>
      <selection pane="topRight" activeCell="B1" sqref="B1"/>
      <selection pane="bottomLeft" activeCell="A2" sqref="A2"/>
      <selection pane="bottomRight" activeCell="E1" sqref="E1"/>
    </sheetView>
  </sheetViews>
  <sheetFormatPr defaultRowHeight="15" x14ac:dyDescent="0.25"/>
  <cols>
    <col min="1" max="1" width="26.85546875" style="37" customWidth="1"/>
    <col min="2" max="2" width="54.85546875" style="3" customWidth="1"/>
    <col min="3" max="16384" width="9.140625" style="3"/>
  </cols>
  <sheetData>
    <row r="1" spans="1:2" s="37" customFormat="1" x14ac:dyDescent="0.25">
      <c r="A1" s="37" t="s">
        <v>3096</v>
      </c>
      <c r="B1" s="37" t="s">
        <v>3097</v>
      </c>
    </row>
    <row r="2" spans="1:2" ht="51" customHeight="1" x14ac:dyDescent="0.25">
      <c r="A2" s="37" t="s">
        <v>2339</v>
      </c>
      <c r="B2" s="4" t="s">
        <v>3053</v>
      </c>
    </row>
    <row r="3" spans="1:2" ht="82.5" customHeight="1" x14ac:dyDescent="0.25">
      <c r="A3" s="37" t="s">
        <v>3054</v>
      </c>
      <c r="B3" s="4" t="s">
        <v>2340</v>
      </c>
    </row>
    <row r="4" spans="1:2" ht="30" customHeight="1" x14ac:dyDescent="0.25">
      <c r="A4" s="37" t="s">
        <v>3141</v>
      </c>
      <c r="B4" s="4" t="s">
        <v>3142</v>
      </c>
    </row>
    <row r="5" spans="1:2" ht="56.25" customHeight="1" x14ac:dyDescent="0.25">
      <c r="A5" s="37" t="s">
        <v>2378</v>
      </c>
      <c r="B5" s="4" t="s">
        <v>2379</v>
      </c>
    </row>
    <row r="6" spans="1:2" ht="83.25" customHeight="1" x14ac:dyDescent="0.25">
      <c r="A6" s="37" t="s">
        <v>3055</v>
      </c>
      <c r="B6" s="4" t="s">
        <v>2349</v>
      </c>
    </row>
    <row r="7" spans="1:2" ht="39" customHeight="1" x14ac:dyDescent="0.25">
      <c r="A7" s="37" t="s">
        <v>2343</v>
      </c>
      <c r="B7" s="4" t="s">
        <v>2344</v>
      </c>
    </row>
    <row r="8" spans="1:2" ht="42.75" customHeight="1" x14ac:dyDescent="0.25">
      <c r="A8" s="37" t="s">
        <v>2361</v>
      </c>
      <c r="B8" s="4" t="s">
        <v>2366</v>
      </c>
    </row>
    <row r="9" spans="1:2" ht="54" customHeight="1" x14ac:dyDescent="0.25">
      <c r="A9" s="37" t="s">
        <v>2362</v>
      </c>
      <c r="B9" s="4" t="s">
        <v>2365</v>
      </c>
    </row>
    <row r="10" spans="1:2" ht="37.5" customHeight="1" x14ac:dyDescent="0.25">
      <c r="A10" s="37" t="s">
        <v>2358</v>
      </c>
      <c r="B10" s="4" t="s">
        <v>2359</v>
      </c>
    </row>
    <row r="11" spans="1:2" ht="42.75" customHeight="1" x14ac:dyDescent="0.25">
      <c r="A11" s="37" t="s">
        <v>2388</v>
      </c>
      <c r="B11" s="4" t="s">
        <v>2389</v>
      </c>
    </row>
    <row r="12" spans="1:2" ht="22.5" customHeight="1" x14ac:dyDescent="0.25">
      <c r="A12" s="37" t="s">
        <v>2371</v>
      </c>
      <c r="B12" s="4" t="s">
        <v>2372</v>
      </c>
    </row>
    <row r="13" spans="1:2" ht="40.5" customHeight="1" x14ac:dyDescent="0.25">
      <c r="A13" s="37" t="s">
        <v>2353</v>
      </c>
      <c r="B13" s="4" t="s">
        <v>2382</v>
      </c>
    </row>
    <row r="14" spans="1:2" ht="57.75" customHeight="1" x14ac:dyDescent="0.25">
      <c r="A14" s="37" t="s">
        <v>2345</v>
      </c>
      <c r="B14" s="4" t="s">
        <v>2346</v>
      </c>
    </row>
    <row r="15" spans="1:2" ht="37.5" customHeight="1" x14ac:dyDescent="0.25">
      <c r="A15" s="37" t="s">
        <v>2363</v>
      </c>
      <c r="B15" s="4" t="s">
        <v>2367</v>
      </c>
    </row>
    <row r="16" spans="1:2" ht="38.25" customHeight="1" x14ac:dyDescent="0.25">
      <c r="A16" s="37" t="s">
        <v>2364</v>
      </c>
      <c r="B16" s="4" t="s">
        <v>2368</v>
      </c>
    </row>
    <row r="17" spans="1:2" ht="22.5" customHeight="1" x14ac:dyDescent="0.25">
      <c r="A17" s="37" t="s">
        <v>2377</v>
      </c>
      <c r="B17" s="4" t="s">
        <v>2384</v>
      </c>
    </row>
    <row r="18" spans="1:2" ht="98.25" customHeight="1" x14ac:dyDescent="0.25">
      <c r="A18" s="37" t="s">
        <v>2351</v>
      </c>
      <c r="B18" s="4" t="s">
        <v>2352</v>
      </c>
    </row>
    <row r="19" spans="1:2" ht="51.75" customHeight="1" x14ac:dyDescent="0.25">
      <c r="A19" s="37" t="s">
        <v>1389</v>
      </c>
      <c r="B19" s="4" t="s">
        <v>2350</v>
      </c>
    </row>
    <row r="20" spans="1:2" ht="54.75" customHeight="1" x14ac:dyDescent="0.25">
      <c r="A20" s="37" t="s">
        <v>3056</v>
      </c>
      <c r="B20" s="4" t="s">
        <v>3057</v>
      </c>
    </row>
    <row r="21" spans="1:2" ht="83.25" customHeight="1" x14ac:dyDescent="0.25">
      <c r="A21" s="37" t="s">
        <v>2278</v>
      </c>
      <c r="B21" s="4" t="s">
        <v>2383</v>
      </c>
    </row>
    <row r="22" spans="1:2" ht="71.25" customHeight="1" x14ac:dyDescent="0.25">
      <c r="A22" s="37" t="s">
        <v>2376</v>
      </c>
      <c r="B22" s="4" t="s">
        <v>2385</v>
      </c>
    </row>
    <row r="23" spans="1:2" ht="36" customHeight="1" x14ac:dyDescent="0.25">
      <c r="A23" s="37" t="s">
        <v>2380</v>
      </c>
      <c r="B23" s="4" t="s">
        <v>2381</v>
      </c>
    </row>
    <row r="24" spans="1:2" ht="50.25" customHeight="1" x14ac:dyDescent="0.25">
      <c r="A24" s="37" t="s">
        <v>2360</v>
      </c>
      <c r="B24" s="4" t="s">
        <v>2373</v>
      </c>
    </row>
    <row r="25" spans="1:2" ht="21" customHeight="1" x14ac:dyDescent="0.25">
      <c r="A25" s="37" t="s">
        <v>2374</v>
      </c>
      <c r="B25" s="4" t="s">
        <v>2375</v>
      </c>
    </row>
    <row r="26" spans="1:2" ht="22.5" customHeight="1" x14ac:dyDescent="0.25">
      <c r="A26" s="37" t="s">
        <v>2356</v>
      </c>
      <c r="B26" s="4" t="s">
        <v>2357</v>
      </c>
    </row>
    <row r="27" spans="1:2" ht="38.25" customHeight="1" x14ac:dyDescent="0.25">
      <c r="A27" s="37" t="s">
        <v>2354</v>
      </c>
      <c r="B27" s="4" t="s">
        <v>2355</v>
      </c>
    </row>
    <row r="28" spans="1:2" ht="66.75" customHeight="1" x14ac:dyDescent="0.25">
      <c r="A28" s="37" t="s">
        <v>2347</v>
      </c>
      <c r="B28" s="4" t="s">
        <v>2348</v>
      </c>
    </row>
    <row r="29" spans="1:2" ht="48" customHeight="1" x14ac:dyDescent="0.25">
      <c r="A29" s="37" t="s">
        <v>2341</v>
      </c>
      <c r="B29" s="4" t="s">
        <v>2342</v>
      </c>
    </row>
    <row r="30" spans="1:2" ht="20.25" customHeight="1" x14ac:dyDescent="0.25">
      <c r="A30" s="37" t="s">
        <v>2369</v>
      </c>
      <c r="B30" s="4" t="s">
        <v>2370</v>
      </c>
    </row>
    <row r="31" spans="1:2" ht="25.5" customHeight="1" x14ac:dyDescent="0.25">
      <c r="A31" s="37" t="s">
        <v>2386</v>
      </c>
      <c r="B31" s="4" t="s">
        <v>2387</v>
      </c>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row r="41" spans="2:2" x14ac:dyDescent="0.25">
      <c r="B41" s="4"/>
    </row>
    <row r="42" spans="2:2" x14ac:dyDescent="0.25">
      <c r="B42" s="4"/>
    </row>
    <row r="43" spans="2:2" x14ac:dyDescent="0.25">
      <c r="B43" s="4"/>
    </row>
    <row r="44" spans="2:2" x14ac:dyDescent="0.25">
      <c r="B44" s="4"/>
    </row>
    <row r="45" spans="2:2" x14ac:dyDescent="0.25">
      <c r="B45" s="4"/>
    </row>
    <row r="46" spans="2:2" x14ac:dyDescent="0.25">
      <c r="B46" s="4"/>
    </row>
    <row r="47" spans="2:2" x14ac:dyDescent="0.25">
      <c r="B47" s="4"/>
    </row>
    <row r="48" spans="2:2" x14ac:dyDescent="0.25">
      <c r="B48" s="4"/>
    </row>
    <row r="49" spans="2:2" x14ac:dyDescent="0.25">
      <c r="B49" s="4"/>
    </row>
    <row r="50" spans="2:2" x14ac:dyDescent="0.25">
      <c r="B50" s="4"/>
    </row>
    <row r="51" spans="2:2" x14ac:dyDescent="0.25">
      <c r="B51" s="4"/>
    </row>
    <row r="52" spans="2:2" x14ac:dyDescent="0.25">
      <c r="B52" s="4"/>
    </row>
    <row r="53" spans="2:2" x14ac:dyDescent="0.25">
      <c r="B53" s="4"/>
    </row>
    <row r="54" spans="2:2" x14ac:dyDescent="0.25">
      <c r="B54" s="4"/>
    </row>
    <row r="55" spans="2:2" x14ac:dyDescent="0.25">
      <c r="B55" s="4"/>
    </row>
    <row r="56" spans="2:2" x14ac:dyDescent="0.25">
      <c r="B56" s="4"/>
    </row>
    <row r="57" spans="2:2" x14ac:dyDescent="0.25">
      <c r="B57" s="4"/>
    </row>
    <row r="58" spans="2:2" x14ac:dyDescent="0.25">
      <c r="B58" s="4"/>
    </row>
    <row r="59" spans="2:2" x14ac:dyDescent="0.25">
      <c r="B59" s="4"/>
    </row>
    <row r="60" spans="2:2" x14ac:dyDescent="0.25">
      <c r="B60" s="4"/>
    </row>
    <row r="61" spans="2:2" x14ac:dyDescent="0.25">
      <c r="B61" s="4"/>
    </row>
    <row r="62" spans="2:2" x14ac:dyDescent="0.25">
      <c r="B62" s="4"/>
    </row>
    <row r="63" spans="2:2" x14ac:dyDescent="0.25">
      <c r="B63" s="4"/>
    </row>
    <row r="64" spans="2:2" x14ac:dyDescent="0.25">
      <c r="B64" s="4"/>
    </row>
    <row r="65" spans="2:2" x14ac:dyDescent="0.25">
      <c r="B65" s="4"/>
    </row>
    <row r="66" spans="2:2" x14ac:dyDescent="0.25">
      <c r="B66" s="4"/>
    </row>
    <row r="67" spans="2:2" x14ac:dyDescent="0.25">
      <c r="B67" s="4"/>
    </row>
    <row r="68" spans="2:2" x14ac:dyDescent="0.25">
      <c r="B68" s="4"/>
    </row>
    <row r="69" spans="2:2" x14ac:dyDescent="0.25">
      <c r="B69" s="4"/>
    </row>
    <row r="70" spans="2:2" x14ac:dyDescent="0.25">
      <c r="B70" s="4"/>
    </row>
    <row r="71" spans="2:2" x14ac:dyDescent="0.25">
      <c r="B71" s="4"/>
    </row>
    <row r="72" spans="2:2" x14ac:dyDescent="0.25">
      <c r="B72" s="4"/>
    </row>
    <row r="73" spans="2:2" x14ac:dyDescent="0.25">
      <c r="B73" s="4"/>
    </row>
    <row r="74" spans="2:2" x14ac:dyDescent="0.25">
      <c r="B74" s="4"/>
    </row>
    <row r="75" spans="2:2" x14ac:dyDescent="0.25">
      <c r="B75" s="4"/>
    </row>
    <row r="76" spans="2:2" x14ac:dyDescent="0.25">
      <c r="B76" s="4"/>
    </row>
    <row r="77" spans="2:2" x14ac:dyDescent="0.25">
      <c r="B77" s="4"/>
    </row>
    <row r="78" spans="2:2" x14ac:dyDescent="0.25">
      <c r="B78" s="4"/>
    </row>
    <row r="79" spans="2:2" x14ac:dyDescent="0.25">
      <c r="B79" s="4"/>
    </row>
    <row r="80" spans="2:2" x14ac:dyDescent="0.25">
      <c r="B80" s="4"/>
    </row>
  </sheetData>
  <autoFilter ref="A1:B80"/>
  <sortState ref="A2:B29">
    <sortCondition ref="A1"/>
  </sortState>
  <customSheetViews>
    <customSheetView guid="{679A3195-3DEA-4AC2-A535-82AAF5B552BC}" showAutoFilter="1">
      <pane xSplit="1" ySplit="1" topLeftCell="B2" activePane="bottomRight" state="frozen"/>
      <selection pane="bottomRight" activeCell="E1" sqref="E1"/>
      <pageMargins left="0.7" right="0.7" top="0.75" bottom="0.75" header="0.3" footer="0.3"/>
      <autoFilter ref="A1:B80"/>
    </customSheetView>
    <customSheetView guid="{7378B641-E8D1-4C14-8151-CF4CE159D121}" showAutoFilter="1">
      <pane xSplit="1" ySplit="1" topLeftCell="B2" activePane="bottomRight" state="frozen"/>
      <selection pane="bottomRight" activeCell="E1" sqref="E1"/>
      <pageMargins left="0.7" right="0.7" top="0.75" bottom="0.75" header="0.3" footer="0.3"/>
      <autoFilter ref="A1:B80"/>
    </customSheetView>
    <customSheetView guid="{6D63B10B-E1E6-452A-80EB-4B2C7D61CF66}" showAutoFilter="1">
      <pane xSplit="1" ySplit="1" topLeftCell="B2" activePane="bottomRight" state="frozen"/>
      <selection pane="bottomRight" activeCell="E1" sqref="E1"/>
      <pageMargins left="0.7" right="0.7" top="0.75" bottom="0.75" header="0.3" footer="0.3"/>
      <autoFilter ref="A1:B80"/>
    </customSheetView>
  </customSheetView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E14"/>
  <sheetViews>
    <sheetView workbookViewId="0">
      <selection activeCell="C3" sqref="C3"/>
    </sheetView>
  </sheetViews>
  <sheetFormatPr defaultRowHeight="15" x14ac:dyDescent="0.25"/>
  <cols>
    <col min="1" max="1" width="10.85546875" style="3" bestFit="1" customWidth="1"/>
    <col min="2" max="3" width="7.28515625" style="3" bestFit="1" customWidth="1"/>
    <col min="4" max="4" width="7.28515625" style="3" customWidth="1"/>
    <col min="5" max="5" width="53.42578125" style="3" customWidth="1"/>
    <col min="6" max="241" width="9.140625" style="3"/>
    <col min="242" max="242" width="17.85546875" style="3" customWidth="1"/>
    <col min="243" max="497" width="9.140625" style="3"/>
    <col min="498" max="498" width="17.85546875" style="3" customWidth="1"/>
    <col min="499" max="753" width="9.140625" style="3"/>
    <col min="754" max="754" width="17.85546875" style="3" customWidth="1"/>
    <col min="755" max="1009" width="9.140625" style="3"/>
    <col min="1010" max="1010" width="17.85546875" style="3" customWidth="1"/>
    <col min="1011" max="1265" width="9.140625" style="3"/>
    <col min="1266" max="1266" width="17.85546875" style="3" customWidth="1"/>
    <col min="1267" max="1521" width="9.140625" style="3"/>
    <col min="1522" max="1522" width="17.85546875" style="3" customWidth="1"/>
    <col min="1523" max="1777" width="9.140625" style="3"/>
    <col min="1778" max="1778" width="17.85546875" style="3" customWidth="1"/>
    <col min="1779" max="2033" width="9.140625" style="3"/>
    <col min="2034" max="2034" width="17.85546875" style="3" customWidth="1"/>
    <col min="2035" max="2289" width="9.140625" style="3"/>
    <col min="2290" max="2290" width="17.85546875" style="3" customWidth="1"/>
    <col min="2291" max="2545" width="9.140625" style="3"/>
    <col min="2546" max="2546" width="17.85546875" style="3" customWidth="1"/>
    <col min="2547" max="2801" width="9.140625" style="3"/>
    <col min="2802" max="2802" width="17.85546875" style="3" customWidth="1"/>
    <col min="2803" max="3057" width="9.140625" style="3"/>
    <col min="3058" max="3058" width="17.85546875" style="3" customWidth="1"/>
    <col min="3059" max="3313" width="9.140625" style="3"/>
    <col min="3314" max="3314" width="17.85546875" style="3" customWidth="1"/>
    <col min="3315" max="3569" width="9.140625" style="3"/>
    <col min="3570" max="3570" width="17.85546875" style="3" customWidth="1"/>
    <col min="3571" max="3825" width="9.140625" style="3"/>
    <col min="3826" max="3826" width="17.85546875" style="3" customWidth="1"/>
    <col min="3827" max="4081" width="9.140625" style="3"/>
    <col min="4082" max="4082" width="17.85546875" style="3" customWidth="1"/>
    <col min="4083" max="4337" width="9.140625" style="3"/>
    <col min="4338" max="4338" width="17.85546875" style="3" customWidth="1"/>
    <col min="4339" max="4593" width="9.140625" style="3"/>
    <col min="4594" max="4594" width="17.85546875" style="3" customWidth="1"/>
    <col min="4595" max="4849" width="9.140625" style="3"/>
    <col min="4850" max="4850" width="17.85546875" style="3" customWidth="1"/>
    <col min="4851" max="5105" width="9.140625" style="3"/>
    <col min="5106" max="5106" width="17.85546875" style="3" customWidth="1"/>
    <col min="5107" max="5361" width="9.140625" style="3"/>
    <col min="5362" max="5362" width="17.85546875" style="3" customWidth="1"/>
    <col min="5363" max="5617" width="9.140625" style="3"/>
    <col min="5618" max="5618" width="17.85546875" style="3" customWidth="1"/>
    <col min="5619" max="5873" width="9.140625" style="3"/>
    <col min="5874" max="5874" width="17.85546875" style="3" customWidth="1"/>
    <col min="5875" max="6129" width="9.140625" style="3"/>
    <col min="6130" max="6130" width="17.85546875" style="3" customWidth="1"/>
    <col min="6131" max="6385" width="9.140625" style="3"/>
    <col min="6386" max="6386" width="17.85546875" style="3" customWidth="1"/>
    <col min="6387" max="6641" width="9.140625" style="3"/>
    <col min="6642" max="6642" width="17.85546875" style="3" customWidth="1"/>
    <col min="6643" max="6897" width="9.140625" style="3"/>
    <col min="6898" max="6898" width="17.85546875" style="3" customWidth="1"/>
    <col min="6899" max="7153" width="9.140625" style="3"/>
    <col min="7154" max="7154" width="17.85546875" style="3" customWidth="1"/>
    <col min="7155" max="7409" width="9.140625" style="3"/>
    <col min="7410" max="7410" width="17.85546875" style="3" customWidth="1"/>
    <col min="7411" max="7665" width="9.140625" style="3"/>
    <col min="7666" max="7666" width="17.85546875" style="3" customWidth="1"/>
    <col min="7667" max="7921" width="9.140625" style="3"/>
    <col min="7922" max="7922" width="17.85546875" style="3" customWidth="1"/>
    <col min="7923" max="8177" width="9.140625" style="3"/>
    <col min="8178" max="8178" width="17.85546875" style="3" customWidth="1"/>
    <col min="8179" max="8433" width="9.140625" style="3"/>
    <col min="8434" max="8434" width="17.85546875" style="3" customWidth="1"/>
    <col min="8435" max="8689" width="9.140625" style="3"/>
    <col min="8690" max="8690" width="17.85546875" style="3" customWidth="1"/>
    <col min="8691" max="8945" width="9.140625" style="3"/>
    <col min="8946" max="8946" width="17.85546875" style="3" customWidth="1"/>
    <col min="8947" max="9201" width="9.140625" style="3"/>
    <col min="9202" max="9202" width="17.85546875" style="3" customWidth="1"/>
    <col min="9203" max="9457" width="9.140625" style="3"/>
    <col min="9458" max="9458" width="17.85546875" style="3" customWidth="1"/>
    <col min="9459" max="9713" width="9.140625" style="3"/>
    <col min="9714" max="9714" width="17.85546875" style="3" customWidth="1"/>
    <col min="9715" max="9969" width="9.140625" style="3"/>
    <col min="9970" max="9970" width="17.85546875" style="3" customWidth="1"/>
    <col min="9971" max="10225" width="9.140625" style="3"/>
    <col min="10226" max="10226" width="17.85546875" style="3" customWidth="1"/>
    <col min="10227" max="10481" width="9.140625" style="3"/>
    <col min="10482" max="10482" width="17.85546875" style="3" customWidth="1"/>
    <col min="10483" max="10737" width="9.140625" style="3"/>
    <col min="10738" max="10738" width="17.85546875" style="3" customWidth="1"/>
    <col min="10739" max="10993" width="9.140625" style="3"/>
    <col min="10994" max="10994" width="17.85546875" style="3" customWidth="1"/>
    <col min="10995" max="11249" width="9.140625" style="3"/>
    <col min="11250" max="11250" width="17.85546875" style="3" customWidth="1"/>
    <col min="11251" max="11505" width="9.140625" style="3"/>
    <col min="11506" max="11506" width="17.85546875" style="3" customWidth="1"/>
    <col min="11507" max="11761" width="9.140625" style="3"/>
    <col min="11762" max="11762" width="17.85546875" style="3" customWidth="1"/>
    <col min="11763" max="12017" width="9.140625" style="3"/>
    <col min="12018" max="12018" width="17.85546875" style="3" customWidth="1"/>
    <col min="12019" max="12273" width="9.140625" style="3"/>
    <col min="12274" max="12274" width="17.85546875" style="3" customWidth="1"/>
    <col min="12275" max="12529" width="9.140625" style="3"/>
    <col min="12530" max="12530" width="17.85546875" style="3" customWidth="1"/>
    <col min="12531" max="12785" width="9.140625" style="3"/>
    <col min="12786" max="12786" width="17.85546875" style="3" customWidth="1"/>
    <col min="12787" max="13041" width="9.140625" style="3"/>
    <col min="13042" max="13042" width="17.85546875" style="3" customWidth="1"/>
    <col min="13043" max="13297" width="9.140625" style="3"/>
    <col min="13298" max="13298" width="17.85546875" style="3" customWidth="1"/>
    <col min="13299" max="13553" width="9.140625" style="3"/>
    <col min="13554" max="13554" width="17.85546875" style="3" customWidth="1"/>
    <col min="13555" max="13809" width="9.140625" style="3"/>
    <col min="13810" max="13810" width="17.85546875" style="3" customWidth="1"/>
    <col min="13811" max="14065" width="9.140625" style="3"/>
    <col min="14066" max="14066" width="17.85546875" style="3" customWidth="1"/>
    <col min="14067" max="14321" width="9.140625" style="3"/>
    <col min="14322" max="14322" width="17.85546875" style="3" customWidth="1"/>
    <col min="14323" max="14577" width="9.140625" style="3"/>
    <col min="14578" max="14578" width="17.85546875" style="3" customWidth="1"/>
    <col min="14579" max="14833" width="9.140625" style="3"/>
    <col min="14834" max="14834" width="17.85546875" style="3" customWidth="1"/>
    <col min="14835" max="15089" width="9.140625" style="3"/>
    <col min="15090" max="15090" width="17.85546875" style="3" customWidth="1"/>
    <col min="15091" max="15345" width="9.140625" style="3"/>
    <col min="15346" max="15346" width="17.85546875" style="3" customWidth="1"/>
    <col min="15347" max="15601" width="9.140625" style="3"/>
    <col min="15602" max="15602" width="17.85546875" style="3" customWidth="1"/>
    <col min="15603" max="15857" width="9.140625" style="3"/>
    <col min="15858" max="15858" width="17.85546875" style="3" customWidth="1"/>
    <col min="15859" max="16113" width="9.140625" style="3"/>
    <col min="16114" max="16114" width="17.85546875" style="3" customWidth="1"/>
    <col min="16115" max="16384" width="9.140625" style="3"/>
  </cols>
  <sheetData>
    <row r="1" spans="1:5" s="43" customFormat="1" ht="14.25" x14ac:dyDescent="0.25">
      <c r="A1" s="42" t="s">
        <v>2293</v>
      </c>
      <c r="B1" s="43" t="s">
        <v>2278</v>
      </c>
      <c r="C1" s="43" t="s">
        <v>2282</v>
      </c>
      <c r="D1" s="43" t="s">
        <v>2294</v>
      </c>
    </row>
    <row r="2" spans="1:5" x14ac:dyDescent="0.25">
      <c r="A2" s="44" t="s">
        <v>2295</v>
      </c>
      <c r="B2" s="45">
        <v>752</v>
      </c>
      <c r="C2" s="45">
        <v>900.92259999999999</v>
      </c>
      <c r="D2" s="45">
        <v>559.87878787878799</v>
      </c>
      <c r="E2" s="46" t="s">
        <v>1208</v>
      </c>
    </row>
    <row r="3" spans="1:5" x14ac:dyDescent="0.25">
      <c r="A3" s="44" t="s">
        <v>2296</v>
      </c>
      <c r="B3" s="69">
        <v>622</v>
      </c>
      <c r="C3" s="69">
        <v>679.81439999999998</v>
      </c>
      <c r="D3" s="69">
        <v>450.80000000000007</v>
      </c>
    </row>
    <row r="4" spans="1:5" x14ac:dyDescent="0.25">
      <c r="A4" s="44" t="s">
        <v>2297</v>
      </c>
      <c r="B4" s="69">
        <v>655</v>
      </c>
      <c r="C4" s="69">
        <v>720.38630000000001</v>
      </c>
      <c r="D4" s="69">
        <v>420.56666666666666</v>
      </c>
    </row>
    <row r="5" spans="1:5" x14ac:dyDescent="0.25">
      <c r="A5" s="44" t="s">
        <v>2298</v>
      </c>
      <c r="B5" s="69">
        <v>611</v>
      </c>
      <c r="C5" s="69">
        <v>604.77409999999998</v>
      </c>
      <c r="D5" s="69">
        <v>382.5</v>
      </c>
    </row>
    <row r="6" spans="1:5" x14ac:dyDescent="0.25">
      <c r="A6" s="44" t="s">
        <v>2299</v>
      </c>
      <c r="B6" s="69">
        <v>639</v>
      </c>
      <c r="C6" s="69">
        <v>525.66250000000002</v>
      </c>
      <c r="D6" s="69">
        <v>397.46428571428572</v>
      </c>
    </row>
    <row r="7" spans="1:5" x14ac:dyDescent="0.25">
      <c r="A7" s="44" t="s">
        <v>2300</v>
      </c>
      <c r="B7" s="69">
        <v>565</v>
      </c>
      <c r="C7" s="69">
        <v>449.7912</v>
      </c>
      <c r="D7" s="69">
        <v>376.45161290322579</v>
      </c>
    </row>
    <row r="8" spans="1:5" x14ac:dyDescent="0.25">
      <c r="A8" s="44" t="s">
        <v>2301</v>
      </c>
      <c r="B8" s="69">
        <v>546</v>
      </c>
      <c r="C8" s="69">
        <v>447.33109999999999</v>
      </c>
      <c r="D8" s="69">
        <v>365</v>
      </c>
    </row>
    <row r="9" spans="1:5" x14ac:dyDescent="0.25">
      <c r="A9" s="44" t="s">
        <v>2302</v>
      </c>
      <c r="B9" s="69">
        <v>544</v>
      </c>
      <c r="C9" s="69">
        <v>524.79110000000003</v>
      </c>
      <c r="D9" s="69">
        <v>399.90000000000003</v>
      </c>
    </row>
    <row r="10" spans="1:5" x14ac:dyDescent="0.25">
      <c r="A10" s="44" t="s">
        <v>2303</v>
      </c>
      <c r="B10" s="69">
        <v>561</v>
      </c>
      <c r="C10" s="69">
        <v>512.29660000000001</v>
      </c>
      <c r="D10" s="69">
        <v>358</v>
      </c>
    </row>
    <row r="11" spans="1:5" x14ac:dyDescent="0.25">
      <c r="A11" s="44" t="s">
        <v>2304</v>
      </c>
      <c r="B11" s="69">
        <v>592</v>
      </c>
      <c r="C11" s="69">
        <v>602.90110000000004</v>
      </c>
      <c r="D11" s="69">
        <v>380</v>
      </c>
    </row>
    <row r="12" spans="1:5" x14ac:dyDescent="0.25">
      <c r="A12" s="44" t="s">
        <v>2305</v>
      </c>
      <c r="B12" s="69">
        <v>632</v>
      </c>
      <c r="C12" s="69">
        <v>714.64660000000003</v>
      </c>
      <c r="D12" s="69">
        <v>280.34482758620692</v>
      </c>
    </row>
    <row r="13" spans="1:5" x14ac:dyDescent="0.25">
      <c r="A13" s="44" t="s">
        <v>2306</v>
      </c>
      <c r="B13" s="69">
        <v>749</v>
      </c>
      <c r="C13" s="69">
        <v>889.19510000000002</v>
      </c>
      <c r="D13" s="69">
        <v>464</v>
      </c>
    </row>
    <row r="14" spans="1:5" ht="60" x14ac:dyDescent="0.25">
      <c r="E14" s="46" t="s">
        <v>1206</v>
      </c>
    </row>
  </sheetData>
  <customSheetViews>
    <customSheetView guid="{679A3195-3DEA-4AC2-A535-82AAF5B552BC}" state="hidden">
      <selection activeCell="C1" sqref="C1"/>
      <pageMargins left="0.75" right="0.75" top="1" bottom="1" header="0.5" footer="0.5"/>
      <pageSetup orientation="portrait" horizontalDpi="1200" verticalDpi="1200" r:id="rId1"/>
      <headerFooter alignWithMargins="0"/>
    </customSheetView>
    <customSheetView guid="{7378B641-E8D1-4C14-8151-CF4CE159D121}">
      <selection activeCell="C2" sqref="C2:C13"/>
      <pageMargins left="0.75" right="0.75" top="1" bottom="1" header="0.5" footer="0.5"/>
      <pageSetup orientation="portrait" horizontalDpi="1200" verticalDpi="1200" r:id="rId2"/>
      <headerFooter alignWithMargins="0"/>
    </customSheetView>
    <customSheetView guid="{6D63B10B-E1E6-452A-80EB-4B2C7D61CF66}">
      <selection activeCell="C3" sqref="C3"/>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6384" width="9.140625" style="3"/>
  </cols>
  <sheetData>
    <row r="1" spans="1:27" ht="24" customHeight="1" x14ac:dyDescent="0.25">
      <c r="A1" s="3" t="s">
        <v>26</v>
      </c>
      <c r="B1" s="4" t="s">
        <v>2312</v>
      </c>
      <c r="C1" s="535" t="s">
        <v>3058</v>
      </c>
      <c r="D1" s="37" t="str">
        <f>B1</f>
        <v>Site 2-1058 Monthly Therms Comparison</v>
      </c>
    </row>
    <row r="2" spans="1:27" x14ac:dyDescent="0.25">
      <c r="A2" s="3" t="s">
        <v>20</v>
      </c>
      <c r="B2" s="4" t="s">
        <v>58</v>
      </c>
      <c r="C2" s="536" t="s">
        <v>3059</v>
      </c>
    </row>
    <row r="3" spans="1:27" x14ac:dyDescent="0.25">
      <c r="A3" s="3" t="s">
        <v>1184</v>
      </c>
      <c r="B3" s="2" t="s">
        <v>3140</v>
      </c>
      <c r="C3" s="536" t="s">
        <v>1193</v>
      </c>
      <c r="D3" s="733"/>
      <c r="E3" s="733"/>
      <c r="F3" s="733"/>
      <c r="G3" s="733"/>
      <c r="H3" s="733"/>
      <c r="I3" s="733"/>
      <c r="J3" s="733"/>
      <c r="K3" s="733"/>
      <c r="L3" s="733"/>
      <c r="M3" s="733"/>
      <c r="N3" s="733"/>
      <c r="O3" s="733"/>
    </row>
    <row r="4" spans="1:27" ht="15" customHeight="1" x14ac:dyDescent="0.25">
      <c r="B4" s="4"/>
      <c r="C4" s="4"/>
      <c r="D4" s="3" t="s">
        <v>61</v>
      </c>
      <c r="P4" s="737"/>
      <c r="Q4" s="48"/>
      <c r="R4" s="48"/>
      <c r="S4" s="48"/>
      <c r="T4" s="48"/>
      <c r="U4" s="48"/>
      <c r="V4" s="48"/>
      <c r="W4" s="48"/>
      <c r="X4" s="48"/>
      <c r="Y4" s="48"/>
      <c r="Z4" s="48"/>
      <c r="AA4" s="48"/>
    </row>
    <row r="5" spans="1:27" x14ac:dyDescent="0.25">
      <c r="B5" s="4"/>
      <c r="C5" s="4"/>
      <c r="P5" s="737"/>
    </row>
    <row r="6" spans="1:27" x14ac:dyDescent="0.25">
      <c r="P6" s="737"/>
    </row>
    <row r="7" spans="1:27" x14ac:dyDescent="0.25">
      <c r="P7" s="737"/>
    </row>
    <row r="8" spans="1:27" x14ac:dyDescent="0.25">
      <c r="P8" s="737"/>
    </row>
    <row r="9" spans="1:27" x14ac:dyDescent="0.25">
      <c r="P9" s="737"/>
    </row>
    <row r="10" spans="1:27" x14ac:dyDescent="0.25">
      <c r="P10" s="737"/>
    </row>
    <row r="11" spans="1:27" x14ac:dyDescent="0.25">
      <c r="P11" s="737"/>
    </row>
    <row r="12" spans="1:27" x14ac:dyDescent="0.25">
      <c r="P12" s="737"/>
    </row>
    <row r="13" spans="1:27" x14ac:dyDescent="0.25">
      <c r="P13" s="737"/>
    </row>
    <row r="14" spans="1:27" x14ac:dyDescent="0.25">
      <c r="P14" s="737"/>
    </row>
    <row r="15" spans="1:27" x14ac:dyDescent="0.25">
      <c r="P15" s="737"/>
    </row>
    <row r="16" spans="1:27" x14ac:dyDescent="0.25">
      <c r="P16" s="737"/>
    </row>
    <row r="17" spans="16:16" x14ac:dyDescent="0.25">
      <c r="P17" s="737"/>
    </row>
    <row r="18" spans="16:16" x14ac:dyDescent="0.25">
      <c r="P18" s="737"/>
    </row>
    <row r="19" spans="16:16" x14ac:dyDescent="0.25">
      <c r="P19" s="737"/>
    </row>
    <row r="20" spans="16:16" x14ac:dyDescent="0.25">
      <c r="P20" s="737"/>
    </row>
    <row r="21" spans="16:16" x14ac:dyDescent="0.25">
      <c r="P21" s="737"/>
    </row>
    <row r="22" spans="16:16" x14ac:dyDescent="0.25">
      <c r="P22" s="737"/>
    </row>
    <row r="23" spans="16:16" x14ac:dyDescent="0.25">
      <c r="P23" s="737"/>
    </row>
    <row r="24" spans="16:16" x14ac:dyDescent="0.25">
      <c r="P24" s="737"/>
    </row>
    <row r="25" spans="16:16" x14ac:dyDescent="0.25">
      <c r="P25" s="737"/>
    </row>
    <row r="26" spans="16:16" x14ac:dyDescent="0.25">
      <c r="P26" s="737"/>
    </row>
    <row r="27" spans="16:16" x14ac:dyDescent="0.25">
      <c r="P27" s="737"/>
    </row>
    <row r="28" spans="16:16" x14ac:dyDescent="0.25">
      <c r="P28" s="737"/>
    </row>
    <row r="29" spans="16:16" x14ac:dyDescent="0.25">
      <c r="P29" s="737"/>
    </row>
    <row r="30" spans="16:16" x14ac:dyDescent="0.25">
      <c r="P30" s="737"/>
    </row>
    <row r="31" spans="16:16" x14ac:dyDescent="0.25">
      <c r="P31" s="737"/>
    </row>
    <row r="33" spans="4:4" x14ac:dyDescent="0.25">
      <c r="D33" s="37"/>
    </row>
  </sheetData>
  <customSheetViews>
    <customSheetView guid="{679A3195-3DEA-4AC2-A535-82AAF5B552BC}" fitToPage="1" hiddenColumns="1" topLeftCell="C1">
      <selection activeCell="C28" sqref="C28"/>
      <pageMargins left="0.7" right="0.7" top="0.75" bottom="0.75" header="0.3" footer="0.3"/>
      <pageSetup scale="67" orientation="landscape" horizontalDpi="4294967293" verticalDpi="4294967293" r:id="rId1"/>
    </customSheetView>
    <customSheetView guid="{7378B641-E8D1-4C14-8151-CF4CE159D121}" fitToPage="1" hiddenColumns="1" topLeftCell="C1">
      <selection activeCell="D33" sqref="D33:D35"/>
      <pageMargins left="0.7" right="0.7" top="0.75" bottom="0.75" header="0.3" footer="0.3"/>
      <pageSetup scale="67" orientation="landscape" horizontalDpi="4294967293" verticalDpi="4294967293" r:id="rId2"/>
    </customSheetView>
    <customSheetView guid="{6D63B10B-E1E6-452A-80EB-4B2C7D61CF66}" fitToPage="1" hiddenColumns="1" topLeftCell="C1">
      <selection activeCell="C3" sqref="C3"/>
      <pageMargins left="0.7" right="0.7" top="0.75" bottom="0.75" header="0.3" footer="0.3"/>
      <pageSetup scale="67" orientation="landscape" horizontalDpi="4294967293" verticalDpi="4294967293" r:id="rId3"/>
    </customSheetView>
  </customSheetViews>
  <mergeCells count="2">
    <mergeCell ref="D3:O3"/>
    <mergeCell ref="P4:P31"/>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scale="67" orientation="landscape" horizontalDpi="4294967293" verticalDpi="4294967293" r:id="rId4"/>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E14"/>
  <sheetViews>
    <sheetView workbookViewId="0">
      <selection activeCell="B1" sqref="B1"/>
    </sheetView>
  </sheetViews>
  <sheetFormatPr defaultRowHeight="15" x14ac:dyDescent="0.25"/>
  <cols>
    <col min="1" max="1" width="10.85546875" style="3" bestFit="1" customWidth="1"/>
    <col min="2" max="3" width="7.28515625" style="3" bestFit="1" customWidth="1"/>
    <col min="4" max="4" width="7.28515625" style="3" customWidth="1"/>
    <col min="5" max="5" width="53.42578125" style="3" customWidth="1"/>
    <col min="6" max="241" width="9.140625" style="3"/>
    <col min="242" max="242" width="17.85546875" style="3" customWidth="1"/>
    <col min="243" max="497" width="9.140625" style="3"/>
    <col min="498" max="498" width="17.85546875" style="3" customWidth="1"/>
    <col min="499" max="753" width="9.140625" style="3"/>
    <col min="754" max="754" width="17.85546875" style="3" customWidth="1"/>
    <col min="755" max="1009" width="9.140625" style="3"/>
    <col min="1010" max="1010" width="17.85546875" style="3" customWidth="1"/>
    <col min="1011" max="1265" width="9.140625" style="3"/>
    <col min="1266" max="1266" width="17.85546875" style="3" customWidth="1"/>
    <col min="1267" max="1521" width="9.140625" style="3"/>
    <col min="1522" max="1522" width="17.85546875" style="3" customWidth="1"/>
    <col min="1523" max="1777" width="9.140625" style="3"/>
    <col min="1778" max="1778" width="17.85546875" style="3" customWidth="1"/>
    <col min="1779" max="2033" width="9.140625" style="3"/>
    <col min="2034" max="2034" width="17.85546875" style="3" customWidth="1"/>
    <col min="2035" max="2289" width="9.140625" style="3"/>
    <col min="2290" max="2290" width="17.85546875" style="3" customWidth="1"/>
    <col min="2291" max="2545" width="9.140625" style="3"/>
    <col min="2546" max="2546" width="17.85546875" style="3" customWidth="1"/>
    <col min="2547" max="2801" width="9.140625" style="3"/>
    <col min="2802" max="2802" width="17.85546875" style="3" customWidth="1"/>
    <col min="2803" max="3057" width="9.140625" style="3"/>
    <col min="3058" max="3058" width="17.85546875" style="3" customWidth="1"/>
    <col min="3059" max="3313" width="9.140625" style="3"/>
    <col min="3314" max="3314" width="17.85546875" style="3" customWidth="1"/>
    <col min="3315" max="3569" width="9.140625" style="3"/>
    <col min="3570" max="3570" width="17.85546875" style="3" customWidth="1"/>
    <col min="3571" max="3825" width="9.140625" style="3"/>
    <col min="3826" max="3826" width="17.85546875" style="3" customWidth="1"/>
    <col min="3827" max="4081" width="9.140625" style="3"/>
    <col min="4082" max="4082" width="17.85546875" style="3" customWidth="1"/>
    <col min="4083" max="4337" width="9.140625" style="3"/>
    <col min="4338" max="4338" width="17.85546875" style="3" customWidth="1"/>
    <col min="4339" max="4593" width="9.140625" style="3"/>
    <col min="4594" max="4594" width="17.85546875" style="3" customWidth="1"/>
    <col min="4595" max="4849" width="9.140625" style="3"/>
    <col min="4850" max="4850" width="17.85546875" style="3" customWidth="1"/>
    <col min="4851" max="5105" width="9.140625" style="3"/>
    <col min="5106" max="5106" width="17.85546875" style="3" customWidth="1"/>
    <col min="5107" max="5361" width="9.140625" style="3"/>
    <col min="5362" max="5362" width="17.85546875" style="3" customWidth="1"/>
    <col min="5363" max="5617" width="9.140625" style="3"/>
    <col min="5618" max="5618" width="17.85546875" style="3" customWidth="1"/>
    <col min="5619" max="5873" width="9.140625" style="3"/>
    <col min="5874" max="5874" width="17.85546875" style="3" customWidth="1"/>
    <col min="5875" max="6129" width="9.140625" style="3"/>
    <col min="6130" max="6130" width="17.85546875" style="3" customWidth="1"/>
    <col min="6131" max="6385" width="9.140625" style="3"/>
    <col min="6386" max="6386" width="17.85546875" style="3" customWidth="1"/>
    <col min="6387" max="6641" width="9.140625" style="3"/>
    <col min="6642" max="6642" width="17.85546875" style="3" customWidth="1"/>
    <col min="6643" max="6897" width="9.140625" style="3"/>
    <col min="6898" max="6898" width="17.85546875" style="3" customWidth="1"/>
    <col min="6899" max="7153" width="9.140625" style="3"/>
    <col min="7154" max="7154" width="17.85546875" style="3" customWidth="1"/>
    <col min="7155" max="7409" width="9.140625" style="3"/>
    <col min="7410" max="7410" width="17.85546875" style="3" customWidth="1"/>
    <col min="7411" max="7665" width="9.140625" style="3"/>
    <col min="7666" max="7666" width="17.85546875" style="3" customWidth="1"/>
    <col min="7667" max="7921" width="9.140625" style="3"/>
    <col min="7922" max="7922" width="17.85546875" style="3" customWidth="1"/>
    <col min="7923" max="8177" width="9.140625" style="3"/>
    <col min="8178" max="8178" width="17.85546875" style="3" customWidth="1"/>
    <col min="8179" max="8433" width="9.140625" style="3"/>
    <col min="8434" max="8434" width="17.85546875" style="3" customWidth="1"/>
    <col min="8435" max="8689" width="9.140625" style="3"/>
    <col min="8690" max="8690" width="17.85546875" style="3" customWidth="1"/>
    <col min="8691" max="8945" width="9.140625" style="3"/>
    <col min="8946" max="8946" width="17.85546875" style="3" customWidth="1"/>
    <col min="8947" max="9201" width="9.140625" style="3"/>
    <col min="9202" max="9202" width="17.85546875" style="3" customWidth="1"/>
    <col min="9203" max="9457" width="9.140625" style="3"/>
    <col min="9458" max="9458" width="17.85546875" style="3" customWidth="1"/>
    <col min="9459" max="9713" width="9.140625" style="3"/>
    <col min="9714" max="9714" width="17.85546875" style="3" customWidth="1"/>
    <col min="9715" max="9969" width="9.140625" style="3"/>
    <col min="9970" max="9970" width="17.85546875" style="3" customWidth="1"/>
    <col min="9971" max="10225" width="9.140625" style="3"/>
    <col min="10226" max="10226" width="17.85546875" style="3" customWidth="1"/>
    <col min="10227" max="10481" width="9.140625" style="3"/>
    <col min="10482" max="10482" width="17.85546875" style="3" customWidth="1"/>
    <col min="10483" max="10737" width="9.140625" style="3"/>
    <col min="10738" max="10738" width="17.85546875" style="3" customWidth="1"/>
    <col min="10739" max="10993" width="9.140625" style="3"/>
    <col min="10994" max="10994" width="17.85546875" style="3" customWidth="1"/>
    <col min="10995" max="11249" width="9.140625" style="3"/>
    <col min="11250" max="11250" width="17.85546875" style="3" customWidth="1"/>
    <col min="11251" max="11505" width="9.140625" style="3"/>
    <col min="11506" max="11506" width="17.85546875" style="3" customWidth="1"/>
    <col min="11507" max="11761" width="9.140625" style="3"/>
    <col min="11762" max="11762" width="17.85546875" style="3" customWidth="1"/>
    <col min="11763" max="12017" width="9.140625" style="3"/>
    <col min="12018" max="12018" width="17.85546875" style="3" customWidth="1"/>
    <col min="12019" max="12273" width="9.140625" style="3"/>
    <col min="12274" max="12274" width="17.85546875" style="3" customWidth="1"/>
    <col min="12275" max="12529" width="9.140625" style="3"/>
    <col min="12530" max="12530" width="17.85546875" style="3" customWidth="1"/>
    <col min="12531" max="12785" width="9.140625" style="3"/>
    <col min="12786" max="12786" width="17.85546875" style="3" customWidth="1"/>
    <col min="12787" max="13041" width="9.140625" style="3"/>
    <col min="13042" max="13042" width="17.85546875" style="3" customWidth="1"/>
    <col min="13043" max="13297" width="9.140625" style="3"/>
    <col min="13298" max="13298" width="17.85546875" style="3" customWidth="1"/>
    <col min="13299" max="13553" width="9.140625" style="3"/>
    <col min="13554" max="13554" width="17.85546875" style="3" customWidth="1"/>
    <col min="13555" max="13809" width="9.140625" style="3"/>
    <col min="13810" max="13810" width="17.85546875" style="3" customWidth="1"/>
    <col min="13811" max="14065" width="9.140625" style="3"/>
    <col min="14066" max="14066" width="17.85546875" style="3" customWidth="1"/>
    <col min="14067" max="14321" width="9.140625" style="3"/>
    <col min="14322" max="14322" width="17.85546875" style="3" customWidth="1"/>
    <col min="14323" max="14577" width="9.140625" style="3"/>
    <col min="14578" max="14578" width="17.85546875" style="3" customWidth="1"/>
    <col min="14579" max="14833" width="9.140625" style="3"/>
    <col min="14834" max="14834" width="17.85546875" style="3" customWidth="1"/>
    <col min="14835" max="15089" width="9.140625" style="3"/>
    <col min="15090" max="15090" width="17.85546875" style="3" customWidth="1"/>
    <col min="15091" max="15345" width="9.140625" style="3"/>
    <col min="15346" max="15346" width="17.85546875" style="3" customWidth="1"/>
    <col min="15347" max="15601" width="9.140625" style="3"/>
    <col min="15602" max="15602" width="17.85546875" style="3" customWidth="1"/>
    <col min="15603" max="15857" width="9.140625" style="3"/>
    <col min="15858" max="15858" width="17.85546875" style="3" customWidth="1"/>
    <col min="15859" max="16113" width="9.140625" style="3"/>
    <col min="16114" max="16114" width="17.85546875" style="3" customWidth="1"/>
    <col min="16115" max="16384" width="9.140625" style="3"/>
  </cols>
  <sheetData>
    <row r="1" spans="1:5" s="43" customFormat="1" ht="14.25" x14ac:dyDescent="0.25">
      <c r="A1" s="42" t="s">
        <v>2293</v>
      </c>
      <c r="B1" s="43" t="s">
        <v>2278</v>
      </c>
      <c r="C1" s="43" t="s">
        <v>2282</v>
      </c>
      <c r="D1" s="43" t="s">
        <v>2294</v>
      </c>
    </row>
    <row r="2" spans="1:5" x14ac:dyDescent="0.25">
      <c r="A2" s="44" t="s">
        <v>2295</v>
      </c>
      <c r="B2" s="45">
        <v>205</v>
      </c>
      <c r="C2" s="45">
        <v>204.57</v>
      </c>
      <c r="D2" s="45">
        <v>163.45454545454544</v>
      </c>
      <c r="E2" s="46" t="s">
        <v>1208</v>
      </c>
    </row>
    <row r="3" spans="1:5" x14ac:dyDescent="0.25">
      <c r="A3" s="44" t="s">
        <v>2296</v>
      </c>
      <c r="B3" s="69">
        <v>139</v>
      </c>
      <c r="C3" s="69">
        <v>132.88999999999999</v>
      </c>
      <c r="D3" s="69">
        <v>112</v>
      </c>
    </row>
    <row r="4" spans="1:5" x14ac:dyDescent="0.25">
      <c r="A4" s="44" t="s">
        <v>2297</v>
      </c>
      <c r="B4" s="69">
        <v>129</v>
      </c>
      <c r="C4" s="69">
        <v>151.22999999999999</v>
      </c>
      <c r="D4" s="69">
        <v>95.066666666666677</v>
      </c>
    </row>
    <row r="5" spans="1:5" x14ac:dyDescent="0.25">
      <c r="A5" s="44" t="s">
        <v>2298</v>
      </c>
      <c r="B5" s="69">
        <v>100</v>
      </c>
      <c r="C5" s="69">
        <v>116.14</v>
      </c>
      <c r="D5" s="69">
        <v>88.125</v>
      </c>
    </row>
    <row r="6" spans="1:5" x14ac:dyDescent="0.25">
      <c r="A6" s="44" t="s">
        <v>2299</v>
      </c>
      <c r="B6" s="69">
        <v>83</v>
      </c>
      <c r="C6" s="69">
        <v>91.1</v>
      </c>
      <c r="D6" s="69">
        <v>73.071428571428569</v>
      </c>
    </row>
    <row r="7" spans="1:5" x14ac:dyDescent="0.25">
      <c r="A7" s="44" t="s">
        <v>2300</v>
      </c>
      <c r="B7" s="69">
        <v>42</v>
      </c>
      <c r="C7" s="69">
        <v>63.56</v>
      </c>
      <c r="D7" s="69">
        <v>29.032258064516128</v>
      </c>
    </row>
    <row r="8" spans="1:5" x14ac:dyDescent="0.25">
      <c r="A8" s="44" t="s">
        <v>2301</v>
      </c>
      <c r="B8" s="69">
        <v>27</v>
      </c>
      <c r="C8" s="69">
        <v>48.28</v>
      </c>
      <c r="D8" s="69">
        <v>26</v>
      </c>
    </row>
    <row r="9" spans="1:5" x14ac:dyDescent="0.25">
      <c r="A9" s="44" t="s">
        <v>2302</v>
      </c>
      <c r="B9" s="69">
        <v>27</v>
      </c>
      <c r="C9" s="69">
        <v>44.67</v>
      </c>
      <c r="D9" s="69">
        <v>24.8</v>
      </c>
    </row>
    <row r="10" spans="1:5" x14ac:dyDescent="0.25">
      <c r="A10" s="44" t="s">
        <v>2303</v>
      </c>
      <c r="B10" s="69">
        <v>26</v>
      </c>
      <c r="C10" s="69">
        <v>46.11</v>
      </c>
      <c r="D10" s="69">
        <v>21</v>
      </c>
    </row>
    <row r="11" spans="1:5" x14ac:dyDescent="0.25">
      <c r="A11" s="44" t="s">
        <v>2304</v>
      </c>
      <c r="B11" s="69">
        <v>52</v>
      </c>
      <c r="C11" s="69">
        <v>68.08</v>
      </c>
      <c r="D11" s="69">
        <v>35</v>
      </c>
    </row>
    <row r="12" spans="1:5" x14ac:dyDescent="0.25">
      <c r="A12" s="44" t="s">
        <v>2305</v>
      </c>
      <c r="B12" s="69">
        <v>119</v>
      </c>
      <c r="C12" s="69">
        <v>120.13</v>
      </c>
      <c r="D12" s="69">
        <v>41.379310344827587</v>
      </c>
    </row>
    <row r="13" spans="1:5" x14ac:dyDescent="0.25">
      <c r="A13" s="44" t="s">
        <v>2306</v>
      </c>
      <c r="B13" s="69">
        <v>203</v>
      </c>
      <c r="C13" s="69">
        <v>192.12</v>
      </c>
      <c r="D13" s="69">
        <v>110</v>
      </c>
    </row>
    <row r="14" spans="1:5" ht="60" x14ac:dyDescent="0.25">
      <c r="E14" s="46" t="s">
        <v>1206</v>
      </c>
    </row>
  </sheetData>
  <customSheetViews>
    <customSheetView guid="{679A3195-3DEA-4AC2-A535-82AAF5B552BC}" state="hidden">
      <selection activeCell="E11" sqref="E11"/>
      <pageMargins left="0.75" right="0.75" top="1" bottom="1" header="0.5" footer="0.5"/>
      <pageSetup orientation="portrait" horizontalDpi="1200" verticalDpi="1200" r:id="rId1"/>
      <headerFooter alignWithMargins="0"/>
    </customSheetView>
    <customSheetView guid="{7378B641-E8D1-4C14-8151-CF4CE159D121}">
      <selection activeCell="C2" sqref="C2:C13"/>
      <pageMargins left="0.75" right="0.75" top="1" bottom="1" header="0.5" footer="0.5"/>
      <pageSetup orientation="portrait" horizontalDpi="1200" verticalDpi="1200" r:id="rId2"/>
      <headerFooter alignWithMargins="0"/>
    </customSheetView>
    <customSheetView guid="{6D63B10B-E1E6-452A-80EB-4B2C7D61CF66}">
      <selection activeCell="B1" sqref="B1"/>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F9"/>
  <sheetViews>
    <sheetView topLeftCell="C1"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6.140625" customWidth="1"/>
    <col min="5" max="5" width="15.5703125" customWidth="1"/>
    <col min="6" max="6" width="14" customWidth="1"/>
  </cols>
  <sheetData>
    <row r="1" spans="1:6" ht="23.25" customHeight="1" x14ac:dyDescent="0.25">
      <c r="A1" s="3" t="s">
        <v>26</v>
      </c>
      <c r="B1" s="4" t="s">
        <v>2313</v>
      </c>
      <c r="C1" s="535" t="s">
        <v>3058</v>
      </c>
      <c r="D1" s="558" t="str">
        <f>B1</f>
        <v>Site 2-1058 Energy End Use Comparison</v>
      </c>
    </row>
    <row r="2" spans="1:6" x14ac:dyDescent="0.25">
      <c r="A2" t="s">
        <v>20</v>
      </c>
      <c r="B2" s="2" t="s">
        <v>60</v>
      </c>
      <c r="C2" s="536" t="s">
        <v>3059</v>
      </c>
    </row>
    <row r="3" spans="1:6" x14ac:dyDescent="0.25">
      <c r="A3" t="s">
        <v>1184</v>
      </c>
      <c r="B3" s="2" t="s">
        <v>3140</v>
      </c>
      <c r="C3" s="536" t="s">
        <v>1193</v>
      </c>
    </row>
    <row r="4" spans="1:6" ht="28.5" x14ac:dyDescent="0.25">
      <c r="D4" s="604"/>
      <c r="E4" s="607" t="s">
        <v>3202</v>
      </c>
      <c r="F4" s="606" t="s">
        <v>2309</v>
      </c>
    </row>
    <row r="5" spans="1:6" x14ac:dyDescent="0.25">
      <c r="B5" s="2"/>
      <c r="C5" s="2"/>
      <c r="D5" s="82" t="s">
        <v>2294</v>
      </c>
      <c r="E5" s="634">
        <v>46.8099218387704</v>
      </c>
      <c r="F5" s="634" t="s">
        <v>2310</v>
      </c>
    </row>
    <row r="6" spans="1:6" x14ac:dyDescent="0.25">
      <c r="D6" s="82" t="s">
        <v>2278</v>
      </c>
      <c r="E6" s="634">
        <v>63.589999999999996</v>
      </c>
      <c r="F6" s="188">
        <v>1.3584726806215572</v>
      </c>
    </row>
    <row r="7" spans="1:6" x14ac:dyDescent="0.25">
      <c r="D7" s="82" t="s">
        <v>2282</v>
      </c>
      <c r="E7" s="634">
        <v>73.141406279733587</v>
      </c>
      <c r="F7" s="188">
        <v>1.5625192994694148</v>
      </c>
    </row>
    <row r="8" spans="1:6" x14ac:dyDescent="0.25">
      <c r="D8" s="82"/>
      <c r="E8" s="82"/>
    </row>
    <row r="9" spans="1:6" x14ac:dyDescent="0.25">
      <c r="D9" s="82"/>
      <c r="E9" s="82"/>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L10" sqref="L10"/>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A33"/>
  <sheetViews>
    <sheetView topLeftCell="C1"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6384" width="9.140625" style="3"/>
  </cols>
  <sheetData>
    <row r="1" spans="1:27" ht="23.25" customHeight="1" x14ac:dyDescent="0.25">
      <c r="A1" s="3" t="s">
        <v>26</v>
      </c>
      <c r="B1" s="4" t="s">
        <v>2323</v>
      </c>
      <c r="C1" s="535" t="s">
        <v>3058</v>
      </c>
      <c r="D1" s="37" t="str">
        <f>B1</f>
        <v>Site 1-1057 Combined Measure Model Savings Comparison</v>
      </c>
    </row>
    <row r="2" spans="1:27" x14ac:dyDescent="0.25">
      <c r="A2" s="3" t="s">
        <v>20</v>
      </c>
      <c r="B2" s="4" t="s">
        <v>58</v>
      </c>
      <c r="C2" s="536" t="s">
        <v>3059</v>
      </c>
    </row>
    <row r="3" spans="1:27" x14ac:dyDescent="0.25">
      <c r="A3" s="3" t="s">
        <v>1184</v>
      </c>
      <c r="B3" s="2" t="s">
        <v>3140</v>
      </c>
      <c r="C3" s="536" t="s">
        <v>1193</v>
      </c>
      <c r="D3" s="733"/>
      <c r="E3" s="733"/>
      <c r="F3" s="733"/>
      <c r="G3" s="733"/>
      <c r="H3" s="733"/>
      <c r="I3" s="733"/>
      <c r="J3" s="733"/>
      <c r="K3" s="733"/>
      <c r="L3" s="733"/>
      <c r="M3" s="733"/>
      <c r="N3" s="733"/>
      <c r="O3" s="733"/>
    </row>
    <row r="4" spans="1:27" x14ac:dyDescent="0.25">
      <c r="B4" s="4"/>
      <c r="C4" s="4"/>
      <c r="D4" s="3" t="s">
        <v>61</v>
      </c>
      <c r="P4" s="737"/>
      <c r="Q4" s="48"/>
      <c r="R4" s="48"/>
      <c r="S4" s="48"/>
      <c r="T4" s="48"/>
      <c r="U4" s="48"/>
      <c r="V4" s="48"/>
      <c r="W4" s="48"/>
      <c r="X4" s="48"/>
      <c r="Y4" s="48"/>
      <c r="Z4" s="48"/>
      <c r="AA4" s="48"/>
    </row>
    <row r="5" spans="1:27" x14ac:dyDescent="0.25">
      <c r="B5" s="4"/>
      <c r="C5" s="4"/>
      <c r="P5" s="737"/>
    </row>
    <row r="6" spans="1:27" x14ac:dyDescent="0.25">
      <c r="P6" s="737"/>
    </row>
    <row r="7" spans="1:27" x14ac:dyDescent="0.25">
      <c r="P7" s="737"/>
    </row>
    <row r="8" spans="1:27" x14ac:dyDescent="0.25">
      <c r="P8" s="737"/>
    </row>
    <row r="9" spans="1:27" x14ac:dyDescent="0.25">
      <c r="P9" s="737"/>
    </row>
    <row r="10" spans="1:27" x14ac:dyDescent="0.25">
      <c r="P10" s="737"/>
    </row>
    <row r="11" spans="1:27" x14ac:dyDescent="0.25">
      <c r="P11" s="737"/>
    </row>
    <row r="12" spans="1:27" x14ac:dyDescent="0.25">
      <c r="P12" s="737"/>
    </row>
    <row r="13" spans="1:27" x14ac:dyDescent="0.25">
      <c r="P13" s="737"/>
    </row>
    <row r="14" spans="1:27" x14ac:dyDescent="0.25">
      <c r="P14" s="737"/>
    </row>
    <row r="15" spans="1:27" x14ac:dyDescent="0.25">
      <c r="P15" s="737"/>
    </row>
    <row r="16" spans="1:27" x14ac:dyDescent="0.25">
      <c r="P16" s="737"/>
    </row>
    <row r="17" spans="16:16" x14ac:dyDescent="0.25">
      <c r="P17" s="737"/>
    </row>
    <row r="18" spans="16:16" x14ac:dyDescent="0.25">
      <c r="P18" s="737"/>
    </row>
    <row r="19" spans="16:16" x14ac:dyDescent="0.25">
      <c r="P19" s="737"/>
    </row>
    <row r="20" spans="16:16" x14ac:dyDescent="0.25">
      <c r="P20" s="737"/>
    </row>
    <row r="21" spans="16:16" x14ac:dyDescent="0.25">
      <c r="P21" s="737"/>
    </row>
    <row r="22" spans="16:16" x14ac:dyDescent="0.25">
      <c r="P22" s="737"/>
    </row>
    <row r="23" spans="16:16" x14ac:dyDescent="0.25">
      <c r="P23" s="737"/>
    </row>
    <row r="24" spans="16:16" x14ac:dyDescent="0.25">
      <c r="P24" s="737"/>
    </row>
    <row r="25" spans="16:16" x14ac:dyDescent="0.25">
      <c r="P25" s="737"/>
    </row>
    <row r="26" spans="16:16" x14ac:dyDescent="0.25">
      <c r="P26" s="737"/>
    </row>
    <row r="27" spans="16:16" x14ac:dyDescent="0.25">
      <c r="P27" s="737"/>
    </row>
    <row r="28" spans="16:16" x14ac:dyDescent="0.25">
      <c r="P28" s="737"/>
    </row>
    <row r="29" spans="16:16" x14ac:dyDescent="0.25">
      <c r="P29" s="737"/>
    </row>
    <row r="30" spans="16:16" x14ac:dyDescent="0.25">
      <c r="P30" s="737"/>
    </row>
    <row r="31" spans="16:16" x14ac:dyDescent="0.25">
      <c r="P31" s="737"/>
    </row>
    <row r="33" spans="4:4" x14ac:dyDescent="0.25">
      <c r="D33" s="37"/>
    </row>
  </sheetData>
  <customSheetViews>
    <customSheetView guid="{679A3195-3DEA-4AC2-A535-82AAF5B552BC}" fitToPage="1" hiddenColumns="1" topLeftCell="C1">
      <selection activeCell="C3" sqref="C3"/>
      <pageMargins left="0.7" right="0.7" top="0.75" bottom="0.75" header="0.3" footer="0.3"/>
      <pageSetup scale="67" orientation="landscape" horizontalDpi="4294967293" verticalDpi="4294967293" r:id="rId1"/>
    </customSheetView>
    <customSheetView guid="{7378B641-E8D1-4C14-8151-CF4CE159D121}" fitToPage="1" hiddenColumns="1">
      <selection activeCell="D33" sqref="D33"/>
      <pageMargins left="0.7" right="0.7" top="0.75" bottom="0.75" header="0.3" footer="0.3"/>
      <pageSetup scale="67" orientation="landscape" horizontalDpi="4294967293" verticalDpi="4294967293" r:id="rId2"/>
    </customSheetView>
    <customSheetView guid="{6D63B10B-E1E6-452A-80EB-4B2C7D61CF66}" fitToPage="1" hiddenColumns="1" topLeftCell="C1">
      <selection activeCell="C3" sqref="C3"/>
      <pageMargins left="0.7" right="0.7" top="0.75" bottom="0.75" header="0.3" footer="0.3"/>
      <pageSetup scale="67" orientation="landscape" horizontalDpi="4294967293" verticalDpi="4294967293" r:id="rId3"/>
    </customSheetView>
  </customSheetViews>
  <mergeCells count="2">
    <mergeCell ref="D3:O3"/>
    <mergeCell ref="P4:P31"/>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scale="67" orientation="landscape" horizontalDpi="4294967293" verticalDpi="4294967293" r:id="rId4"/>
  <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D9"/>
  <sheetViews>
    <sheetView topLeftCell="A5" workbookViewId="0">
      <selection activeCell="C3" sqref="C3"/>
    </sheetView>
  </sheetViews>
  <sheetFormatPr defaultRowHeight="15" x14ac:dyDescent="0.25"/>
  <cols>
    <col min="1" max="1" width="23" style="3" bestFit="1" customWidth="1"/>
    <col min="2" max="2" width="10.140625" style="3" bestFit="1" customWidth="1"/>
    <col min="3" max="3" width="10.140625" style="3" customWidth="1"/>
    <col min="4" max="4" width="48.42578125" style="3" customWidth="1"/>
    <col min="5" max="240" width="9.140625" style="3"/>
    <col min="241" max="241" width="17.85546875" style="3" customWidth="1"/>
    <col min="242" max="496" width="9.140625" style="3"/>
    <col min="497" max="497" width="17.85546875" style="3" customWidth="1"/>
    <col min="498" max="752" width="9.140625" style="3"/>
    <col min="753" max="753" width="17.85546875" style="3" customWidth="1"/>
    <col min="754" max="1008" width="9.140625" style="3"/>
    <col min="1009" max="1009" width="17.85546875" style="3" customWidth="1"/>
    <col min="1010" max="1264" width="9.140625" style="3"/>
    <col min="1265" max="1265" width="17.85546875" style="3" customWidth="1"/>
    <col min="1266" max="1520" width="9.140625" style="3"/>
    <col min="1521" max="1521" width="17.85546875" style="3" customWidth="1"/>
    <col min="1522" max="1776" width="9.140625" style="3"/>
    <col min="1777" max="1777" width="17.85546875" style="3" customWidth="1"/>
    <col min="1778" max="2032" width="9.140625" style="3"/>
    <col min="2033" max="2033" width="17.85546875" style="3" customWidth="1"/>
    <col min="2034" max="2288" width="9.140625" style="3"/>
    <col min="2289" max="2289" width="17.85546875" style="3" customWidth="1"/>
    <col min="2290" max="2544" width="9.140625" style="3"/>
    <col min="2545" max="2545" width="17.85546875" style="3" customWidth="1"/>
    <col min="2546" max="2800" width="9.140625" style="3"/>
    <col min="2801" max="2801" width="17.85546875" style="3" customWidth="1"/>
    <col min="2802" max="3056" width="9.140625" style="3"/>
    <col min="3057" max="3057" width="17.85546875" style="3" customWidth="1"/>
    <col min="3058" max="3312" width="9.140625" style="3"/>
    <col min="3313" max="3313" width="17.85546875" style="3" customWidth="1"/>
    <col min="3314" max="3568" width="9.140625" style="3"/>
    <col min="3569" max="3569" width="17.85546875" style="3" customWidth="1"/>
    <col min="3570" max="3824" width="9.140625" style="3"/>
    <col min="3825" max="3825" width="17.85546875" style="3" customWidth="1"/>
    <col min="3826" max="4080" width="9.140625" style="3"/>
    <col min="4081" max="4081" width="17.85546875" style="3" customWidth="1"/>
    <col min="4082" max="4336" width="9.140625" style="3"/>
    <col min="4337" max="4337" width="17.85546875" style="3" customWidth="1"/>
    <col min="4338" max="4592" width="9.140625" style="3"/>
    <col min="4593" max="4593" width="17.85546875" style="3" customWidth="1"/>
    <col min="4594" max="4848" width="9.140625" style="3"/>
    <col min="4849" max="4849" width="17.85546875" style="3" customWidth="1"/>
    <col min="4850" max="5104" width="9.140625" style="3"/>
    <col min="5105" max="5105" width="17.85546875" style="3" customWidth="1"/>
    <col min="5106" max="5360" width="9.140625" style="3"/>
    <col min="5361" max="5361" width="17.85546875" style="3" customWidth="1"/>
    <col min="5362" max="5616" width="9.140625" style="3"/>
    <col min="5617" max="5617" width="17.85546875" style="3" customWidth="1"/>
    <col min="5618" max="5872" width="9.140625" style="3"/>
    <col min="5873" max="5873" width="17.85546875" style="3" customWidth="1"/>
    <col min="5874" max="6128" width="9.140625" style="3"/>
    <col min="6129" max="6129" width="17.85546875" style="3" customWidth="1"/>
    <col min="6130" max="6384" width="9.140625" style="3"/>
    <col min="6385" max="6385" width="17.85546875" style="3" customWidth="1"/>
    <col min="6386" max="6640" width="9.140625" style="3"/>
    <col min="6641" max="6641" width="17.85546875" style="3" customWidth="1"/>
    <col min="6642" max="6896" width="9.140625" style="3"/>
    <col min="6897" max="6897" width="17.85546875" style="3" customWidth="1"/>
    <col min="6898" max="7152" width="9.140625" style="3"/>
    <col min="7153" max="7153" width="17.85546875" style="3" customWidth="1"/>
    <col min="7154" max="7408" width="9.140625" style="3"/>
    <col min="7409" max="7409" width="17.85546875" style="3" customWidth="1"/>
    <col min="7410" max="7664" width="9.140625" style="3"/>
    <col min="7665" max="7665" width="17.85546875" style="3" customWidth="1"/>
    <col min="7666" max="7920" width="9.140625" style="3"/>
    <col min="7921" max="7921" width="17.85546875" style="3" customWidth="1"/>
    <col min="7922" max="8176" width="9.140625" style="3"/>
    <col min="8177" max="8177" width="17.85546875" style="3" customWidth="1"/>
    <col min="8178" max="8432" width="9.140625" style="3"/>
    <col min="8433" max="8433" width="17.85546875" style="3" customWidth="1"/>
    <col min="8434" max="8688" width="9.140625" style="3"/>
    <col min="8689" max="8689" width="17.85546875" style="3" customWidth="1"/>
    <col min="8690" max="8944" width="9.140625" style="3"/>
    <col min="8945" max="8945" width="17.85546875" style="3" customWidth="1"/>
    <col min="8946" max="9200" width="9.140625" style="3"/>
    <col min="9201" max="9201" width="17.85546875" style="3" customWidth="1"/>
    <col min="9202" max="9456" width="9.140625" style="3"/>
    <col min="9457" max="9457" width="17.85546875" style="3" customWidth="1"/>
    <col min="9458" max="9712" width="9.140625" style="3"/>
    <col min="9713" max="9713" width="17.85546875" style="3" customWidth="1"/>
    <col min="9714" max="9968" width="9.140625" style="3"/>
    <col min="9969" max="9969" width="17.85546875" style="3" customWidth="1"/>
    <col min="9970" max="10224" width="9.140625" style="3"/>
    <col min="10225" max="10225" width="17.85546875" style="3" customWidth="1"/>
    <col min="10226" max="10480" width="9.140625" style="3"/>
    <col min="10481" max="10481" width="17.85546875" style="3" customWidth="1"/>
    <col min="10482" max="10736" width="9.140625" style="3"/>
    <col min="10737" max="10737" width="17.85546875" style="3" customWidth="1"/>
    <col min="10738" max="10992" width="9.140625" style="3"/>
    <col min="10993" max="10993" width="17.85546875" style="3" customWidth="1"/>
    <col min="10994" max="11248" width="9.140625" style="3"/>
    <col min="11249" max="11249" width="17.85546875" style="3" customWidth="1"/>
    <col min="11250" max="11504" width="9.140625" style="3"/>
    <col min="11505" max="11505" width="17.85546875" style="3" customWidth="1"/>
    <col min="11506" max="11760" width="9.140625" style="3"/>
    <col min="11761" max="11761" width="17.85546875" style="3" customWidth="1"/>
    <col min="11762" max="12016" width="9.140625" style="3"/>
    <col min="12017" max="12017" width="17.85546875" style="3" customWidth="1"/>
    <col min="12018" max="12272" width="9.140625" style="3"/>
    <col min="12273" max="12273" width="17.85546875" style="3" customWidth="1"/>
    <col min="12274" max="12528" width="9.140625" style="3"/>
    <col min="12529" max="12529" width="17.85546875" style="3" customWidth="1"/>
    <col min="12530" max="12784" width="9.140625" style="3"/>
    <col min="12785" max="12785" width="17.85546875" style="3" customWidth="1"/>
    <col min="12786" max="13040" width="9.140625" style="3"/>
    <col min="13041" max="13041" width="17.85546875" style="3" customWidth="1"/>
    <col min="13042" max="13296" width="9.140625" style="3"/>
    <col min="13297" max="13297" width="17.85546875" style="3" customWidth="1"/>
    <col min="13298" max="13552" width="9.140625" style="3"/>
    <col min="13553" max="13553" width="17.85546875" style="3" customWidth="1"/>
    <col min="13554" max="13808" width="9.140625" style="3"/>
    <col min="13809" max="13809" width="17.85546875" style="3" customWidth="1"/>
    <col min="13810" max="14064" width="9.140625" style="3"/>
    <col min="14065" max="14065" width="17.85546875" style="3" customWidth="1"/>
    <col min="14066" max="14320" width="9.140625" style="3"/>
    <col min="14321" max="14321" width="17.85546875" style="3" customWidth="1"/>
    <col min="14322" max="14576" width="9.140625" style="3"/>
    <col min="14577" max="14577" width="17.85546875" style="3" customWidth="1"/>
    <col min="14578" max="14832" width="9.140625" style="3"/>
    <col min="14833" max="14833" width="17.85546875" style="3" customWidth="1"/>
    <col min="14834" max="15088" width="9.140625" style="3"/>
    <col min="15089" max="15089" width="17.85546875" style="3" customWidth="1"/>
    <col min="15090" max="15344" width="9.140625" style="3"/>
    <col min="15345" max="15345" width="17.85546875" style="3" customWidth="1"/>
    <col min="15346" max="15600" width="9.140625" style="3"/>
    <col min="15601" max="15601" width="17.85546875" style="3" customWidth="1"/>
    <col min="15602" max="15856" width="9.140625" style="3"/>
    <col min="15857" max="15857" width="17.85546875" style="3" customWidth="1"/>
    <col min="15858" max="16112" width="9.140625" style="3"/>
    <col min="16113" max="16113" width="17.85546875" style="3" customWidth="1"/>
    <col min="16114" max="16384" width="9.140625" style="3"/>
  </cols>
  <sheetData>
    <row r="1" spans="1:4" s="43" customFormat="1" ht="14.25" x14ac:dyDescent="0.25">
      <c r="B1" s="43" t="s">
        <v>2278</v>
      </c>
      <c r="C1" s="43" t="s">
        <v>2282</v>
      </c>
    </row>
    <row r="2" spans="1:4" x14ac:dyDescent="0.25">
      <c r="A2" s="49" t="s">
        <v>2314</v>
      </c>
      <c r="B2" s="299">
        <v>0.53000000000000114</v>
      </c>
      <c r="C2" s="299">
        <v>4.7573739295899031E-2</v>
      </c>
    </row>
    <row r="3" spans="1:4" x14ac:dyDescent="0.25">
      <c r="A3" s="49" t="s">
        <v>2315</v>
      </c>
      <c r="B3" s="299">
        <v>4.9999999999997158E-2</v>
      </c>
      <c r="C3" s="299">
        <v>0</v>
      </c>
    </row>
    <row r="4" spans="1:4" x14ac:dyDescent="0.25">
      <c r="A4" s="49" t="s">
        <v>2316</v>
      </c>
      <c r="B4" s="299">
        <v>12.370000000000005</v>
      </c>
      <c r="C4" s="299">
        <v>49.950802568981921</v>
      </c>
    </row>
    <row r="5" spans="1:4" x14ac:dyDescent="0.25">
      <c r="A5" s="49" t="s">
        <v>2317</v>
      </c>
      <c r="B5" s="299">
        <v>4.6500000000000057</v>
      </c>
      <c r="C5" s="299">
        <v>0.95147478591816537</v>
      </c>
    </row>
    <row r="6" spans="1:4" x14ac:dyDescent="0.25">
      <c r="A6" s="49" t="s">
        <v>1394</v>
      </c>
      <c r="B6" s="299">
        <v>9.7999999999999972</v>
      </c>
      <c r="C6" s="299">
        <v>16.175071360608939</v>
      </c>
    </row>
    <row r="7" spans="1:4" x14ac:dyDescent="0.25">
      <c r="A7" s="49" t="s">
        <v>2318</v>
      </c>
      <c r="B7" s="299">
        <v>4.5900000000000034</v>
      </c>
      <c r="C7" s="299">
        <v>1.5699333967649807</v>
      </c>
    </row>
    <row r="8" spans="1:4" x14ac:dyDescent="0.25">
      <c r="A8" s="49" t="s">
        <v>2321</v>
      </c>
      <c r="B8" s="299">
        <v>28.17</v>
      </c>
      <c r="C8" s="299">
        <v>60.17915651760228</v>
      </c>
    </row>
    <row r="9" spans="1:4" ht="90" x14ac:dyDescent="0.25">
      <c r="D9" s="46" t="s">
        <v>1221</v>
      </c>
    </row>
  </sheetData>
  <customSheetViews>
    <customSheetView guid="{679A3195-3DEA-4AC2-A535-82AAF5B552BC}" state="hidden" topLeftCell="A5">
      <selection activeCell="C3" sqref="C3"/>
      <pageMargins left="0.75" right="0.75" top="1" bottom="1" header="0.5" footer="0.5"/>
      <pageSetup orientation="portrait" horizontalDpi="1200" verticalDpi="1200" r:id="rId1"/>
      <headerFooter alignWithMargins="0"/>
    </customSheetView>
    <customSheetView guid="{7378B641-E8D1-4C14-8151-CF4CE159D121}" topLeftCell="A5">
      <selection activeCell="C2" sqref="C2:C13"/>
      <pageMargins left="0.75" right="0.75" top="1" bottom="1" header="0.5" footer="0.5"/>
      <pageSetup orientation="portrait" horizontalDpi="1200" verticalDpi="1200" r:id="rId2"/>
      <headerFooter alignWithMargins="0"/>
    </customSheetView>
    <customSheetView guid="{6D63B10B-E1E6-452A-80EB-4B2C7D61CF66}" state="hidden" topLeftCell="A5">
      <selection activeCell="C3" sqref="C3"/>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A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18.7109375" style="3" customWidth="1"/>
    <col min="4" max="5" width="9.140625" style="3"/>
    <col min="6" max="6" width="14" style="3" customWidth="1"/>
    <col min="7" max="15" width="9.140625" style="3"/>
    <col min="16" max="16" width="3.28515625" style="47" customWidth="1"/>
    <col min="17" max="16384" width="9.140625" style="3"/>
  </cols>
  <sheetData>
    <row r="1" spans="1:27" ht="23.25" customHeight="1" x14ac:dyDescent="0.25">
      <c r="A1" s="3" t="s">
        <v>26</v>
      </c>
      <c r="B1" s="4" t="s">
        <v>2324</v>
      </c>
      <c r="C1" s="535" t="s">
        <v>3058</v>
      </c>
      <c r="D1" s="37" t="str">
        <f>B1</f>
        <v>Site 2-1058 Combined Measure Model Savings Comparison</v>
      </c>
    </row>
    <row r="2" spans="1:27" x14ac:dyDescent="0.25">
      <c r="A2" s="3" t="s">
        <v>20</v>
      </c>
      <c r="B2" s="4" t="s">
        <v>58</v>
      </c>
      <c r="C2" s="536" t="s">
        <v>3059</v>
      </c>
    </row>
    <row r="3" spans="1:27" x14ac:dyDescent="0.25">
      <c r="A3" s="3" t="s">
        <v>1184</v>
      </c>
      <c r="B3" s="2" t="s">
        <v>3140</v>
      </c>
      <c r="C3" s="536" t="s">
        <v>1193</v>
      </c>
      <c r="D3" s="733"/>
      <c r="E3" s="733"/>
      <c r="F3" s="733"/>
      <c r="G3" s="733"/>
      <c r="H3" s="733"/>
      <c r="I3" s="733"/>
      <c r="J3" s="733"/>
      <c r="K3" s="733"/>
      <c r="L3" s="733"/>
      <c r="M3" s="733"/>
      <c r="N3" s="733"/>
      <c r="O3" s="733"/>
    </row>
    <row r="4" spans="1:27" x14ac:dyDescent="0.25">
      <c r="B4" s="4"/>
      <c r="C4" s="4"/>
      <c r="D4" s="3" t="s">
        <v>61</v>
      </c>
      <c r="P4" s="737"/>
      <c r="Q4" s="48"/>
      <c r="R4" s="48"/>
      <c r="S4" s="48"/>
      <c r="T4" s="48"/>
      <c r="U4" s="48"/>
      <c r="V4" s="48"/>
      <c r="W4" s="48"/>
      <c r="X4" s="48"/>
      <c r="Y4" s="48"/>
      <c r="Z4" s="48"/>
      <c r="AA4" s="48"/>
    </row>
    <row r="5" spans="1:27" x14ac:dyDescent="0.25">
      <c r="B5" s="4"/>
      <c r="C5" s="4"/>
      <c r="P5" s="737"/>
    </row>
    <row r="6" spans="1:27" x14ac:dyDescent="0.25">
      <c r="P6" s="737"/>
    </row>
    <row r="7" spans="1:27" x14ac:dyDescent="0.25">
      <c r="P7" s="737"/>
    </row>
    <row r="8" spans="1:27" x14ac:dyDescent="0.25">
      <c r="P8" s="737"/>
    </row>
    <row r="9" spans="1:27" x14ac:dyDescent="0.25">
      <c r="P9" s="737"/>
    </row>
    <row r="10" spans="1:27" x14ac:dyDescent="0.25">
      <c r="P10" s="737"/>
    </row>
    <row r="11" spans="1:27" x14ac:dyDescent="0.25">
      <c r="P11" s="737"/>
    </row>
    <row r="12" spans="1:27" x14ac:dyDescent="0.25">
      <c r="P12" s="737"/>
    </row>
    <row r="13" spans="1:27" x14ac:dyDescent="0.25">
      <c r="P13" s="737"/>
    </row>
    <row r="14" spans="1:27" x14ac:dyDescent="0.25">
      <c r="P14" s="737"/>
    </row>
    <row r="15" spans="1:27" x14ac:dyDescent="0.25">
      <c r="P15" s="737"/>
    </row>
    <row r="16" spans="1:27" x14ac:dyDescent="0.25">
      <c r="P16" s="737"/>
    </row>
    <row r="17" spans="16:16" x14ac:dyDescent="0.25">
      <c r="P17" s="737"/>
    </row>
    <row r="18" spans="16:16" x14ac:dyDescent="0.25">
      <c r="P18" s="737"/>
    </row>
    <row r="19" spans="16:16" x14ac:dyDescent="0.25">
      <c r="P19" s="737"/>
    </row>
    <row r="20" spans="16:16" x14ac:dyDescent="0.25">
      <c r="P20" s="737"/>
    </row>
    <row r="21" spans="16:16" x14ac:dyDescent="0.25">
      <c r="P21" s="737"/>
    </row>
    <row r="22" spans="16:16" x14ac:dyDescent="0.25">
      <c r="P22" s="737"/>
    </row>
    <row r="23" spans="16:16" x14ac:dyDescent="0.25">
      <c r="P23" s="737"/>
    </row>
    <row r="24" spans="16:16" x14ac:dyDescent="0.25">
      <c r="P24" s="737"/>
    </row>
    <row r="25" spans="16:16" x14ac:dyDescent="0.25">
      <c r="P25" s="737"/>
    </row>
    <row r="26" spans="16:16" x14ac:dyDescent="0.25">
      <c r="P26" s="737"/>
    </row>
    <row r="27" spans="16:16" x14ac:dyDescent="0.25">
      <c r="P27" s="737"/>
    </row>
    <row r="28" spans="16:16" x14ac:dyDescent="0.25">
      <c r="P28" s="737"/>
    </row>
    <row r="29" spans="16:16" x14ac:dyDescent="0.25">
      <c r="P29" s="737"/>
    </row>
    <row r="30" spans="16:16" x14ac:dyDescent="0.25">
      <c r="P30" s="737"/>
    </row>
    <row r="31" spans="16:16" x14ac:dyDescent="0.25">
      <c r="P31" s="737"/>
    </row>
    <row r="33" spans="4:4" x14ac:dyDescent="0.25">
      <c r="D33" s="37"/>
    </row>
  </sheetData>
  <customSheetViews>
    <customSheetView guid="{679A3195-3DEA-4AC2-A535-82AAF5B552BC}" fitToPage="1" hiddenColumns="1" topLeftCell="C1">
      <selection activeCell="C3" sqref="C3"/>
      <pageMargins left="0.7" right="0.7" top="0.75" bottom="0.75" header="0.3" footer="0.3"/>
      <pageSetup scale="67" orientation="landscape" horizontalDpi="4294967293" verticalDpi="4294967293" r:id="rId1"/>
    </customSheetView>
    <customSheetView guid="{7378B641-E8D1-4C14-8151-CF4CE159D121}" fitToPage="1" hiddenColumns="1" topLeftCell="C1">
      <selection activeCell="D33" sqref="D33"/>
      <pageMargins left="0.7" right="0.7" top="0.75" bottom="0.75" header="0.3" footer="0.3"/>
      <pageSetup scale="67" orientation="landscape" horizontalDpi="4294967293" verticalDpi="4294967293" r:id="rId2"/>
    </customSheetView>
    <customSheetView guid="{6D63B10B-E1E6-452A-80EB-4B2C7D61CF66}" fitToPage="1" hiddenColumns="1" topLeftCell="C1">
      <selection activeCell="C3" sqref="C3"/>
      <pageMargins left="0.7" right="0.7" top="0.75" bottom="0.75" header="0.3" footer="0.3"/>
      <pageSetup scale="67" orientation="landscape" horizontalDpi="4294967293" verticalDpi="4294967293" r:id="rId3"/>
    </customSheetView>
  </customSheetViews>
  <mergeCells count="2">
    <mergeCell ref="D3:O3"/>
    <mergeCell ref="P4:P31"/>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scale="67" orientation="landscape" horizontalDpi="4294967293" verticalDpi="4294967293" r:id="rId4"/>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D9"/>
  <sheetViews>
    <sheetView workbookViewId="0">
      <selection activeCell="C3" sqref="C3"/>
    </sheetView>
  </sheetViews>
  <sheetFormatPr defaultRowHeight="15" x14ac:dyDescent="0.25"/>
  <cols>
    <col min="1" max="1" width="23" style="3" bestFit="1" customWidth="1"/>
    <col min="2" max="2" width="10.140625" style="3" bestFit="1" customWidth="1"/>
    <col min="3" max="3" width="10.140625" style="3" customWidth="1"/>
    <col min="4" max="4" width="48.42578125" style="3" customWidth="1"/>
    <col min="5" max="240" width="9.140625" style="3"/>
    <col min="241" max="241" width="17.85546875" style="3" customWidth="1"/>
    <col min="242" max="496" width="9.140625" style="3"/>
    <col min="497" max="497" width="17.85546875" style="3" customWidth="1"/>
    <col min="498" max="752" width="9.140625" style="3"/>
    <col min="753" max="753" width="17.85546875" style="3" customWidth="1"/>
    <col min="754" max="1008" width="9.140625" style="3"/>
    <col min="1009" max="1009" width="17.85546875" style="3" customWidth="1"/>
    <col min="1010" max="1264" width="9.140625" style="3"/>
    <col min="1265" max="1265" width="17.85546875" style="3" customWidth="1"/>
    <col min="1266" max="1520" width="9.140625" style="3"/>
    <col min="1521" max="1521" width="17.85546875" style="3" customWidth="1"/>
    <col min="1522" max="1776" width="9.140625" style="3"/>
    <col min="1777" max="1777" width="17.85546875" style="3" customWidth="1"/>
    <col min="1778" max="2032" width="9.140625" style="3"/>
    <col min="2033" max="2033" width="17.85546875" style="3" customWidth="1"/>
    <col min="2034" max="2288" width="9.140625" style="3"/>
    <col min="2289" max="2289" width="17.85546875" style="3" customWidth="1"/>
    <col min="2290" max="2544" width="9.140625" style="3"/>
    <col min="2545" max="2545" width="17.85546875" style="3" customWidth="1"/>
    <col min="2546" max="2800" width="9.140625" style="3"/>
    <col min="2801" max="2801" width="17.85546875" style="3" customWidth="1"/>
    <col min="2802" max="3056" width="9.140625" style="3"/>
    <col min="3057" max="3057" width="17.85546875" style="3" customWidth="1"/>
    <col min="3058" max="3312" width="9.140625" style="3"/>
    <col min="3313" max="3313" width="17.85546875" style="3" customWidth="1"/>
    <col min="3314" max="3568" width="9.140625" style="3"/>
    <col min="3569" max="3569" width="17.85546875" style="3" customWidth="1"/>
    <col min="3570" max="3824" width="9.140625" style="3"/>
    <col min="3825" max="3825" width="17.85546875" style="3" customWidth="1"/>
    <col min="3826" max="4080" width="9.140625" style="3"/>
    <col min="4081" max="4081" width="17.85546875" style="3" customWidth="1"/>
    <col min="4082" max="4336" width="9.140625" style="3"/>
    <col min="4337" max="4337" width="17.85546875" style="3" customWidth="1"/>
    <col min="4338" max="4592" width="9.140625" style="3"/>
    <col min="4593" max="4593" width="17.85546875" style="3" customWidth="1"/>
    <col min="4594" max="4848" width="9.140625" style="3"/>
    <col min="4849" max="4849" width="17.85546875" style="3" customWidth="1"/>
    <col min="4850" max="5104" width="9.140625" style="3"/>
    <col min="5105" max="5105" width="17.85546875" style="3" customWidth="1"/>
    <col min="5106" max="5360" width="9.140625" style="3"/>
    <col min="5361" max="5361" width="17.85546875" style="3" customWidth="1"/>
    <col min="5362" max="5616" width="9.140625" style="3"/>
    <col min="5617" max="5617" width="17.85546875" style="3" customWidth="1"/>
    <col min="5618" max="5872" width="9.140625" style="3"/>
    <col min="5873" max="5873" width="17.85546875" style="3" customWidth="1"/>
    <col min="5874" max="6128" width="9.140625" style="3"/>
    <col min="6129" max="6129" width="17.85546875" style="3" customWidth="1"/>
    <col min="6130" max="6384" width="9.140625" style="3"/>
    <col min="6385" max="6385" width="17.85546875" style="3" customWidth="1"/>
    <col min="6386" max="6640" width="9.140625" style="3"/>
    <col min="6641" max="6641" width="17.85546875" style="3" customWidth="1"/>
    <col min="6642" max="6896" width="9.140625" style="3"/>
    <col min="6897" max="6897" width="17.85546875" style="3" customWidth="1"/>
    <col min="6898" max="7152" width="9.140625" style="3"/>
    <col min="7153" max="7153" width="17.85546875" style="3" customWidth="1"/>
    <col min="7154" max="7408" width="9.140625" style="3"/>
    <col min="7409" max="7409" width="17.85546875" style="3" customWidth="1"/>
    <col min="7410" max="7664" width="9.140625" style="3"/>
    <col min="7665" max="7665" width="17.85546875" style="3" customWidth="1"/>
    <col min="7666" max="7920" width="9.140625" style="3"/>
    <col min="7921" max="7921" width="17.85546875" style="3" customWidth="1"/>
    <col min="7922" max="8176" width="9.140625" style="3"/>
    <col min="8177" max="8177" width="17.85546875" style="3" customWidth="1"/>
    <col min="8178" max="8432" width="9.140625" style="3"/>
    <col min="8433" max="8433" width="17.85546875" style="3" customWidth="1"/>
    <col min="8434" max="8688" width="9.140625" style="3"/>
    <col min="8689" max="8689" width="17.85546875" style="3" customWidth="1"/>
    <col min="8690" max="8944" width="9.140625" style="3"/>
    <col min="8945" max="8945" width="17.85546875" style="3" customWidth="1"/>
    <col min="8946" max="9200" width="9.140625" style="3"/>
    <col min="9201" max="9201" width="17.85546875" style="3" customWidth="1"/>
    <col min="9202" max="9456" width="9.140625" style="3"/>
    <col min="9457" max="9457" width="17.85546875" style="3" customWidth="1"/>
    <col min="9458" max="9712" width="9.140625" style="3"/>
    <col min="9713" max="9713" width="17.85546875" style="3" customWidth="1"/>
    <col min="9714" max="9968" width="9.140625" style="3"/>
    <col min="9969" max="9969" width="17.85546875" style="3" customWidth="1"/>
    <col min="9970" max="10224" width="9.140625" style="3"/>
    <col min="10225" max="10225" width="17.85546875" style="3" customWidth="1"/>
    <col min="10226" max="10480" width="9.140625" style="3"/>
    <col min="10481" max="10481" width="17.85546875" style="3" customWidth="1"/>
    <col min="10482" max="10736" width="9.140625" style="3"/>
    <col min="10737" max="10737" width="17.85546875" style="3" customWidth="1"/>
    <col min="10738" max="10992" width="9.140625" style="3"/>
    <col min="10993" max="10993" width="17.85546875" style="3" customWidth="1"/>
    <col min="10994" max="11248" width="9.140625" style="3"/>
    <col min="11249" max="11249" width="17.85546875" style="3" customWidth="1"/>
    <col min="11250" max="11504" width="9.140625" style="3"/>
    <col min="11505" max="11505" width="17.85546875" style="3" customWidth="1"/>
    <col min="11506" max="11760" width="9.140625" style="3"/>
    <col min="11761" max="11761" width="17.85546875" style="3" customWidth="1"/>
    <col min="11762" max="12016" width="9.140625" style="3"/>
    <col min="12017" max="12017" width="17.85546875" style="3" customWidth="1"/>
    <col min="12018" max="12272" width="9.140625" style="3"/>
    <col min="12273" max="12273" width="17.85546875" style="3" customWidth="1"/>
    <col min="12274" max="12528" width="9.140625" style="3"/>
    <col min="12529" max="12529" width="17.85546875" style="3" customWidth="1"/>
    <col min="12530" max="12784" width="9.140625" style="3"/>
    <col min="12785" max="12785" width="17.85546875" style="3" customWidth="1"/>
    <col min="12786" max="13040" width="9.140625" style="3"/>
    <col min="13041" max="13041" width="17.85546875" style="3" customWidth="1"/>
    <col min="13042" max="13296" width="9.140625" style="3"/>
    <col min="13297" max="13297" width="17.85546875" style="3" customWidth="1"/>
    <col min="13298" max="13552" width="9.140625" style="3"/>
    <col min="13553" max="13553" width="17.85546875" style="3" customWidth="1"/>
    <col min="13554" max="13808" width="9.140625" style="3"/>
    <col min="13809" max="13809" width="17.85546875" style="3" customWidth="1"/>
    <col min="13810" max="14064" width="9.140625" style="3"/>
    <col min="14065" max="14065" width="17.85546875" style="3" customWidth="1"/>
    <col min="14066" max="14320" width="9.140625" style="3"/>
    <col min="14321" max="14321" width="17.85546875" style="3" customWidth="1"/>
    <col min="14322" max="14576" width="9.140625" style="3"/>
    <col min="14577" max="14577" width="17.85546875" style="3" customWidth="1"/>
    <col min="14578" max="14832" width="9.140625" style="3"/>
    <col min="14833" max="14833" width="17.85546875" style="3" customWidth="1"/>
    <col min="14834" max="15088" width="9.140625" style="3"/>
    <col min="15089" max="15089" width="17.85546875" style="3" customWidth="1"/>
    <col min="15090" max="15344" width="9.140625" style="3"/>
    <col min="15345" max="15345" width="17.85546875" style="3" customWidth="1"/>
    <col min="15346" max="15600" width="9.140625" style="3"/>
    <col min="15601" max="15601" width="17.85546875" style="3" customWidth="1"/>
    <col min="15602" max="15856" width="9.140625" style="3"/>
    <col min="15857" max="15857" width="17.85546875" style="3" customWidth="1"/>
    <col min="15858" max="16112" width="9.140625" style="3"/>
    <col min="16113" max="16113" width="17.85546875" style="3" customWidth="1"/>
    <col min="16114" max="16384" width="9.140625" style="3"/>
  </cols>
  <sheetData>
    <row r="1" spans="1:4" s="43" customFormat="1" ht="14.25" x14ac:dyDescent="0.25">
      <c r="B1" s="43" t="s">
        <v>2278</v>
      </c>
      <c r="C1" s="43" t="s">
        <v>2282</v>
      </c>
    </row>
    <row r="2" spans="1:4" x14ac:dyDescent="0.25">
      <c r="A2" s="49" t="s">
        <v>2314</v>
      </c>
      <c r="B2" s="299">
        <v>2.3200000000000003</v>
      </c>
      <c r="C2" s="299">
        <v>29.542818268315891</v>
      </c>
    </row>
    <row r="3" spans="1:4" x14ac:dyDescent="0.25">
      <c r="A3" s="49" t="s">
        <v>2315</v>
      </c>
      <c r="B3" s="299">
        <v>2.0200000000000031</v>
      </c>
      <c r="C3" s="299">
        <v>2.3544952426260721</v>
      </c>
    </row>
    <row r="4" spans="1:4" x14ac:dyDescent="0.25">
      <c r="A4" s="49" t="s">
        <v>2316</v>
      </c>
      <c r="B4" s="299">
        <v>0.24000000000000199</v>
      </c>
      <c r="C4" s="299">
        <v>0.69152473834444095</v>
      </c>
    </row>
    <row r="5" spans="1:4" x14ac:dyDescent="0.25">
      <c r="A5" s="49" t="s">
        <v>2317</v>
      </c>
      <c r="B5" s="299">
        <v>4.1100000000000065</v>
      </c>
      <c r="C5" s="299">
        <v>0</v>
      </c>
    </row>
    <row r="6" spans="1:4" x14ac:dyDescent="0.25">
      <c r="A6" s="49" t="s">
        <v>1394</v>
      </c>
      <c r="B6" s="299">
        <v>6.720000000000006</v>
      </c>
      <c r="C6" s="299">
        <v>8.9896408182683132</v>
      </c>
    </row>
    <row r="7" spans="1:4" x14ac:dyDescent="0.25">
      <c r="A7" s="49" t="s">
        <v>2318</v>
      </c>
      <c r="B7" s="299">
        <v>1.9100000000000037</v>
      </c>
      <c r="C7" s="299">
        <v>1.3320647002854429</v>
      </c>
    </row>
    <row r="8" spans="1:4" x14ac:dyDescent="0.25">
      <c r="A8" s="49" t="s">
        <v>2321</v>
      </c>
      <c r="B8" s="299">
        <v>15.510000000000005</v>
      </c>
      <c r="C8" s="299">
        <v>36.480625118934356</v>
      </c>
    </row>
    <row r="9" spans="1:4" ht="90" x14ac:dyDescent="0.25">
      <c r="D9" s="46" t="s">
        <v>1221</v>
      </c>
    </row>
  </sheetData>
  <customSheetViews>
    <customSheetView guid="{679A3195-3DEA-4AC2-A535-82AAF5B552BC}" state="hidden">
      <selection activeCell="C3" sqref="C3"/>
      <pageMargins left="0.75" right="0.75" top="1" bottom="1" header="0.5" footer="0.5"/>
      <pageSetup orientation="portrait" horizontalDpi="1200" verticalDpi="1200" r:id="rId1"/>
      <headerFooter alignWithMargins="0"/>
    </customSheetView>
    <customSheetView guid="{7378B641-E8D1-4C14-8151-CF4CE159D121}">
      <selection activeCell="C2" sqref="C2:C13"/>
      <pageMargins left="0.75" right="0.75" top="1" bottom="1" header="0.5" footer="0.5"/>
      <pageSetup orientation="portrait" horizontalDpi="1200" verticalDpi="1200" r:id="rId2"/>
      <headerFooter alignWithMargins="0"/>
    </customSheetView>
    <customSheetView guid="{6D63B10B-E1E6-452A-80EB-4B2C7D61CF66}" state="hidden">
      <selection activeCell="C3" sqref="C3"/>
      <pageMargins left="0.75" right="0.75" top="1" bottom="1" header="0.5" footer="0.5"/>
      <pageSetup orientation="portrait" horizontalDpi="1200" verticalDpi="1200" r:id="rId3"/>
      <headerFooter alignWithMargins="0"/>
    </customSheetView>
  </customSheetViews>
  <pageMargins left="0.75" right="0.75" top="1" bottom="1" header="0.5" footer="0.5"/>
  <pageSetup orientation="portrait" horizontalDpi="1200" verticalDpi="1200" r:id="rId4"/>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G24"/>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9.85546875" bestFit="1" customWidth="1"/>
    <col min="5" max="5" width="6.5703125" bestFit="1" customWidth="1"/>
    <col min="6" max="6" width="14" customWidth="1"/>
    <col min="7" max="7" width="13.85546875" customWidth="1"/>
    <col min="10" max="10" width="3.5703125" customWidth="1"/>
    <col min="20" max="20" width="3.7109375" customWidth="1"/>
  </cols>
  <sheetData>
    <row r="1" spans="1:7" x14ac:dyDescent="0.25">
      <c r="A1" s="3" t="s">
        <v>26</v>
      </c>
      <c r="B1" s="4" t="s">
        <v>3011</v>
      </c>
      <c r="C1" s="535" t="s">
        <v>3058</v>
      </c>
      <c r="D1" s="558" t="str">
        <f>B1</f>
        <v>What Participants Are Saying About the Program</v>
      </c>
    </row>
    <row r="2" spans="1:7" x14ac:dyDescent="0.25">
      <c r="A2" t="s">
        <v>20</v>
      </c>
      <c r="B2" s="321" t="s">
        <v>60</v>
      </c>
      <c r="C2" s="536" t="s">
        <v>3059</v>
      </c>
    </row>
    <row r="3" spans="1:7" x14ac:dyDescent="0.25">
      <c r="A3" t="s">
        <v>1184</v>
      </c>
      <c r="B3" s="321" t="s">
        <v>2794</v>
      </c>
      <c r="C3" s="536" t="s">
        <v>1193</v>
      </c>
    </row>
    <row r="4" spans="1:7" ht="25.5" customHeight="1" x14ac:dyDescent="0.25">
      <c r="D4" s="448"/>
      <c r="E4" s="312" t="s">
        <v>2879</v>
      </c>
      <c r="F4" s="312" t="s">
        <v>2731</v>
      </c>
      <c r="G4" s="332" t="s">
        <v>3171</v>
      </c>
    </row>
    <row r="5" spans="1:7" x14ac:dyDescent="0.25">
      <c r="D5" s="324"/>
      <c r="E5" s="500" t="s">
        <v>2881</v>
      </c>
      <c r="F5" s="500" t="s">
        <v>2882</v>
      </c>
      <c r="G5" s="501" t="s">
        <v>2807</v>
      </c>
    </row>
    <row r="6" spans="1:7" x14ac:dyDescent="0.25">
      <c r="D6" s="502" t="s">
        <v>3012</v>
      </c>
      <c r="E6" s="450">
        <v>0.9</v>
      </c>
      <c r="F6" s="451">
        <v>0.95</v>
      </c>
      <c r="G6" s="452">
        <v>0.69</v>
      </c>
    </row>
    <row r="7" spans="1:7" x14ac:dyDescent="0.25">
      <c r="D7" s="502"/>
      <c r="E7" s="450"/>
      <c r="F7" s="451"/>
      <c r="G7" s="452"/>
    </row>
    <row r="8" spans="1:7" x14ac:dyDescent="0.25">
      <c r="D8" s="521" t="s">
        <v>3013</v>
      </c>
      <c r="E8" s="500" t="s">
        <v>2978</v>
      </c>
      <c r="F8" s="500" t="s">
        <v>3014</v>
      </c>
      <c r="G8" s="501" t="s">
        <v>2945</v>
      </c>
    </row>
    <row r="9" spans="1:7" ht="30" x14ac:dyDescent="0.25">
      <c r="D9" s="508" t="s">
        <v>3015</v>
      </c>
      <c r="E9" s="522">
        <v>0.44</v>
      </c>
      <c r="F9" s="523">
        <v>0.42</v>
      </c>
      <c r="G9" s="524">
        <v>0.55000000000000004</v>
      </c>
    </row>
    <row r="10" spans="1:7" x14ac:dyDescent="0.25">
      <c r="D10" s="508" t="s">
        <v>3016</v>
      </c>
      <c r="E10" s="522">
        <v>0.39</v>
      </c>
      <c r="F10" s="523">
        <v>0.39</v>
      </c>
      <c r="G10" s="524">
        <v>0.36</v>
      </c>
    </row>
    <row r="11" spans="1:7" x14ac:dyDescent="0.25">
      <c r="D11" s="508" t="s">
        <v>3017</v>
      </c>
      <c r="E11" s="522">
        <v>0.37</v>
      </c>
      <c r="F11" s="523">
        <v>0.37</v>
      </c>
      <c r="G11" s="524">
        <v>0.36</v>
      </c>
    </row>
    <row r="12" spans="1:7" ht="30" x14ac:dyDescent="0.25">
      <c r="D12" s="508" t="s">
        <v>3018</v>
      </c>
      <c r="E12" s="522">
        <v>0.28999999999999998</v>
      </c>
      <c r="F12" s="523">
        <v>0.25</v>
      </c>
      <c r="G12" s="524">
        <v>0.45</v>
      </c>
    </row>
    <row r="13" spans="1:7" x14ac:dyDescent="0.25">
      <c r="D13" s="508" t="s">
        <v>3019</v>
      </c>
      <c r="E13" s="522">
        <v>0.1</v>
      </c>
      <c r="F13" s="523">
        <v>0.1</v>
      </c>
      <c r="G13" s="524">
        <v>0.09</v>
      </c>
    </row>
    <row r="14" spans="1:7" x14ac:dyDescent="0.25">
      <c r="D14" s="508" t="s">
        <v>3020</v>
      </c>
      <c r="E14" s="522">
        <v>0.09</v>
      </c>
      <c r="F14" s="523">
        <v>7.0000000000000007E-2</v>
      </c>
      <c r="G14" s="524">
        <v>0.18</v>
      </c>
    </row>
    <row r="15" spans="1:7" x14ac:dyDescent="0.25">
      <c r="D15" s="508" t="s">
        <v>3021</v>
      </c>
      <c r="E15" s="522">
        <v>7.0000000000000007E-2</v>
      </c>
      <c r="F15" s="523">
        <v>0.05</v>
      </c>
      <c r="G15" s="524">
        <v>0.18</v>
      </c>
    </row>
    <row r="16" spans="1:7" x14ac:dyDescent="0.25">
      <c r="D16" s="508" t="s">
        <v>3022</v>
      </c>
      <c r="E16" s="522">
        <v>0.06</v>
      </c>
      <c r="F16" s="523">
        <v>0.03</v>
      </c>
      <c r="G16" s="524">
        <v>0.18</v>
      </c>
    </row>
    <row r="17" spans="4:7" x14ac:dyDescent="0.25">
      <c r="D17" s="508" t="s">
        <v>62</v>
      </c>
      <c r="E17" s="522">
        <v>0.01</v>
      </c>
      <c r="F17" s="523">
        <v>0.01</v>
      </c>
      <c r="G17" s="525" t="s">
        <v>2331</v>
      </c>
    </row>
    <row r="18" spans="4:7" x14ac:dyDescent="0.25">
      <c r="D18" s="508"/>
      <c r="E18" s="522"/>
      <c r="F18" s="523"/>
      <c r="G18" s="524"/>
    </row>
    <row r="19" spans="4:7" x14ac:dyDescent="0.25">
      <c r="D19" s="324"/>
      <c r="E19" s="500" t="s">
        <v>2881</v>
      </c>
      <c r="F19" s="500" t="s">
        <v>2882</v>
      </c>
      <c r="G19" s="501" t="s">
        <v>2807</v>
      </c>
    </row>
    <row r="20" spans="4:7" x14ac:dyDescent="0.25">
      <c r="D20" s="502" t="s">
        <v>3023</v>
      </c>
      <c r="E20" s="450">
        <v>0.1</v>
      </c>
      <c r="F20" s="451">
        <v>0.05</v>
      </c>
      <c r="G20" s="452">
        <v>0.31</v>
      </c>
    </row>
    <row r="21" spans="4:7" x14ac:dyDescent="0.25">
      <c r="D21" s="502"/>
      <c r="E21" s="450"/>
      <c r="F21" s="451"/>
      <c r="G21" s="452"/>
    </row>
    <row r="22" spans="4:7" x14ac:dyDescent="0.25">
      <c r="D22" s="521" t="s">
        <v>3024</v>
      </c>
      <c r="E22" s="500" t="s">
        <v>3025</v>
      </c>
      <c r="F22" s="500" t="s">
        <v>2997</v>
      </c>
      <c r="G22" s="501" t="s">
        <v>3026</v>
      </c>
    </row>
    <row r="23" spans="4:7" x14ac:dyDescent="0.25">
      <c r="D23" s="508" t="s">
        <v>3027</v>
      </c>
      <c r="E23" s="522">
        <v>0.63</v>
      </c>
      <c r="F23" s="523">
        <v>0.67</v>
      </c>
      <c r="G23" s="524">
        <v>0.6</v>
      </c>
    </row>
    <row r="24" spans="4:7" x14ac:dyDescent="0.25">
      <c r="D24" s="517" t="s">
        <v>3028</v>
      </c>
      <c r="E24" s="526">
        <v>0.38</v>
      </c>
      <c r="F24" s="527">
        <v>0.33</v>
      </c>
      <c r="G24" s="528">
        <v>0.4</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K18" sqref="K18"/>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A1:D3"/>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9.85546875" bestFit="1" customWidth="1"/>
    <col min="5" max="5" width="64.28515625" customWidth="1"/>
    <col min="6" max="6" width="14" customWidth="1"/>
    <col min="7" max="7" width="51.7109375" bestFit="1" customWidth="1"/>
    <col min="10" max="10" width="3.5703125" customWidth="1"/>
    <col min="20" max="20" width="3.7109375" customWidth="1"/>
  </cols>
  <sheetData>
    <row r="1" spans="1:4" x14ac:dyDescent="0.25">
      <c r="A1" s="3" t="s">
        <v>26</v>
      </c>
      <c r="B1" s="4" t="s">
        <v>3029</v>
      </c>
      <c r="C1" s="535" t="s">
        <v>3058</v>
      </c>
      <c r="D1" s="558" t="str">
        <f>B1</f>
        <v>Stakeholders Involved in EUC</v>
      </c>
    </row>
    <row r="2" spans="1:4" x14ac:dyDescent="0.25">
      <c r="A2" t="s">
        <v>20</v>
      </c>
      <c r="B2" s="321" t="s">
        <v>60</v>
      </c>
      <c r="C2" s="536" t="s">
        <v>3059</v>
      </c>
    </row>
    <row r="3" spans="1:4" x14ac:dyDescent="0.25">
      <c r="A3" t="s">
        <v>1184</v>
      </c>
      <c r="B3" s="321" t="s">
        <v>3149</v>
      </c>
      <c r="C3" s="536" t="s">
        <v>1193</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drawing r:id="rId5"/>
  <legacyDrawing r:id="rId6"/>
  <oleObjects>
    <mc:AlternateContent xmlns:mc="http://schemas.openxmlformats.org/markup-compatibility/2006">
      <mc:Choice Requires="x14">
        <oleObject progId="Visio.Drawing.11" shapeId="29697" r:id="rId7">
          <objectPr defaultSize="0" autoPict="0" r:id="rId8">
            <anchor moveWithCells="1" sizeWithCells="1">
              <from>
                <xdr:col>3</xdr:col>
                <xdr:colOff>0</xdr:colOff>
                <xdr:row>3</xdr:row>
                <xdr:rowOff>0</xdr:rowOff>
              </from>
              <to>
                <xdr:col>4</xdr:col>
                <xdr:colOff>3848100</xdr:colOff>
                <xdr:row>31</xdr:row>
                <xdr:rowOff>95250</xdr:rowOff>
              </to>
            </anchor>
          </objectPr>
        </oleObject>
      </mc:Choice>
      <mc:Fallback>
        <oleObject progId="Visio.Drawing.11" shapeId="29697" r:id="rId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14"/>
  <sheetViews>
    <sheetView topLeftCell="C1" zoomScaleNormal="100" workbookViewId="0">
      <selection activeCell="C3" sqref="C3"/>
    </sheetView>
  </sheetViews>
  <sheetFormatPr defaultColWidth="20.28515625" defaultRowHeight="21.75" customHeight="1" x14ac:dyDescent="0.25"/>
  <cols>
    <col min="1" max="1" width="20.28515625" hidden="1" customWidth="1"/>
    <col min="2" max="2" width="27.140625" hidden="1" customWidth="1"/>
    <col min="4" max="4" width="16.7109375" customWidth="1"/>
    <col min="5" max="5" width="13.28515625" customWidth="1"/>
    <col min="6" max="6" width="18.5703125" customWidth="1"/>
    <col min="7" max="7" width="14.140625" customWidth="1"/>
    <col min="8" max="8" width="18" customWidth="1"/>
    <col min="9" max="9" width="18.42578125" customWidth="1"/>
    <col min="10" max="10" width="18.28515625" customWidth="1"/>
  </cols>
  <sheetData>
    <row r="1" spans="1:10" ht="19.5" customHeight="1" x14ac:dyDescent="0.25">
      <c r="A1" s="3" t="s">
        <v>26</v>
      </c>
      <c r="B1" s="4" t="s">
        <v>3315</v>
      </c>
      <c r="C1" s="535" t="s">
        <v>3058</v>
      </c>
      <c r="D1" s="590" t="str">
        <f>B1</f>
        <v>Distribution of Measures in SCE/SCG Advanced Jobs and Advanced PG&amp;E jobs</v>
      </c>
    </row>
    <row r="2" spans="1:10" ht="21.75" customHeight="1" x14ac:dyDescent="0.25">
      <c r="A2" t="s">
        <v>20</v>
      </c>
      <c r="B2" s="2" t="s">
        <v>60</v>
      </c>
      <c r="C2" s="536" t="s">
        <v>3059</v>
      </c>
    </row>
    <row r="3" spans="1:10" ht="18" customHeight="1" x14ac:dyDescent="0.25">
      <c r="A3" t="s">
        <v>1184</v>
      </c>
      <c r="B3" s="2" t="s">
        <v>1198</v>
      </c>
      <c r="C3" s="536" t="s">
        <v>1193</v>
      </c>
    </row>
    <row r="4" spans="1:10" ht="72" customHeight="1" x14ac:dyDescent="0.25">
      <c r="A4" t="s">
        <v>3136</v>
      </c>
      <c r="B4" s="2" t="s">
        <v>1910</v>
      </c>
      <c r="D4" s="604" t="str">
        <f>'1D'!F1</f>
        <v>Measure</v>
      </c>
      <c r="E4" s="607" t="s">
        <v>3212</v>
      </c>
      <c r="F4" s="607" t="s">
        <v>3213</v>
      </c>
      <c r="G4" s="607" t="s">
        <v>3214</v>
      </c>
      <c r="H4" s="607" t="s">
        <v>3215</v>
      </c>
      <c r="I4" s="607" t="s">
        <v>3216</v>
      </c>
      <c r="J4" s="607" t="s">
        <v>3217</v>
      </c>
    </row>
    <row r="5" spans="1:10" ht="21.75" customHeight="1" x14ac:dyDescent="0.25">
      <c r="B5" s="2"/>
      <c r="C5" s="2"/>
      <c r="D5" s="585" t="str">
        <f>'1D'!F2</f>
        <v>House sealing</v>
      </c>
      <c r="E5" s="586">
        <f>'1D'!G2</f>
        <v>13</v>
      </c>
      <c r="F5" s="587">
        <f>'1D'!H2</f>
        <v>3.2153846153846151E-2</v>
      </c>
      <c r="G5" s="586">
        <f>'1D'!I2</f>
        <v>44</v>
      </c>
      <c r="H5" s="587">
        <f>'1D'!J2</f>
        <v>2.7772727272727272E-2</v>
      </c>
      <c r="I5" s="588">
        <f>'1D'!M2</f>
        <v>0.8125</v>
      </c>
      <c r="J5" s="588">
        <f>'1D'!N2</f>
        <v>0.86274509803921573</v>
      </c>
    </row>
    <row r="6" spans="1:10" ht="21.75" customHeight="1" x14ac:dyDescent="0.25">
      <c r="D6" s="585" t="str">
        <f>'1D'!F3</f>
        <v>Attic insulation</v>
      </c>
      <c r="E6" s="586">
        <f>'1D'!G3</f>
        <v>12</v>
      </c>
      <c r="F6" s="587">
        <f>'1D'!H3</f>
        <v>5.9083333333333328E-2</v>
      </c>
      <c r="G6" s="586">
        <f>'1D'!I3</f>
        <v>40</v>
      </c>
      <c r="H6" s="587">
        <f>'1D'!J3</f>
        <v>3.9875000000000001E-2</v>
      </c>
      <c r="I6" s="588">
        <f>'1D'!M3</f>
        <v>0.75</v>
      </c>
      <c r="J6" s="588">
        <f>'1D'!N3</f>
        <v>0.78431372549019607</v>
      </c>
    </row>
    <row r="7" spans="1:10" ht="21.75" customHeight="1" x14ac:dyDescent="0.25">
      <c r="D7" s="585" t="str">
        <f>'1D'!F4</f>
        <v>Duct sealing</v>
      </c>
      <c r="E7" s="586">
        <f>'1D'!G4</f>
        <v>12</v>
      </c>
      <c r="F7" s="587">
        <f>'1D'!H4</f>
        <v>4.9749999999999996E-2</v>
      </c>
      <c r="G7" s="586">
        <f>'1D'!I4</f>
        <v>41</v>
      </c>
      <c r="H7" s="587">
        <f>'1D'!J4</f>
        <v>7.570731707317073E-2</v>
      </c>
      <c r="I7" s="588">
        <f>'1D'!M4</f>
        <v>0.75</v>
      </c>
      <c r="J7" s="588">
        <f>'1D'!N4</f>
        <v>0.80392156862745101</v>
      </c>
    </row>
    <row r="8" spans="1:10" ht="21.75" customHeight="1" x14ac:dyDescent="0.25">
      <c r="D8" s="585" t="str">
        <f>'1D'!F5</f>
        <v>Duct insulation</v>
      </c>
      <c r="E8" s="586">
        <f>'1D'!G5</f>
        <v>9</v>
      </c>
      <c r="F8" s="587">
        <f>'1D'!H5</f>
        <v>2.6777777777777775E-2</v>
      </c>
      <c r="G8" s="586">
        <f>'1D'!I5</f>
        <v>27</v>
      </c>
      <c r="H8" s="587">
        <f>'1D'!J5</f>
        <v>7.6148148148148131E-2</v>
      </c>
      <c r="I8" s="588">
        <f>'1D'!M5</f>
        <v>0.5625</v>
      </c>
      <c r="J8" s="588">
        <f>'1D'!N5</f>
        <v>0.52941176470588236</v>
      </c>
    </row>
    <row r="9" spans="1:10" ht="21.75" customHeight="1" x14ac:dyDescent="0.25">
      <c r="D9" s="585" t="str">
        <f>'1D'!F6</f>
        <v>HVAC System</v>
      </c>
      <c r="E9" s="586">
        <f>'1D'!G6</f>
        <v>6</v>
      </c>
      <c r="F9" s="587">
        <f>'1D'!H6</f>
        <v>5.149999999999999E-2</v>
      </c>
      <c r="G9" s="586">
        <f>'1D'!I6</f>
        <v>31</v>
      </c>
      <c r="H9" s="587">
        <f>'1D'!J6</f>
        <v>7.0645161290322597E-2</v>
      </c>
      <c r="I9" s="588">
        <f>'1D'!M6</f>
        <v>0.375</v>
      </c>
      <c r="J9" s="588">
        <f>'1D'!N6</f>
        <v>0.60784313725490191</v>
      </c>
    </row>
    <row r="10" spans="1:10" ht="21.75" customHeight="1" x14ac:dyDescent="0.25">
      <c r="D10" s="585" t="str">
        <f>'1D'!F7</f>
        <v>Wall insulation</v>
      </c>
      <c r="E10" s="586">
        <f>'1D'!G7</f>
        <v>5</v>
      </c>
      <c r="F10" s="587">
        <f>'1D'!H7</f>
        <v>0.13500000000000001</v>
      </c>
      <c r="G10" s="586">
        <f>'1D'!I7</f>
        <v>15</v>
      </c>
      <c r="H10" s="587">
        <f>'1D'!J7</f>
        <v>0.16793333333333335</v>
      </c>
      <c r="I10" s="588">
        <f>'1D'!M7</f>
        <v>0.3125</v>
      </c>
      <c r="J10" s="588">
        <f>'1D'!N7</f>
        <v>0.29411764705882354</v>
      </c>
    </row>
    <row r="11" spans="1:10" ht="21.75" customHeight="1" x14ac:dyDescent="0.25">
      <c r="D11" s="585" t="str">
        <f>'1D'!F8</f>
        <v>Floor insulation</v>
      </c>
      <c r="E11" s="586">
        <f>'1D'!G8</f>
        <v>5</v>
      </c>
      <c r="F11" s="587">
        <f>'1D'!H8</f>
        <v>3.44E-2</v>
      </c>
      <c r="G11" s="586">
        <f>'1D'!I8</f>
        <v>13</v>
      </c>
      <c r="H11" s="587">
        <f>'1D'!J8</f>
        <v>7.6615384615384613E-2</v>
      </c>
      <c r="I11" s="588">
        <f>'1D'!M8</f>
        <v>0.3125</v>
      </c>
      <c r="J11" s="588">
        <f>'1D'!N8</f>
        <v>0.25490196078431371</v>
      </c>
    </row>
    <row r="12" spans="1:10" ht="21.75" customHeight="1" x14ac:dyDescent="0.25">
      <c r="D12" s="585" t="str">
        <f>'1D'!F9</f>
        <v>Windows</v>
      </c>
      <c r="E12" s="586">
        <f>'1D'!G9</f>
        <v>3</v>
      </c>
      <c r="F12" s="587">
        <f>'1D'!H9</f>
        <v>0.11733333333333333</v>
      </c>
      <c r="G12" s="586">
        <f>'1D'!I9</f>
        <v>9</v>
      </c>
      <c r="H12" s="587">
        <f>'1D'!J9</f>
        <v>7.8222222222222207E-2</v>
      </c>
      <c r="I12" s="588">
        <f>'1D'!M9</f>
        <v>0.1875</v>
      </c>
      <c r="J12" s="588">
        <f>'1D'!N9</f>
        <v>0.17647058823529413</v>
      </c>
    </row>
    <row r="13" spans="1:10" ht="21.75" customHeight="1" x14ac:dyDescent="0.25">
      <c r="D13" s="585" t="str">
        <f>'1D'!F10</f>
        <v>Hot water heater</v>
      </c>
      <c r="E13" s="586">
        <f>'1D'!G10</f>
        <v>3</v>
      </c>
      <c r="F13" s="587">
        <f>'1D'!H10</f>
        <v>9.9999999999999985E-3</v>
      </c>
      <c r="G13" s="586">
        <f>'1D'!I10</f>
        <v>15</v>
      </c>
      <c r="H13" s="587">
        <f>'1D'!J10</f>
        <v>7.1533333333333324E-2</v>
      </c>
      <c r="I13" s="588">
        <f>'1D'!M10</f>
        <v>0.1875</v>
      </c>
      <c r="J13" s="588">
        <f>'1D'!N10</f>
        <v>0.29411764705882354</v>
      </c>
    </row>
    <row r="14" spans="1:10" ht="21.75" customHeight="1" x14ac:dyDescent="0.25">
      <c r="D14" s="585" t="str">
        <f>'1D'!F11</f>
        <v>Lighting</v>
      </c>
      <c r="E14" s="586">
        <f>'1D'!G11</f>
        <v>1</v>
      </c>
      <c r="F14" s="587">
        <f>'1D'!H11</f>
        <v>0.01</v>
      </c>
      <c r="G14" s="586">
        <f>'1D'!I11</f>
        <v>0</v>
      </c>
      <c r="H14" s="587"/>
      <c r="I14" s="588">
        <f>'1D'!M11</f>
        <v>6.25E-2</v>
      </c>
      <c r="J14" s="588">
        <f>'1D'!N11</f>
        <v>0</v>
      </c>
    </row>
  </sheetData>
  <customSheetViews>
    <customSheetView guid="{679A3195-3DEA-4AC2-A535-82AAF5B552BC}" hiddenColumns="1" topLeftCell="C1">
      <selection activeCell="C3" sqref="C3"/>
      <pageMargins left="0.7" right="0.7" top="0.75" bottom="0.75" header="0.3" footer="0.3"/>
    </customSheetView>
    <customSheetView guid="{7378B641-E8D1-4C14-8151-CF4CE159D121}">
      <selection activeCell="C3" sqref="C3"/>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L10"/>
  <sheetViews>
    <sheetView topLeftCell="C1" zoomScaleNormal="100" workbookViewId="0">
      <selection activeCell="C3" sqref="C3"/>
    </sheetView>
  </sheetViews>
  <sheetFormatPr defaultRowHeight="15" x14ac:dyDescent="0.25"/>
  <cols>
    <col min="1" max="1" width="11.5703125" hidden="1" customWidth="1"/>
    <col min="2" max="2" width="44" hidden="1" customWidth="1"/>
    <col min="3" max="3" width="18.7109375" customWidth="1"/>
    <col min="4" max="4" width="11.28515625" bestFit="1" customWidth="1"/>
    <col min="5" max="5" width="11" customWidth="1"/>
    <col min="6" max="6" width="9.7109375" customWidth="1"/>
    <col min="7" max="7" width="9" customWidth="1"/>
    <col min="8" max="8" width="8.140625" customWidth="1"/>
    <col min="9" max="9" width="12.5703125" customWidth="1"/>
    <col min="10" max="10" width="10.5703125" customWidth="1"/>
    <col min="11" max="11" width="8.85546875" customWidth="1"/>
    <col min="12" max="12" width="7.85546875" customWidth="1"/>
    <col min="15" max="15" width="3.5703125" customWidth="1"/>
    <col min="25" max="25" width="3.7109375" customWidth="1"/>
  </cols>
  <sheetData>
    <row r="1" spans="1:12" ht="17.25" customHeight="1" x14ac:dyDescent="0.25">
      <c r="A1" s="3" t="s">
        <v>26</v>
      </c>
      <c r="B1" s="56" t="s">
        <v>3138</v>
      </c>
      <c r="C1" s="535" t="s">
        <v>3058</v>
      </c>
      <c r="D1" s="558" t="str">
        <f>B1</f>
        <v>Jobs Completed and In Pipeline</v>
      </c>
    </row>
    <row r="2" spans="1:12" x14ac:dyDescent="0.25">
      <c r="A2" t="s">
        <v>20</v>
      </c>
      <c r="B2" s="321" t="s">
        <v>60</v>
      </c>
      <c r="C2" s="536" t="s">
        <v>3059</v>
      </c>
    </row>
    <row r="3" spans="1:12" ht="15.75" customHeight="1" x14ac:dyDescent="0.25">
      <c r="A3" t="s">
        <v>1184</v>
      </c>
      <c r="B3" s="4" t="s">
        <v>2426</v>
      </c>
      <c r="C3" s="536" t="s">
        <v>1193</v>
      </c>
      <c r="D3" s="558"/>
    </row>
    <row r="4" spans="1:12" ht="30" customHeight="1" x14ac:dyDescent="0.25">
      <c r="A4" t="s">
        <v>3136</v>
      </c>
      <c r="B4" s="4" t="s">
        <v>3219</v>
      </c>
      <c r="C4" s="321"/>
      <c r="D4" s="357"/>
      <c r="E4" s="744" t="s">
        <v>3371</v>
      </c>
      <c r="F4" s="745"/>
      <c r="G4" s="745"/>
      <c r="H4" s="746"/>
      <c r="I4" s="744" t="s">
        <v>3203</v>
      </c>
      <c r="J4" s="745"/>
      <c r="K4" s="745"/>
      <c r="L4" s="746"/>
    </row>
    <row r="5" spans="1:12" ht="42.75" x14ac:dyDescent="0.25">
      <c r="D5" s="495"/>
      <c r="E5" s="544" t="s">
        <v>3260</v>
      </c>
      <c r="F5" s="545" t="s">
        <v>3093</v>
      </c>
      <c r="G5" s="646" t="s">
        <v>3211</v>
      </c>
      <c r="H5" s="645" t="s">
        <v>1260</v>
      </c>
      <c r="I5" s="544" t="s">
        <v>3137</v>
      </c>
      <c r="J5" s="545" t="s">
        <v>3093</v>
      </c>
      <c r="K5" s="546" t="s">
        <v>3211</v>
      </c>
      <c r="L5" s="550" t="s">
        <v>1260</v>
      </c>
    </row>
    <row r="6" spans="1:12" x14ac:dyDescent="0.25">
      <c r="D6" s="22" t="s">
        <v>3030</v>
      </c>
      <c r="E6" s="551">
        <f>'32D'!E3+'32D'!E9</f>
        <v>660</v>
      </c>
      <c r="F6" s="552">
        <f>'32D'!E6</f>
        <v>138</v>
      </c>
      <c r="G6" s="554">
        <f>'32D'!E22</f>
        <v>70</v>
      </c>
      <c r="H6" s="553">
        <f>SUM(E6:G6)</f>
        <v>868</v>
      </c>
      <c r="I6" s="551">
        <f>'32D'!E13+'32D'!E19</f>
        <v>582</v>
      </c>
      <c r="J6" s="552">
        <f>'32D'!E16</f>
        <v>124</v>
      </c>
      <c r="K6" s="554">
        <f>'32D'!E27</f>
        <v>51</v>
      </c>
      <c r="L6" s="648">
        <f>SUM(I6:K6)</f>
        <v>757</v>
      </c>
    </row>
    <row r="7" spans="1:12" x14ac:dyDescent="0.25">
      <c r="D7" s="22" t="s">
        <v>2258</v>
      </c>
      <c r="E7" s="551">
        <f>'32D'!E4+'32D'!E10</f>
        <v>227</v>
      </c>
      <c r="F7" s="552">
        <f>'32D'!E7</f>
        <v>67</v>
      </c>
      <c r="G7" s="554">
        <f>'32D'!E23</f>
        <v>17</v>
      </c>
      <c r="H7" s="553">
        <f t="shared" ref="H7:H8" si="0">SUM(E7:G7)</f>
        <v>311</v>
      </c>
      <c r="I7" s="551">
        <f>'32D'!E14+'32D'!E20+'32D'!E11</f>
        <v>885</v>
      </c>
      <c r="J7" s="552">
        <f>'32D'!$E$17</f>
        <v>599</v>
      </c>
      <c r="K7" s="554">
        <f>'32D'!E28</f>
        <v>383</v>
      </c>
      <c r="L7" s="648">
        <f>SUM(I7:K7)</f>
        <v>1867</v>
      </c>
    </row>
    <row r="8" spans="1:12" x14ac:dyDescent="0.25">
      <c r="D8" s="549" t="s">
        <v>1260</v>
      </c>
      <c r="E8" s="555">
        <f>SUM(E6:E7)</f>
        <v>887</v>
      </c>
      <c r="F8" s="556">
        <f>SUM(F6:F7)</f>
        <v>205</v>
      </c>
      <c r="G8" s="557">
        <f>SUM(G6:G7)</f>
        <v>87</v>
      </c>
      <c r="H8" s="647">
        <f t="shared" si="0"/>
        <v>1179</v>
      </c>
      <c r="I8" s="555">
        <f>SUM(I6:I7)</f>
        <v>1467</v>
      </c>
      <c r="J8" s="556">
        <f t="shared" ref="J8:L8" si="1">SUM(J6:J7)</f>
        <v>723</v>
      </c>
      <c r="K8" s="557">
        <f t="shared" si="1"/>
        <v>434</v>
      </c>
      <c r="L8" s="649">
        <f t="shared" si="1"/>
        <v>2624</v>
      </c>
    </row>
    <row r="9" spans="1:12" ht="54" customHeight="1" x14ac:dyDescent="0.25">
      <c r="D9" s="738" t="s">
        <v>3139</v>
      </c>
      <c r="E9" s="739"/>
      <c r="F9" s="739"/>
      <c r="G9" s="739"/>
      <c r="H9" s="739"/>
      <c r="I9" s="739"/>
      <c r="J9" s="739"/>
      <c r="K9" s="739"/>
      <c r="L9" s="740"/>
    </row>
    <row r="10" spans="1:12" ht="5.25" customHeight="1" x14ac:dyDescent="0.25">
      <c r="D10" s="741"/>
      <c r="E10" s="742"/>
      <c r="F10" s="742"/>
      <c r="G10" s="742"/>
      <c r="H10" s="742"/>
      <c r="I10" s="742"/>
      <c r="J10" s="742"/>
      <c r="K10" s="742"/>
      <c r="L10" s="743"/>
    </row>
  </sheetData>
  <customSheetViews>
    <customSheetView guid="{679A3195-3DEA-4AC2-A535-82AAF5B552BC}" hiddenColumns="1" topLeftCell="C1">
      <selection activeCell="C3" sqref="C3"/>
      <pageMargins left="0.7" right="0.7" top="0.75" bottom="0.75" header="0.3" footer="0.3"/>
      <pageSetup paperSize="256" orientation="portrait" verticalDpi="4294967293" r:id="rId1"/>
    </customSheetView>
    <customSheetView guid="{7378B641-E8D1-4C14-8151-CF4CE159D121}" hiddenColumns="1" topLeftCell="C1">
      <selection activeCell="R9" sqref="R9"/>
      <pageMargins left="0.7" right="0.7" top="0.75" bottom="0.75" header="0.3" footer="0.3"/>
      <pageSetup paperSize="256" orientation="portrait" verticalDpi="4294967293" r:id="rId2"/>
    </customSheetView>
    <customSheetView guid="{6D63B10B-E1E6-452A-80EB-4B2C7D61CF66}" hiddenColumns="1" topLeftCell="C1">
      <selection activeCell="C3" sqref="C3"/>
      <pageMargins left="0.7" right="0.7" top="0.75" bottom="0.75" header="0.3" footer="0.3"/>
      <pageSetup paperSize="256" orientation="portrait" verticalDpi="4294967293" r:id="rId3"/>
    </customSheetView>
  </customSheetViews>
  <mergeCells count="4">
    <mergeCell ref="D9:L9"/>
    <mergeCell ref="D10:L10"/>
    <mergeCell ref="I4:L4"/>
    <mergeCell ref="E4:H4"/>
  </mergeCells>
  <dataValidations disablePrompts="1" count="3">
    <dataValidation type="list" allowBlank="1" showInputMessage="1" showErrorMessage="1" sqref="B2">
      <formula1>Scope</formula1>
    </dataValidation>
    <dataValidation type="list" allowBlank="1" showInputMessage="1" showErrorMessage="1" sqref="C4">
      <formula1>DataSource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4294967293"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29"/>
  <sheetViews>
    <sheetView topLeftCell="A3" workbookViewId="0">
      <selection activeCell="C3" sqref="C3"/>
    </sheetView>
  </sheetViews>
  <sheetFormatPr defaultRowHeight="15" x14ac:dyDescent="0.25"/>
  <cols>
    <col min="1" max="5" width="16.7109375" customWidth="1"/>
  </cols>
  <sheetData>
    <row r="1" spans="1:5" x14ac:dyDescent="0.25">
      <c r="A1" s="650" t="s">
        <v>1895</v>
      </c>
      <c r="B1" s="650" t="s">
        <v>2255</v>
      </c>
      <c r="C1" s="650" t="s">
        <v>1903</v>
      </c>
      <c r="D1" s="650" t="s">
        <v>2256</v>
      </c>
      <c r="E1" s="650" t="s">
        <v>3090</v>
      </c>
    </row>
    <row r="2" spans="1:5" ht="30" x14ac:dyDescent="0.25">
      <c r="A2" s="651" t="s">
        <v>58</v>
      </c>
      <c r="B2" s="651" t="s">
        <v>2257</v>
      </c>
      <c r="C2" s="651" t="s">
        <v>118</v>
      </c>
      <c r="D2" s="652" t="s">
        <v>3220</v>
      </c>
      <c r="E2" s="653">
        <v>40</v>
      </c>
    </row>
    <row r="3" spans="1:5" ht="30" x14ac:dyDescent="0.25">
      <c r="A3" s="651" t="s">
        <v>58</v>
      </c>
      <c r="B3" s="651" t="s">
        <v>2257</v>
      </c>
      <c r="C3" s="651" t="s">
        <v>118</v>
      </c>
      <c r="D3" s="654" t="s">
        <v>2260</v>
      </c>
      <c r="E3" s="653">
        <v>400</v>
      </c>
    </row>
    <row r="4" spans="1:5" ht="30" x14ac:dyDescent="0.25">
      <c r="A4" s="651" t="s">
        <v>58</v>
      </c>
      <c r="B4" s="651" t="s">
        <v>2257</v>
      </c>
      <c r="C4" s="651" t="s">
        <v>118</v>
      </c>
      <c r="D4" s="654" t="s">
        <v>2258</v>
      </c>
      <c r="E4" s="653">
        <v>121</v>
      </c>
    </row>
    <row r="5" spans="1:5" x14ac:dyDescent="0.25">
      <c r="A5" s="651" t="s">
        <v>58</v>
      </c>
      <c r="B5" s="651" t="s">
        <v>2257</v>
      </c>
      <c r="C5" s="651" t="s">
        <v>1896</v>
      </c>
      <c r="D5" s="651" t="s">
        <v>3220</v>
      </c>
      <c r="E5" s="653">
        <v>16</v>
      </c>
    </row>
    <row r="6" spans="1:5" x14ac:dyDescent="0.25">
      <c r="A6" s="651" t="s">
        <v>58</v>
      </c>
      <c r="B6" s="651" t="s">
        <v>2257</v>
      </c>
      <c r="C6" s="651" t="s">
        <v>1896</v>
      </c>
      <c r="D6" s="651" t="s">
        <v>2260</v>
      </c>
      <c r="E6" s="653">
        <v>138</v>
      </c>
    </row>
    <row r="7" spans="1:5" x14ac:dyDescent="0.25">
      <c r="A7" s="651" t="s">
        <v>58</v>
      </c>
      <c r="B7" s="651" t="s">
        <v>2257</v>
      </c>
      <c r="C7" s="651" t="s">
        <v>1896</v>
      </c>
      <c r="D7" s="651" t="s">
        <v>2258</v>
      </c>
      <c r="E7" s="653">
        <v>67</v>
      </c>
    </row>
    <row r="8" spans="1:5" x14ac:dyDescent="0.25">
      <c r="A8" s="651" t="s">
        <v>58</v>
      </c>
      <c r="B8" s="651" t="s">
        <v>2257</v>
      </c>
      <c r="C8" s="651" t="s">
        <v>121</v>
      </c>
      <c r="D8" s="651" t="s">
        <v>3220</v>
      </c>
      <c r="E8" s="653">
        <v>107</v>
      </c>
    </row>
    <row r="9" spans="1:5" x14ac:dyDescent="0.25">
      <c r="A9" s="651" t="s">
        <v>58</v>
      </c>
      <c r="B9" s="651" t="s">
        <v>2257</v>
      </c>
      <c r="C9" s="651" t="s">
        <v>121</v>
      </c>
      <c r="D9" s="651" t="s">
        <v>2260</v>
      </c>
      <c r="E9" s="653">
        <v>260</v>
      </c>
    </row>
    <row r="10" spans="1:5" x14ac:dyDescent="0.25">
      <c r="A10" s="651" t="s">
        <v>58</v>
      </c>
      <c r="B10" s="651" t="s">
        <v>2257</v>
      </c>
      <c r="C10" s="651" t="s">
        <v>121</v>
      </c>
      <c r="D10" s="651" t="s">
        <v>2258</v>
      </c>
      <c r="E10" s="653">
        <v>106</v>
      </c>
    </row>
    <row r="11" spans="1:5" x14ac:dyDescent="0.25">
      <c r="A11" s="651" t="s">
        <v>58</v>
      </c>
      <c r="B11" s="651" t="s">
        <v>2259</v>
      </c>
      <c r="C11" s="651" t="s">
        <v>3091</v>
      </c>
      <c r="D11" s="651" t="s">
        <v>2258</v>
      </c>
      <c r="E11" s="653">
        <v>1</v>
      </c>
    </row>
    <row r="12" spans="1:5" ht="30" x14ac:dyDescent="0.25">
      <c r="A12" s="651" t="s">
        <v>58</v>
      </c>
      <c r="B12" s="651" t="s">
        <v>2259</v>
      </c>
      <c r="C12" s="651" t="s">
        <v>118</v>
      </c>
      <c r="D12" s="651" t="s">
        <v>3220</v>
      </c>
      <c r="E12" s="653">
        <v>69</v>
      </c>
    </row>
    <row r="13" spans="1:5" ht="30" x14ac:dyDescent="0.25">
      <c r="A13" s="651" t="s">
        <v>58</v>
      </c>
      <c r="B13" s="651" t="s">
        <v>2259</v>
      </c>
      <c r="C13" s="651" t="s">
        <v>118</v>
      </c>
      <c r="D13" s="651" t="s">
        <v>2260</v>
      </c>
      <c r="E13" s="653">
        <v>566</v>
      </c>
    </row>
    <row r="14" spans="1:5" ht="30" x14ac:dyDescent="0.25">
      <c r="A14" s="651" t="s">
        <v>58</v>
      </c>
      <c r="B14" s="651" t="s">
        <v>2259</v>
      </c>
      <c r="C14" s="651" t="s">
        <v>118</v>
      </c>
      <c r="D14" s="651" t="s">
        <v>2258</v>
      </c>
      <c r="E14" s="653">
        <v>805</v>
      </c>
    </row>
    <row r="15" spans="1:5" x14ac:dyDescent="0.25">
      <c r="A15" s="651" t="s">
        <v>58</v>
      </c>
      <c r="B15" s="651" t="s">
        <v>2259</v>
      </c>
      <c r="C15" s="651" t="s">
        <v>1896</v>
      </c>
      <c r="D15" s="651" t="s">
        <v>3220</v>
      </c>
      <c r="E15" s="653">
        <v>49</v>
      </c>
    </row>
    <row r="16" spans="1:5" x14ac:dyDescent="0.25">
      <c r="A16" s="651" t="s">
        <v>58</v>
      </c>
      <c r="B16" s="651" t="s">
        <v>2259</v>
      </c>
      <c r="C16" s="651" t="s">
        <v>1896</v>
      </c>
      <c r="D16" s="651" t="s">
        <v>2260</v>
      </c>
      <c r="E16" s="653">
        <v>124</v>
      </c>
    </row>
    <row r="17" spans="1:5" x14ac:dyDescent="0.25">
      <c r="A17" s="651" t="s">
        <v>58</v>
      </c>
      <c r="B17" s="651" t="s">
        <v>2259</v>
      </c>
      <c r="C17" s="651" t="s">
        <v>1896</v>
      </c>
      <c r="D17" s="651" t="s">
        <v>2258</v>
      </c>
      <c r="E17" s="653">
        <v>599</v>
      </c>
    </row>
    <row r="18" spans="1:5" x14ac:dyDescent="0.25">
      <c r="A18" s="651" t="s">
        <v>58</v>
      </c>
      <c r="B18" s="651" t="s">
        <v>2259</v>
      </c>
      <c r="C18" s="651" t="s">
        <v>121</v>
      </c>
      <c r="D18" s="651" t="s">
        <v>3220</v>
      </c>
      <c r="E18" s="653">
        <v>12</v>
      </c>
    </row>
    <row r="19" spans="1:5" x14ac:dyDescent="0.25">
      <c r="A19" s="651" t="s">
        <v>58</v>
      </c>
      <c r="B19" s="651" t="s">
        <v>2259</v>
      </c>
      <c r="C19" s="651" t="s">
        <v>121</v>
      </c>
      <c r="D19" s="651" t="s">
        <v>2260</v>
      </c>
      <c r="E19" s="653">
        <v>16</v>
      </c>
    </row>
    <row r="20" spans="1:5" x14ac:dyDescent="0.25">
      <c r="A20" s="651" t="s">
        <v>58</v>
      </c>
      <c r="B20" s="651" t="s">
        <v>2259</v>
      </c>
      <c r="C20" s="651" t="s">
        <v>121</v>
      </c>
      <c r="D20" s="651" t="s">
        <v>2258</v>
      </c>
      <c r="E20" s="653">
        <v>79</v>
      </c>
    </row>
    <row r="21" spans="1:5" x14ac:dyDescent="0.25">
      <c r="A21" s="651" t="s">
        <v>59</v>
      </c>
      <c r="B21" s="651" t="s">
        <v>2257</v>
      </c>
      <c r="C21" s="651" t="s">
        <v>59</v>
      </c>
      <c r="D21" s="651" t="s">
        <v>3220</v>
      </c>
      <c r="E21" s="653">
        <v>19</v>
      </c>
    </row>
    <row r="22" spans="1:5" x14ac:dyDescent="0.25">
      <c r="A22" s="651" t="s">
        <v>59</v>
      </c>
      <c r="B22" s="651" t="s">
        <v>2257</v>
      </c>
      <c r="C22" s="651" t="s">
        <v>59</v>
      </c>
      <c r="D22" s="651" t="s">
        <v>2260</v>
      </c>
      <c r="E22" s="653">
        <v>70</v>
      </c>
    </row>
    <row r="23" spans="1:5" x14ac:dyDescent="0.25">
      <c r="A23" s="651" t="s">
        <v>59</v>
      </c>
      <c r="B23" s="651" t="s">
        <v>2257</v>
      </c>
      <c r="C23" s="651" t="s">
        <v>59</v>
      </c>
      <c r="D23" s="651" t="s">
        <v>2258</v>
      </c>
      <c r="E23" s="653">
        <v>17</v>
      </c>
    </row>
    <row r="24" spans="1:5" x14ac:dyDescent="0.25">
      <c r="A24" s="651" t="s">
        <v>59</v>
      </c>
      <c r="B24" s="651" t="s">
        <v>2257</v>
      </c>
      <c r="C24" s="651" t="s">
        <v>121</v>
      </c>
      <c r="D24" s="651" t="s">
        <v>3220</v>
      </c>
      <c r="E24" s="653">
        <v>1</v>
      </c>
    </row>
    <row r="25" spans="1:5" x14ac:dyDescent="0.25">
      <c r="A25" s="651" t="s">
        <v>59</v>
      </c>
      <c r="B25" s="651" t="s">
        <v>2259</v>
      </c>
      <c r="C25" s="651" t="s">
        <v>3092</v>
      </c>
      <c r="D25" s="651" t="s">
        <v>3220</v>
      </c>
      <c r="E25" s="653">
        <v>1</v>
      </c>
    </row>
    <row r="26" spans="1:5" x14ac:dyDescent="0.25">
      <c r="A26" s="651" t="s">
        <v>59</v>
      </c>
      <c r="B26" s="651" t="s">
        <v>2259</v>
      </c>
      <c r="C26" s="651" t="s">
        <v>59</v>
      </c>
      <c r="D26" s="651" t="s">
        <v>3220</v>
      </c>
      <c r="E26" s="653">
        <v>47</v>
      </c>
    </row>
    <row r="27" spans="1:5" x14ac:dyDescent="0.25">
      <c r="A27" s="651" t="s">
        <v>59</v>
      </c>
      <c r="B27" s="651" t="s">
        <v>2259</v>
      </c>
      <c r="C27" s="651" t="s">
        <v>59</v>
      </c>
      <c r="D27" s="651" t="s">
        <v>2260</v>
      </c>
      <c r="E27" s="653">
        <v>51</v>
      </c>
    </row>
    <row r="28" spans="1:5" x14ac:dyDescent="0.25">
      <c r="A28" s="651" t="s">
        <v>59</v>
      </c>
      <c r="B28" s="651" t="s">
        <v>2259</v>
      </c>
      <c r="C28" s="651" t="s">
        <v>59</v>
      </c>
      <c r="D28" s="651" t="s">
        <v>2258</v>
      </c>
      <c r="E28" s="653">
        <v>383</v>
      </c>
    </row>
    <row r="29" spans="1:5" x14ac:dyDescent="0.25">
      <c r="A29" s="651" t="s">
        <v>59</v>
      </c>
      <c r="B29" s="651" t="s">
        <v>2259</v>
      </c>
      <c r="C29" s="651" t="s">
        <v>121</v>
      </c>
      <c r="D29" s="651" t="s">
        <v>3220</v>
      </c>
      <c r="E29" s="653">
        <v>6</v>
      </c>
    </row>
  </sheetData>
  <customSheetViews>
    <customSheetView guid="{679A3195-3DEA-4AC2-A535-82AAF5B552BC}" state="hidden" topLeftCell="A3">
      <selection activeCell="C3" sqref="C3"/>
      <pageMargins left="0.7" right="0.7" top="0.75" bottom="0.75" header="0.3" footer="0.3"/>
    </customSheetView>
    <customSheetView guid="{7378B641-E8D1-4C14-8151-CF4CE159D121}" topLeftCell="A3">
      <selection activeCell="C2" sqref="C2:C13"/>
      <pageMargins left="0.7" right="0.7" top="0.75" bottom="0.75" header="0.3" footer="0.3"/>
    </customSheetView>
    <customSheetView guid="{6D63B10B-E1E6-452A-80EB-4B2C7D61CF66}" state="hidden" topLeftCell="A3">
      <selection activeCell="C3" sqref="C3"/>
      <pageMargins left="0.7" right="0.7" top="0.75" bottom="0.75" header="0.3" footer="0.3"/>
    </customSheetView>
  </customSheetView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M15"/>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4.28515625" customWidth="1"/>
    <col min="5" max="5" width="10.42578125" customWidth="1"/>
    <col min="6" max="6" width="8.5703125" customWidth="1"/>
    <col min="7" max="7" width="7.42578125" customWidth="1"/>
    <col min="8" max="8" width="7.85546875" customWidth="1"/>
    <col min="9" max="9" width="7.28515625" customWidth="1"/>
    <col min="10" max="10" width="8.85546875" customWidth="1"/>
    <col min="11" max="11" width="6.85546875" customWidth="1"/>
    <col min="12" max="12" width="8.5703125" customWidth="1"/>
    <col min="13" max="13" width="5.85546875" customWidth="1"/>
    <col min="20" max="20" width="3.7109375" customWidth="1"/>
  </cols>
  <sheetData>
    <row r="1" spans="1:13" x14ac:dyDescent="0.25">
      <c r="A1" s="3" t="s">
        <v>26</v>
      </c>
      <c r="B1" s="4" t="s">
        <v>3031</v>
      </c>
      <c r="C1" s="535" t="s">
        <v>3058</v>
      </c>
      <c r="D1" s="558" t="str">
        <f>B1</f>
        <v>Project Activity Among Enrolled Contractors</v>
      </c>
    </row>
    <row r="2" spans="1:13" x14ac:dyDescent="0.25">
      <c r="A2" t="s">
        <v>20</v>
      </c>
      <c r="B2" s="321" t="s">
        <v>60</v>
      </c>
      <c r="C2" s="536" t="s">
        <v>3059</v>
      </c>
    </row>
    <row r="3" spans="1:13" ht="15.75" customHeight="1" x14ac:dyDescent="0.25">
      <c r="A3" t="s">
        <v>1184</v>
      </c>
      <c r="B3" t="s">
        <v>2426</v>
      </c>
      <c r="C3" s="536" t="s">
        <v>1193</v>
      </c>
    </row>
    <row r="4" spans="1:13" ht="19.5" customHeight="1" x14ac:dyDescent="0.25">
      <c r="A4" t="s">
        <v>3136</v>
      </c>
      <c r="B4" s="4" t="s">
        <v>3256</v>
      </c>
      <c r="D4" s="665"/>
      <c r="E4" s="668"/>
      <c r="F4" s="756" t="s">
        <v>58</v>
      </c>
      <c r="G4" s="757"/>
      <c r="H4" s="757"/>
      <c r="I4" s="758"/>
      <c r="J4" s="756" t="s">
        <v>3206</v>
      </c>
      <c r="K4" s="757"/>
      <c r="L4" s="757"/>
      <c r="M4" s="758"/>
    </row>
    <row r="5" spans="1:13" x14ac:dyDescent="0.25">
      <c r="D5" s="666"/>
      <c r="E5" s="669"/>
      <c r="F5" s="759" t="s">
        <v>3128</v>
      </c>
      <c r="G5" s="760"/>
      <c r="H5" s="760" t="s">
        <v>3250</v>
      </c>
      <c r="I5" s="761"/>
      <c r="J5" s="759" t="s">
        <v>3128</v>
      </c>
      <c r="K5" s="760"/>
      <c r="L5" s="760" t="s">
        <v>3250</v>
      </c>
      <c r="M5" s="761"/>
    </row>
    <row r="6" spans="1:13" ht="28.5" x14ac:dyDescent="0.25">
      <c r="D6" s="667" t="s">
        <v>3248</v>
      </c>
      <c r="E6" s="670" t="s">
        <v>3249</v>
      </c>
      <c r="F6" s="672" t="s">
        <v>2546</v>
      </c>
      <c r="G6" s="672" t="s">
        <v>2738</v>
      </c>
      <c r="H6" s="672" t="s">
        <v>2546</v>
      </c>
      <c r="I6" s="670" t="s">
        <v>2738</v>
      </c>
      <c r="J6" s="672" t="s">
        <v>2546</v>
      </c>
      <c r="K6" s="672" t="s">
        <v>2738</v>
      </c>
      <c r="L6" s="672" t="s">
        <v>2546</v>
      </c>
      <c r="M6" s="670" t="s">
        <v>2738</v>
      </c>
    </row>
    <row r="7" spans="1:13" x14ac:dyDescent="0.25">
      <c r="D7" s="666" t="s">
        <v>3251</v>
      </c>
      <c r="E7" s="671" t="s">
        <v>2550</v>
      </c>
      <c r="F7" s="673">
        <f>'33D'!C19+1</f>
        <v>32</v>
      </c>
      <c r="G7" s="674">
        <f>F7/$F$10</f>
        <v>0.22857142857142856</v>
      </c>
      <c r="H7" s="688">
        <f>'33D'!C5+'33D'!D31+'33D'!C9</f>
        <v>2171</v>
      </c>
      <c r="I7" s="675">
        <f>H7/$H$10</f>
        <v>0.93416523235800342</v>
      </c>
      <c r="J7" s="676">
        <f>'33D'!C25+5</f>
        <v>13</v>
      </c>
      <c r="K7" s="674">
        <f>J7/J$10</f>
        <v>0.1326530612244898</v>
      </c>
      <c r="L7" s="676">
        <f>'33D'!D11+'33D'!C32+'33D'!C33+'33D'!C34+'33D'!C36+'33D'!C37+'33D'!D5</f>
        <v>495</v>
      </c>
      <c r="M7" s="675">
        <f>L7/L$10</f>
        <v>0.9269662921348315</v>
      </c>
    </row>
    <row r="8" spans="1:13" x14ac:dyDescent="0.25">
      <c r="D8" s="666"/>
      <c r="E8" s="669" t="s">
        <v>2549</v>
      </c>
      <c r="F8" s="677">
        <f>'33D'!C18+1</f>
        <v>35</v>
      </c>
      <c r="G8" s="678">
        <f>F8/$F$10</f>
        <v>0.25</v>
      </c>
      <c r="H8" s="689">
        <f>'33D'!C4+'33D'!D30</f>
        <v>153</v>
      </c>
      <c r="I8" s="680">
        <f>H8/$H$10</f>
        <v>6.5834767641996556E-2</v>
      </c>
      <c r="J8" s="679">
        <f>'33D'!C24+1</f>
        <v>18</v>
      </c>
      <c r="K8" s="678">
        <f>J8/J$10</f>
        <v>0.18367346938775511</v>
      </c>
      <c r="L8" s="679">
        <f>'33D'!D10+'33D'!C35</f>
        <v>39</v>
      </c>
      <c r="M8" s="680">
        <f>L8/L$10</f>
        <v>7.3033707865168537E-2</v>
      </c>
    </row>
    <row r="9" spans="1:13" x14ac:dyDescent="0.25">
      <c r="B9" s="4"/>
      <c r="D9" s="666"/>
      <c r="E9" s="669" t="s">
        <v>3252</v>
      </c>
      <c r="F9" s="681">
        <f>'33D'!C21</f>
        <v>73</v>
      </c>
      <c r="G9" s="682">
        <f>F9/$F$10</f>
        <v>0.52142857142857146</v>
      </c>
      <c r="H9" s="690" t="s">
        <v>2331</v>
      </c>
      <c r="I9" s="684"/>
      <c r="J9" s="685">
        <f>'33D'!C27</f>
        <v>67</v>
      </c>
      <c r="K9" s="682">
        <f>J9/J$10</f>
        <v>0.68367346938775508</v>
      </c>
      <c r="L9" s="683" t="s">
        <v>2331</v>
      </c>
      <c r="M9" s="684"/>
    </row>
    <row r="10" spans="1:13" x14ac:dyDescent="0.25">
      <c r="D10" s="666"/>
      <c r="E10" s="669" t="s">
        <v>1260</v>
      </c>
      <c r="F10" s="681">
        <f>SUM(F7:F9)</f>
        <v>140</v>
      </c>
      <c r="G10" s="682">
        <f>F10/$F$10</f>
        <v>1</v>
      </c>
      <c r="H10" s="691">
        <f>SUM(H7:H9)</f>
        <v>2324</v>
      </c>
      <c r="I10" s="684">
        <f>H10/$H$10</f>
        <v>1</v>
      </c>
      <c r="J10" s="685">
        <f>SUM(J7:J9)</f>
        <v>98</v>
      </c>
      <c r="K10" s="682">
        <f>J10/J$10</f>
        <v>1</v>
      </c>
      <c r="L10" s="685">
        <f>SUM(L7:L9)</f>
        <v>534</v>
      </c>
      <c r="M10" s="684">
        <f>L10/L$10</f>
        <v>1</v>
      </c>
    </row>
    <row r="11" spans="1:13" ht="28.5" x14ac:dyDescent="0.25">
      <c r="D11" s="667" t="s">
        <v>3253</v>
      </c>
      <c r="E11" s="670"/>
      <c r="F11" s="681">
        <f>'33D'!C16</f>
        <v>183</v>
      </c>
      <c r="G11" s="685"/>
      <c r="H11" s="683" t="s">
        <v>2331</v>
      </c>
      <c r="I11" s="686"/>
      <c r="J11" s="685">
        <f>'33D'!C22</f>
        <v>58</v>
      </c>
      <c r="K11" s="685"/>
      <c r="L11" s="683" t="s">
        <v>2331</v>
      </c>
      <c r="M11" s="686"/>
    </row>
    <row r="12" spans="1:13" x14ac:dyDescent="0.25">
      <c r="D12" s="747" t="s">
        <v>3257</v>
      </c>
      <c r="E12" s="748"/>
      <c r="F12" s="748"/>
      <c r="G12" s="748"/>
      <c r="H12" s="748"/>
      <c r="I12" s="748"/>
      <c r="J12" s="748"/>
      <c r="K12" s="748"/>
      <c r="L12" s="748"/>
      <c r="M12" s="749"/>
    </row>
    <row r="13" spans="1:13" x14ac:dyDescent="0.25">
      <c r="D13" s="738" t="s">
        <v>3258</v>
      </c>
      <c r="E13" s="739"/>
      <c r="F13" s="739"/>
      <c r="G13" s="739"/>
      <c r="H13" s="739"/>
      <c r="I13" s="739"/>
      <c r="J13" s="739"/>
      <c r="K13" s="739"/>
      <c r="L13" s="739"/>
      <c r="M13" s="740"/>
    </row>
    <row r="14" spans="1:13" x14ac:dyDescent="0.25">
      <c r="D14" s="750" t="s">
        <v>3032</v>
      </c>
      <c r="E14" s="751"/>
      <c r="F14" s="751"/>
      <c r="G14" s="751"/>
      <c r="H14" s="751"/>
      <c r="I14" s="751"/>
      <c r="J14" s="751"/>
      <c r="K14" s="751"/>
      <c r="L14" s="751"/>
      <c r="M14" s="752"/>
    </row>
    <row r="15" spans="1:13" x14ac:dyDescent="0.25">
      <c r="D15" s="753" t="s">
        <v>3259</v>
      </c>
      <c r="E15" s="754"/>
      <c r="F15" s="754"/>
      <c r="G15" s="754"/>
      <c r="H15" s="754"/>
      <c r="I15" s="754"/>
      <c r="J15" s="754"/>
      <c r="K15" s="754"/>
      <c r="L15" s="754"/>
      <c r="M15" s="755"/>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D12" sqref="D12:M12"/>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10">
    <mergeCell ref="D12:M12"/>
    <mergeCell ref="D13:M13"/>
    <mergeCell ref="D14:M14"/>
    <mergeCell ref="D15:M15"/>
    <mergeCell ref="J4:M4"/>
    <mergeCell ref="F5:G5"/>
    <mergeCell ref="H5:I5"/>
    <mergeCell ref="J5:K5"/>
    <mergeCell ref="L5:M5"/>
    <mergeCell ref="F4:I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C3" sqref="C3"/>
    </sheetView>
  </sheetViews>
  <sheetFormatPr defaultRowHeight="15" x14ac:dyDescent="0.25"/>
  <cols>
    <col min="1" max="7" width="20.7109375" customWidth="1"/>
  </cols>
  <sheetData>
    <row r="1" spans="1:4" x14ac:dyDescent="0.25">
      <c r="A1" s="661" t="s">
        <v>3236</v>
      </c>
      <c r="B1" s="661" t="s">
        <v>3237</v>
      </c>
      <c r="C1" s="661" t="s">
        <v>3238</v>
      </c>
      <c r="D1" s="661" t="s">
        <v>3239</v>
      </c>
    </row>
    <row r="2" spans="1:4" x14ac:dyDescent="0.25">
      <c r="A2" s="662" t="s">
        <v>58</v>
      </c>
      <c r="B2" s="662" t="s">
        <v>3240</v>
      </c>
      <c r="C2" s="663"/>
      <c r="D2" s="663"/>
    </row>
    <row r="3" spans="1:4" x14ac:dyDescent="0.25">
      <c r="A3" s="662" t="s">
        <v>58</v>
      </c>
      <c r="B3" s="662" t="s">
        <v>3241</v>
      </c>
      <c r="C3" s="664">
        <v>189</v>
      </c>
      <c r="D3" s="663"/>
    </row>
    <row r="4" spans="1:4" x14ac:dyDescent="0.25">
      <c r="A4" s="662" t="s">
        <v>58</v>
      </c>
      <c r="B4" s="662" t="s">
        <v>3242</v>
      </c>
      <c r="C4" s="664">
        <v>149</v>
      </c>
      <c r="D4" s="663"/>
    </row>
    <row r="5" spans="1:4" x14ac:dyDescent="0.25">
      <c r="A5" s="662" t="s">
        <v>58</v>
      </c>
      <c r="B5" s="662" t="s">
        <v>3243</v>
      </c>
      <c r="C5" s="664">
        <v>1985</v>
      </c>
      <c r="D5" s="664">
        <v>14</v>
      </c>
    </row>
    <row r="6" spans="1:4" ht="30" x14ac:dyDescent="0.25">
      <c r="A6" s="662" t="s">
        <v>58</v>
      </c>
      <c r="B6" s="662" t="s">
        <v>3244</v>
      </c>
      <c r="C6" s="663"/>
      <c r="D6" s="663"/>
    </row>
    <row r="7" spans="1:4" x14ac:dyDescent="0.25">
      <c r="A7" s="662" t="s">
        <v>58</v>
      </c>
      <c r="B7" s="662" t="s">
        <v>3245</v>
      </c>
      <c r="C7" s="663"/>
      <c r="D7" s="663"/>
    </row>
    <row r="8" spans="1:4" x14ac:dyDescent="0.25">
      <c r="A8" s="662" t="s">
        <v>59</v>
      </c>
      <c r="B8" s="662" t="s">
        <v>3240</v>
      </c>
      <c r="C8" s="663"/>
      <c r="D8" s="663"/>
    </row>
    <row r="9" spans="1:4" x14ac:dyDescent="0.25">
      <c r="A9" s="662" t="s">
        <v>59</v>
      </c>
      <c r="B9" s="662" t="s">
        <v>3241</v>
      </c>
      <c r="C9" s="664">
        <v>1</v>
      </c>
      <c r="D9" s="664">
        <v>135</v>
      </c>
    </row>
    <row r="10" spans="1:4" x14ac:dyDescent="0.25">
      <c r="A10" s="662" t="s">
        <v>59</v>
      </c>
      <c r="B10" s="662" t="s">
        <v>3242</v>
      </c>
      <c r="C10" s="663"/>
      <c r="D10" s="664">
        <v>38</v>
      </c>
    </row>
    <row r="11" spans="1:4" x14ac:dyDescent="0.25">
      <c r="A11" s="662" t="s">
        <v>59</v>
      </c>
      <c r="B11" s="662" t="s">
        <v>3246</v>
      </c>
      <c r="C11" s="663"/>
      <c r="D11" s="664">
        <v>347</v>
      </c>
    </row>
    <row r="12" spans="1:4" ht="30" x14ac:dyDescent="0.25">
      <c r="A12" s="662" t="s">
        <v>59</v>
      </c>
      <c r="B12" s="662" t="s">
        <v>3244</v>
      </c>
      <c r="C12" s="663"/>
      <c r="D12" s="663"/>
    </row>
    <row r="13" spans="1:4" x14ac:dyDescent="0.25">
      <c r="A13" s="662" t="s">
        <v>59</v>
      </c>
      <c r="B13" s="662" t="s">
        <v>3245</v>
      </c>
      <c r="C13" s="663"/>
      <c r="D13" s="663"/>
    </row>
    <row r="15" spans="1:4" x14ac:dyDescent="0.25">
      <c r="A15" s="661" t="s">
        <v>3236</v>
      </c>
      <c r="B15" s="661" t="s">
        <v>3237</v>
      </c>
      <c r="C15" s="661" t="s">
        <v>3247</v>
      </c>
    </row>
    <row r="16" spans="1:4" x14ac:dyDescent="0.25">
      <c r="A16" s="662" t="s">
        <v>58</v>
      </c>
      <c r="B16" s="662" t="s">
        <v>3240</v>
      </c>
      <c r="C16" s="664">
        <v>183</v>
      </c>
    </row>
    <row r="17" spans="1:4" x14ac:dyDescent="0.25">
      <c r="A17" s="662" t="s">
        <v>58</v>
      </c>
      <c r="B17" s="662" t="s">
        <v>3241</v>
      </c>
      <c r="C17" s="664">
        <v>2</v>
      </c>
    </row>
    <row r="18" spans="1:4" x14ac:dyDescent="0.25">
      <c r="A18" s="662" t="s">
        <v>58</v>
      </c>
      <c r="B18" s="662" t="s">
        <v>3242</v>
      </c>
      <c r="C18" s="664">
        <v>34</v>
      </c>
    </row>
    <row r="19" spans="1:4" x14ac:dyDescent="0.25">
      <c r="A19" s="662" t="s">
        <v>58</v>
      </c>
      <c r="B19" s="662" t="s">
        <v>3243</v>
      </c>
      <c r="C19" s="664">
        <v>31</v>
      </c>
    </row>
    <row r="20" spans="1:4" ht="30" x14ac:dyDescent="0.25">
      <c r="A20" s="662" t="s">
        <v>58</v>
      </c>
      <c r="B20" s="662" t="s">
        <v>3244</v>
      </c>
      <c r="C20" s="664">
        <v>145</v>
      </c>
    </row>
    <row r="21" spans="1:4" x14ac:dyDescent="0.25">
      <c r="A21" s="662" t="s">
        <v>58</v>
      </c>
      <c r="B21" s="662" t="s">
        <v>3245</v>
      </c>
      <c r="C21" s="664">
        <v>73</v>
      </c>
    </row>
    <row r="22" spans="1:4" x14ac:dyDescent="0.25">
      <c r="A22" s="662" t="s">
        <v>59</v>
      </c>
      <c r="B22" s="662" t="s">
        <v>3240</v>
      </c>
      <c r="C22" s="664">
        <v>58</v>
      </c>
    </row>
    <row r="23" spans="1:4" x14ac:dyDescent="0.25">
      <c r="A23" s="662" t="s">
        <v>59</v>
      </c>
      <c r="B23" s="662" t="s">
        <v>3241</v>
      </c>
      <c r="C23" s="664">
        <v>6</v>
      </c>
    </row>
    <row r="24" spans="1:4" x14ac:dyDescent="0.25">
      <c r="A24" s="662" t="s">
        <v>59</v>
      </c>
      <c r="B24" s="662" t="s">
        <v>3242</v>
      </c>
      <c r="C24" s="664">
        <v>17</v>
      </c>
    </row>
    <row r="25" spans="1:4" x14ac:dyDescent="0.25">
      <c r="A25" s="662" t="s">
        <v>59</v>
      </c>
      <c r="B25" s="662" t="s">
        <v>3246</v>
      </c>
      <c r="C25" s="664">
        <v>8</v>
      </c>
    </row>
    <row r="26" spans="1:4" ht="30" x14ac:dyDescent="0.25">
      <c r="A26" s="662" t="s">
        <v>59</v>
      </c>
      <c r="B26" s="662" t="s">
        <v>3244</v>
      </c>
      <c r="C26" s="664">
        <v>57</v>
      </c>
    </row>
    <row r="27" spans="1:4" x14ac:dyDescent="0.25">
      <c r="A27" s="662" t="s">
        <v>59</v>
      </c>
      <c r="B27" s="662" t="s">
        <v>3245</v>
      </c>
      <c r="C27" s="664">
        <v>67</v>
      </c>
    </row>
    <row r="29" spans="1:4" x14ac:dyDescent="0.25">
      <c r="A29" s="661" t="s">
        <v>3237</v>
      </c>
      <c r="B29" s="661" t="s">
        <v>3236</v>
      </c>
      <c r="C29" s="661" t="s">
        <v>3254</v>
      </c>
      <c r="D29" s="661" t="s">
        <v>3255</v>
      </c>
    </row>
    <row r="30" spans="1:4" x14ac:dyDescent="0.25">
      <c r="A30" s="662" t="s">
        <v>3241</v>
      </c>
      <c r="B30" s="662" t="s">
        <v>58</v>
      </c>
      <c r="C30" s="663"/>
      <c r="D30" s="664">
        <v>4</v>
      </c>
    </row>
    <row r="31" spans="1:4" x14ac:dyDescent="0.25">
      <c r="A31" s="662" t="s">
        <v>3241</v>
      </c>
      <c r="B31" s="662" t="s">
        <v>58</v>
      </c>
      <c r="C31" s="663"/>
      <c r="D31" s="664">
        <v>185</v>
      </c>
    </row>
    <row r="32" spans="1:4" x14ac:dyDescent="0.25">
      <c r="A32" s="662" t="s">
        <v>3241</v>
      </c>
      <c r="B32" s="662" t="s">
        <v>59</v>
      </c>
      <c r="C32" s="664">
        <v>20</v>
      </c>
      <c r="D32" s="663"/>
    </row>
    <row r="33" spans="1:4" x14ac:dyDescent="0.25">
      <c r="A33" s="662" t="s">
        <v>3241</v>
      </c>
      <c r="B33" s="662" t="s">
        <v>59</v>
      </c>
      <c r="C33" s="664">
        <v>9</v>
      </c>
      <c r="D33" s="663"/>
    </row>
    <row r="34" spans="1:4" x14ac:dyDescent="0.25">
      <c r="A34" s="662" t="s">
        <v>3241</v>
      </c>
      <c r="B34" s="662" t="s">
        <v>59</v>
      </c>
      <c r="C34" s="664">
        <v>64</v>
      </c>
      <c r="D34" s="663"/>
    </row>
    <row r="35" spans="1:4" x14ac:dyDescent="0.25">
      <c r="A35" s="662" t="s">
        <v>3241</v>
      </c>
      <c r="B35" s="662" t="s">
        <v>59</v>
      </c>
      <c r="C35" s="664">
        <v>1</v>
      </c>
      <c r="D35" s="663"/>
    </row>
    <row r="36" spans="1:4" x14ac:dyDescent="0.25">
      <c r="A36" s="662" t="s">
        <v>3241</v>
      </c>
      <c r="B36" s="662" t="s">
        <v>59</v>
      </c>
      <c r="C36" s="664">
        <v>7</v>
      </c>
      <c r="D36" s="664">
        <v>1</v>
      </c>
    </row>
    <row r="37" spans="1:4" x14ac:dyDescent="0.25">
      <c r="A37" s="662" t="s">
        <v>3241</v>
      </c>
      <c r="B37" s="662" t="s">
        <v>59</v>
      </c>
      <c r="C37" s="664">
        <v>34</v>
      </c>
      <c r="D37" s="663"/>
    </row>
  </sheetData>
  <customSheetViews>
    <customSheetView guid="{679A3195-3DEA-4AC2-A535-82AAF5B552BC}" state="hidden">
      <selection activeCell="C3" sqref="C3"/>
      <pageMargins left="0.7" right="0.7" top="0.75" bottom="0.75" header="0.3" footer="0.3"/>
    </customSheetView>
    <customSheetView guid="{7378B641-E8D1-4C14-8151-CF4CE159D121}">
      <selection activeCell="C5" sqref="C5"/>
      <pageMargins left="0.7" right="0.7" top="0.75" bottom="0.75" header="0.3" footer="0.3"/>
    </customSheetView>
    <customSheetView guid="{6D63B10B-E1E6-452A-80EB-4B2C7D61CF66}" state="hidden">
      <selection activeCell="C3" sqref="C3"/>
      <pageMargins left="0.7" right="0.7" top="0.75" bottom="0.75" header="0.3" footer="0.3"/>
    </customSheetView>
  </customSheetView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G8"/>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9.85546875" bestFit="1" customWidth="1"/>
    <col min="5" max="5" width="17.140625" bestFit="1" customWidth="1"/>
    <col min="6" max="6" width="14" customWidth="1"/>
    <col min="7" max="7" width="13.7109375" bestFit="1" customWidth="1"/>
    <col min="10" max="10" width="3.5703125" customWidth="1"/>
    <col min="20" max="20" width="3.7109375" customWidth="1"/>
  </cols>
  <sheetData>
    <row r="1" spans="1:7" x14ac:dyDescent="0.25">
      <c r="A1" s="3" t="s">
        <v>26</v>
      </c>
      <c r="B1" s="4" t="s">
        <v>3033</v>
      </c>
      <c r="C1" s="535" t="s">
        <v>3058</v>
      </c>
      <c r="D1" s="558" t="str">
        <f>B1</f>
        <v>Advanced and Basic Upgrade Package Participation</v>
      </c>
    </row>
    <row r="2" spans="1:7" x14ac:dyDescent="0.25">
      <c r="A2" t="s">
        <v>20</v>
      </c>
      <c r="B2" s="321" t="s">
        <v>60</v>
      </c>
      <c r="C2" s="536" t="s">
        <v>3059</v>
      </c>
    </row>
    <row r="3" spans="1:7" x14ac:dyDescent="0.25">
      <c r="A3" t="s">
        <v>1184</v>
      </c>
      <c r="B3" s="321" t="s">
        <v>2426</v>
      </c>
      <c r="C3" s="536" t="s">
        <v>1193</v>
      </c>
    </row>
    <row r="4" spans="1:7" ht="38.25" customHeight="1" x14ac:dyDescent="0.25">
      <c r="D4" s="635" t="s">
        <v>3034</v>
      </c>
      <c r="E4" s="694" t="s">
        <v>3035</v>
      </c>
      <c r="F4" s="694" t="s">
        <v>3036</v>
      </c>
      <c r="G4" s="695" t="s">
        <v>3174</v>
      </c>
    </row>
    <row r="5" spans="1:7" x14ac:dyDescent="0.25">
      <c r="D5" s="692" t="s">
        <v>1422</v>
      </c>
      <c r="E5" s="450">
        <v>0.97</v>
      </c>
      <c r="F5" s="451">
        <v>0.98</v>
      </c>
      <c r="G5" s="452">
        <v>0.93</v>
      </c>
    </row>
    <row r="6" spans="1:7" x14ac:dyDescent="0.25">
      <c r="D6" s="693" t="s">
        <v>1491</v>
      </c>
      <c r="E6" s="454">
        <v>0.03</v>
      </c>
      <c r="F6" s="455">
        <v>0.02</v>
      </c>
      <c r="G6" s="456">
        <v>7.0000000000000007E-2</v>
      </c>
    </row>
    <row r="7" spans="1:7" ht="74.25" customHeight="1" x14ac:dyDescent="0.25">
      <c r="D7" s="750" t="s">
        <v>3037</v>
      </c>
      <c r="E7" s="751"/>
      <c r="F7" s="751"/>
      <c r="G7" s="752"/>
    </row>
    <row r="8" spans="1:7" x14ac:dyDescent="0.25">
      <c r="D8" s="753" t="s">
        <v>3038</v>
      </c>
      <c r="E8" s="754"/>
      <c r="F8" s="754"/>
      <c r="G8" s="755"/>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C3" sqref="C3"/>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2">
    <mergeCell ref="D7:G7"/>
    <mergeCell ref="D8:G8"/>
  </mergeCells>
  <dataValidations count="3">
    <dataValidation type="list" allowBlank="1" showInputMessage="1" showErrorMessage="1" sqref="B2">
      <formula1>Scope</formula1>
    </dataValidation>
    <dataValidation type="list" allowBlank="1" showInputMessage="1" showErrorMessage="1" sqref="B3">
      <formula1>DataSource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F6"/>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5.28515625" bestFit="1" customWidth="1"/>
    <col min="5" max="5" width="8.7109375" customWidth="1"/>
    <col min="6" max="6" width="40.42578125" customWidth="1"/>
    <col min="7" max="7" width="51.7109375" bestFit="1" customWidth="1"/>
    <col min="10" max="10" width="3.5703125" customWidth="1"/>
    <col min="20" max="20" width="3.7109375" customWidth="1"/>
  </cols>
  <sheetData>
    <row r="1" spans="1:6" x14ac:dyDescent="0.25">
      <c r="A1" s="3" t="s">
        <v>26</v>
      </c>
      <c r="B1" s="4" t="s">
        <v>3039</v>
      </c>
      <c r="C1" s="535" t="s">
        <v>3058</v>
      </c>
      <c r="D1" s="558" t="str">
        <f>B1</f>
        <v>Contractors' Financing Quotes</v>
      </c>
    </row>
    <row r="2" spans="1:6" x14ac:dyDescent="0.25">
      <c r="A2" t="s">
        <v>20</v>
      </c>
      <c r="B2" s="321" t="s">
        <v>60</v>
      </c>
      <c r="C2" s="536" t="s">
        <v>3059</v>
      </c>
    </row>
    <row r="3" spans="1:6" x14ac:dyDescent="0.25">
      <c r="A3" t="s">
        <v>1184</v>
      </c>
      <c r="B3" s="321" t="s">
        <v>3143</v>
      </c>
      <c r="C3" s="536" t="s">
        <v>1193</v>
      </c>
    </row>
    <row r="4" spans="1:6" ht="28.5" x14ac:dyDescent="0.25">
      <c r="D4" s="598" t="s">
        <v>2556</v>
      </c>
      <c r="E4" s="599" t="s">
        <v>3040</v>
      </c>
      <c r="F4" s="600" t="s">
        <v>2557</v>
      </c>
    </row>
    <row r="5" spans="1:6" ht="41.25" customHeight="1" x14ac:dyDescent="0.25">
      <c r="D5" s="22" t="s">
        <v>2558</v>
      </c>
      <c r="E5" s="530" t="s">
        <v>59</v>
      </c>
      <c r="F5" s="597" t="s">
        <v>3205</v>
      </c>
    </row>
    <row r="6" spans="1:6" ht="226.5" customHeight="1" x14ac:dyDescent="0.25">
      <c r="D6" s="531" t="s">
        <v>2558</v>
      </c>
      <c r="E6" s="532" t="s">
        <v>58</v>
      </c>
      <c r="F6" s="529" t="s">
        <v>3041</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F6" sqref="F6"/>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E7"/>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9" bestFit="1" customWidth="1"/>
    <col min="5" max="5" width="80" customWidth="1"/>
    <col min="6" max="6" width="14" customWidth="1"/>
    <col min="9" max="9" width="3.5703125" customWidth="1"/>
    <col min="19" max="19" width="3.7109375" customWidth="1"/>
  </cols>
  <sheetData>
    <row r="1" spans="1:5" x14ac:dyDescent="0.25">
      <c r="A1" s="3" t="s">
        <v>26</v>
      </c>
      <c r="B1" s="4" t="s">
        <v>3042</v>
      </c>
      <c r="C1" s="535" t="s">
        <v>3058</v>
      </c>
      <c r="D1" s="558" t="str">
        <f>B1</f>
        <v>Contractors' Quotes Regarding Effective Messaging</v>
      </c>
    </row>
    <row r="2" spans="1:5" x14ac:dyDescent="0.25">
      <c r="A2" t="s">
        <v>20</v>
      </c>
      <c r="B2" s="321" t="s">
        <v>60</v>
      </c>
      <c r="C2" s="536" t="s">
        <v>3059</v>
      </c>
    </row>
    <row r="3" spans="1:5" x14ac:dyDescent="0.25">
      <c r="A3" t="s">
        <v>1184</v>
      </c>
      <c r="B3" s="321" t="s">
        <v>3143</v>
      </c>
      <c r="C3" s="536" t="s">
        <v>1193</v>
      </c>
    </row>
    <row r="4" spans="1:5" x14ac:dyDescent="0.25">
      <c r="D4" s="322" t="s">
        <v>2556</v>
      </c>
      <c r="E4" s="332" t="s">
        <v>2557</v>
      </c>
    </row>
    <row r="5" spans="1:5" ht="43.5" customHeight="1" x14ac:dyDescent="0.25">
      <c r="D5" s="595" t="s">
        <v>2561</v>
      </c>
      <c r="E5" s="597" t="s">
        <v>3204</v>
      </c>
    </row>
    <row r="6" spans="1:5" ht="60.75" customHeight="1" x14ac:dyDescent="0.25">
      <c r="D6" s="595" t="s">
        <v>2558</v>
      </c>
      <c r="E6" s="636" t="s">
        <v>3043</v>
      </c>
    </row>
    <row r="7" spans="1:5" ht="129.75" customHeight="1" x14ac:dyDescent="0.25">
      <c r="D7" s="35" t="s">
        <v>2645</v>
      </c>
      <c r="E7" s="637" t="s">
        <v>3044</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C3" sqref="C3"/>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F1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9" bestFit="1" customWidth="1"/>
    <col min="5" max="5" width="7.42578125" bestFit="1" customWidth="1"/>
    <col min="6" max="6" width="54.28515625" customWidth="1"/>
    <col min="7" max="7" width="80" customWidth="1"/>
    <col min="8" max="8" width="51.7109375" bestFit="1" customWidth="1"/>
    <col min="11" max="11" width="3.5703125" customWidth="1"/>
    <col min="21" max="21" width="3.7109375" customWidth="1"/>
  </cols>
  <sheetData>
    <row r="1" spans="1:6" x14ac:dyDescent="0.25">
      <c r="A1" s="3" t="s">
        <v>26</v>
      </c>
      <c r="B1" s="4" t="s">
        <v>3045</v>
      </c>
      <c r="C1" s="535" t="s">
        <v>3058</v>
      </c>
      <c r="D1" s="558" t="str">
        <f>B1</f>
        <v>Contractors' Quotes on Paperwork and QA/QC Requirements</v>
      </c>
    </row>
    <row r="2" spans="1:6" x14ac:dyDescent="0.25">
      <c r="A2" t="s">
        <v>20</v>
      </c>
      <c r="B2" s="321" t="s">
        <v>60</v>
      </c>
      <c r="C2" s="536" t="s">
        <v>3059</v>
      </c>
    </row>
    <row r="3" spans="1:6" x14ac:dyDescent="0.25">
      <c r="A3" t="s">
        <v>1184</v>
      </c>
      <c r="B3" s="321" t="s">
        <v>3143</v>
      </c>
      <c r="C3" s="536" t="s">
        <v>1193</v>
      </c>
    </row>
    <row r="4" spans="1:6" x14ac:dyDescent="0.25">
      <c r="D4" s="322" t="s">
        <v>2556</v>
      </c>
      <c r="E4" s="312" t="s">
        <v>3040</v>
      </c>
      <c r="F4" s="332" t="s">
        <v>2557</v>
      </c>
    </row>
    <row r="5" spans="1:6" ht="39.75" customHeight="1" x14ac:dyDescent="0.25">
      <c r="D5" s="595" t="s">
        <v>2561</v>
      </c>
      <c r="E5" s="596" t="s">
        <v>59</v>
      </c>
      <c r="F5" s="597" t="s">
        <v>3046</v>
      </c>
    </row>
    <row r="6" spans="1:6" ht="66.75" customHeight="1" x14ac:dyDescent="0.25">
      <c r="D6" s="595" t="s">
        <v>2558</v>
      </c>
      <c r="E6" s="596" t="s">
        <v>59</v>
      </c>
      <c r="F6" s="636" t="s">
        <v>3047</v>
      </c>
    </row>
    <row r="7" spans="1:6" ht="66.75" customHeight="1" x14ac:dyDescent="0.25">
      <c r="D7" s="539" t="s">
        <v>2561</v>
      </c>
      <c r="E7" s="639" t="s">
        <v>58</v>
      </c>
      <c r="F7" s="36" t="s">
        <v>3048</v>
      </c>
    </row>
    <row r="8" spans="1:6" ht="54" customHeight="1" x14ac:dyDescent="0.25">
      <c r="D8" s="539" t="s">
        <v>2558</v>
      </c>
      <c r="E8" s="639" t="s">
        <v>58</v>
      </c>
      <c r="F8" s="36" t="s">
        <v>3049</v>
      </c>
    </row>
    <row r="9" spans="1:6" ht="84.75" customHeight="1" x14ac:dyDescent="0.25">
      <c r="D9" s="539" t="s">
        <v>2558</v>
      </c>
      <c r="E9" s="639" t="s">
        <v>59</v>
      </c>
      <c r="F9" s="36" t="s">
        <v>3050</v>
      </c>
    </row>
    <row r="10" spans="1:6" ht="60" customHeight="1" x14ac:dyDescent="0.25">
      <c r="D10" s="35" t="s">
        <v>2558</v>
      </c>
      <c r="E10" s="33" t="s">
        <v>59</v>
      </c>
      <c r="F10" s="638" t="s">
        <v>3051</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E5" sqref="E5:E10"/>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E1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9" bestFit="1" customWidth="1"/>
    <col min="5" max="5" width="80" customWidth="1"/>
    <col min="6" max="6" width="14" customWidth="1"/>
    <col min="9" max="9" width="3.5703125" customWidth="1"/>
    <col min="19" max="19" width="3.7109375" customWidth="1"/>
  </cols>
  <sheetData>
    <row r="1" spans="1:5" ht="21.75" customHeight="1" x14ac:dyDescent="0.25">
      <c r="A1" s="3" t="s">
        <v>26</v>
      </c>
      <c r="B1" s="4" t="s">
        <v>3146</v>
      </c>
      <c r="C1" s="535" t="s">
        <v>3058</v>
      </c>
      <c r="D1" s="558" t="str">
        <f>B1</f>
        <v>Contractors' Quotes on the Basic vs. Advanced Upgrade Options</v>
      </c>
    </row>
    <row r="2" spans="1:5" x14ac:dyDescent="0.25">
      <c r="A2" t="s">
        <v>20</v>
      </c>
      <c r="B2" s="321" t="s">
        <v>60</v>
      </c>
      <c r="C2" s="536" t="s">
        <v>3059</v>
      </c>
    </row>
    <row r="3" spans="1:5" x14ac:dyDescent="0.25">
      <c r="A3" t="s">
        <v>1184</v>
      </c>
      <c r="B3" s="321" t="s">
        <v>3143</v>
      </c>
      <c r="C3" s="536" t="s">
        <v>1193</v>
      </c>
    </row>
    <row r="4" spans="1:5" x14ac:dyDescent="0.25">
      <c r="D4" s="322" t="s">
        <v>2556</v>
      </c>
      <c r="E4" s="332" t="s">
        <v>2557</v>
      </c>
    </row>
    <row r="5" spans="1:5" ht="30" x14ac:dyDescent="0.25">
      <c r="D5" s="595" t="s">
        <v>2640</v>
      </c>
      <c r="E5" s="597" t="s">
        <v>2641</v>
      </c>
    </row>
    <row r="6" spans="1:5" ht="45" x14ac:dyDescent="0.25">
      <c r="D6" s="595" t="s">
        <v>2640</v>
      </c>
      <c r="E6" s="636" t="s">
        <v>2642</v>
      </c>
    </row>
    <row r="7" spans="1:5" ht="45" x14ac:dyDescent="0.25">
      <c r="D7" s="539" t="s">
        <v>2561</v>
      </c>
      <c r="E7" s="36" t="s">
        <v>2643</v>
      </c>
    </row>
    <row r="8" spans="1:5" ht="32.25" customHeight="1" x14ac:dyDescent="0.25">
      <c r="D8" s="539" t="s">
        <v>2561</v>
      </c>
      <c r="E8" s="636" t="s">
        <v>2644</v>
      </c>
    </row>
    <row r="9" spans="1:5" ht="45" x14ac:dyDescent="0.25">
      <c r="D9" s="539" t="s">
        <v>2645</v>
      </c>
      <c r="E9" s="36" t="s">
        <v>2646</v>
      </c>
    </row>
    <row r="10" spans="1:5" ht="60" x14ac:dyDescent="0.25">
      <c r="D10" s="35" t="s">
        <v>2558</v>
      </c>
      <c r="E10" s="637" t="s">
        <v>2647</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E13" sqref="E13"/>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E11"/>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9" bestFit="1" customWidth="1"/>
    <col min="5" max="5" width="80" customWidth="1"/>
    <col min="6" max="6" width="14" customWidth="1"/>
    <col min="9" max="9" width="3.5703125" customWidth="1"/>
    <col min="19" max="19" width="3.7109375" customWidth="1"/>
  </cols>
  <sheetData>
    <row r="1" spans="1:5" x14ac:dyDescent="0.25">
      <c r="A1" s="3" t="s">
        <v>26</v>
      </c>
      <c r="B1" s="4" t="s">
        <v>2631</v>
      </c>
      <c r="C1" s="535" t="s">
        <v>3058</v>
      </c>
      <c r="D1" s="558" t="str">
        <f>B1</f>
        <v>Contractors' Quotes on EnergyPro</v>
      </c>
    </row>
    <row r="2" spans="1:5" x14ac:dyDescent="0.25">
      <c r="A2" t="s">
        <v>20</v>
      </c>
      <c r="B2" s="321" t="s">
        <v>60</v>
      </c>
      <c r="C2" s="536" t="s">
        <v>3059</v>
      </c>
    </row>
    <row r="3" spans="1:5" x14ac:dyDescent="0.25">
      <c r="A3" t="s">
        <v>1184</v>
      </c>
      <c r="B3" s="321" t="s">
        <v>3143</v>
      </c>
      <c r="C3" s="536" t="s">
        <v>1193</v>
      </c>
    </row>
    <row r="4" spans="1:5" x14ac:dyDescent="0.25">
      <c r="D4" s="322" t="s">
        <v>2556</v>
      </c>
      <c r="E4" s="332" t="s">
        <v>2557</v>
      </c>
    </row>
    <row r="5" spans="1:5" ht="45" x14ac:dyDescent="0.25">
      <c r="D5" s="595" t="s">
        <v>2558</v>
      </c>
      <c r="E5" s="365" t="s">
        <v>2632</v>
      </c>
    </row>
    <row r="6" spans="1:5" ht="105" x14ac:dyDescent="0.25">
      <c r="D6" s="595" t="s">
        <v>2633</v>
      </c>
      <c r="E6" s="636" t="s">
        <v>2634</v>
      </c>
    </row>
    <row r="7" spans="1:5" ht="54.75" customHeight="1" x14ac:dyDescent="0.25">
      <c r="D7" s="539" t="s">
        <v>2561</v>
      </c>
      <c r="E7" s="36" t="s">
        <v>2635</v>
      </c>
    </row>
    <row r="8" spans="1:5" ht="30" x14ac:dyDescent="0.25">
      <c r="D8" s="539" t="s">
        <v>2558</v>
      </c>
      <c r="E8" s="636" t="s">
        <v>2636</v>
      </c>
    </row>
    <row r="9" spans="1:5" ht="30" x14ac:dyDescent="0.25">
      <c r="D9" s="539" t="s">
        <v>2558</v>
      </c>
      <c r="E9" s="36" t="s">
        <v>2637</v>
      </c>
    </row>
    <row r="10" spans="1:5" ht="30" x14ac:dyDescent="0.25">
      <c r="D10" s="640" t="s">
        <v>2561</v>
      </c>
      <c r="E10" s="36" t="s">
        <v>2638</v>
      </c>
    </row>
    <row r="11" spans="1:5" ht="30" x14ac:dyDescent="0.25">
      <c r="D11" s="641" t="s">
        <v>2561</v>
      </c>
      <c r="E11" s="642" t="s">
        <v>2639</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E19" sqref="E19"/>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76"/>
  <sheetViews>
    <sheetView workbookViewId="0">
      <selection activeCell="E41" sqref="E41"/>
    </sheetView>
  </sheetViews>
  <sheetFormatPr defaultRowHeight="15" x14ac:dyDescent="0.25"/>
  <cols>
    <col min="1" max="8" width="16.7109375" customWidth="1"/>
    <col min="9" max="9" width="11.5703125" bestFit="1" customWidth="1"/>
    <col min="10" max="10" width="14" bestFit="1" customWidth="1"/>
    <col min="11" max="11" width="12.140625" customWidth="1"/>
    <col min="12" max="12" width="12.85546875" customWidth="1"/>
  </cols>
  <sheetData>
    <row r="1" spans="1:14" ht="30" x14ac:dyDescent="0.25">
      <c r="A1" s="85" t="s">
        <v>1382</v>
      </c>
      <c r="B1" s="85" t="s">
        <v>1383</v>
      </c>
      <c r="C1" s="85" t="s">
        <v>1384</v>
      </c>
      <c r="F1" s="108" t="s">
        <v>1385</v>
      </c>
      <c r="G1" s="108" t="s">
        <v>1906</v>
      </c>
      <c r="H1" s="108" t="s">
        <v>1907</v>
      </c>
      <c r="I1" s="108" t="s">
        <v>1908</v>
      </c>
      <c r="J1" s="108" t="s">
        <v>1909</v>
      </c>
      <c r="K1" s="108" t="s">
        <v>1935</v>
      </c>
      <c r="L1" s="108" t="s">
        <v>1936</v>
      </c>
      <c r="M1" s="108" t="s">
        <v>1937</v>
      </c>
      <c r="N1" s="108" t="s">
        <v>1938</v>
      </c>
    </row>
    <row r="2" spans="1:14" x14ac:dyDescent="0.25">
      <c r="A2" s="87" t="s">
        <v>68</v>
      </c>
      <c r="B2" s="88">
        <v>0</v>
      </c>
      <c r="C2" s="89"/>
      <c r="F2" s="87" t="s">
        <v>1386</v>
      </c>
      <c r="G2">
        <f t="shared" ref="G2:G11" si="0">SUMIF($A$2:$A$38,F2,$B$2:$B$38)</f>
        <v>13</v>
      </c>
      <c r="H2" s="90">
        <f t="shared" ref="H2:H11" si="1">SUMIF($A$2:$A$38,F2,$C$2:$C$38)/G2</f>
        <v>3.2153846153846151E-2</v>
      </c>
      <c r="I2">
        <f>SUMIF($A$39:$A$76,F2,$B$39:$B$76)</f>
        <v>44</v>
      </c>
      <c r="J2" s="90">
        <f>SUMIF($A$39:$A$76,F2,$C$39:$C$76)/I2</f>
        <v>2.7772727272727272E-2</v>
      </c>
      <c r="K2" s="161">
        <f>G2/$G$12</f>
        <v>0.18840579710144928</v>
      </c>
      <c r="L2" s="161">
        <f>I2/$I$12</f>
        <v>0.18723404255319148</v>
      </c>
      <c r="M2" s="161">
        <f>G2/16</f>
        <v>0.8125</v>
      </c>
      <c r="N2" s="161">
        <f>I2/51</f>
        <v>0.86274509803921573</v>
      </c>
    </row>
    <row r="3" spans="1:14" x14ac:dyDescent="0.25">
      <c r="A3" s="87" t="s">
        <v>1387</v>
      </c>
      <c r="B3" s="88">
        <v>12</v>
      </c>
      <c r="C3" s="88">
        <v>0.70899999999999996</v>
      </c>
      <c r="F3" s="87" t="s">
        <v>1387</v>
      </c>
      <c r="G3">
        <f t="shared" si="0"/>
        <v>12</v>
      </c>
      <c r="H3" s="90">
        <f t="shared" si="1"/>
        <v>5.9083333333333328E-2</v>
      </c>
      <c r="I3">
        <f t="shared" ref="I3:I11" si="2">SUMIF($A$39:$A$76,F3,$B$39:$B$76)</f>
        <v>40</v>
      </c>
      <c r="J3" s="90">
        <f t="shared" ref="J3:J10" si="3">SUMIF($A$39:$A$76,F3,$C$39:$C$76)/I3</f>
        <v>3.9875000000000001E-2</v>
      </c>
      <c r="K3" s="161">
        <f t="shared" ref="K3:K11" si="4">G3/$G$12</f>
        <v>0.17391304347826086</v>
      </c>
      <c r="L3" s="161">
        <f t="shared" ref="L3:L11" si="5">I3/$I$12</f>
        <v>0.1702127659574468</v>
      </c>
      <c r="M3" s="161">
        <f t="shared" ref="M3:M11" si="6">G3/16</f>
        <v>0.75</v>
      </c>
      <c r="N3" s="161">
        <f t="shared" ref="N3:N11" si="7">I3/51</f>
        <v>0.78431372549019607</v>
      </c>
    </row>
    <row r="4" spans="1:14" x14ac:dyDescent="0.25">
      <c r="A4" s="87" t="s">
        <v>1388</v>
      </c>
      <c r="B4" s="88">
        <v>2</v>
      </c>
      <c r="C4" s="88">
        <v>0.31</v>
      </c>
      <c r="F4" s="87" t="s">
        <v>1389</v>
      </c>
      <c r="G4">
        <f t="shared" si="0"/>
        <v>12</v>
      </c>
      <c r="H4" s="90">
        <f t="shared" si="1"/>
        <v>4.9749999999999996E-2</v>
      </c>
      <c r="I4">
        <f t="shared" si="2"/>
        <v>41</v>
      </c>
      <c r="J4" s="90">
        <f t="shared" si="3"/>
        <v>7.570731707317073E-2</v>
      </c>
      <c r="K4" s="161">
        <f t="shared" si="4"/>
        <v>0.17391304347826086</v>
      </c>
      <c r="L4" s="161">
        <f t="shared" si="5"/>
        <v>0.17446808510638298</v>
      </c>
      <c r="M4" s="161">
        <f t="shared" si="6"/>
        <v>0.75</v>
      </c>
      <c r="N4" s="161">
        <f t="shared" si="7"/>
        <v>0.80392156862745101</v>
      </c>
    </row>
    <row r="5" spans="1:14" x14ac:dyDescent="0.25">
      <c r="A5" s="85" t="s">
        <v>1390</v>
      </c>
      <c r="B5" s="85" t="s">
        <v>1391</v>
      </c>
      <c r="C5" s="85" t="s">
        <v>1392</v>
      </c>
      <c r="F5" s="87" t="s">
        <v>1393</v>
      </c>
      <c r="G5">
        <f t="shared" si="0"/>
        <v>9</v>
      </c>
      <c r="H5" s="90">
        <f t="shared" si="1"/>
        <v>2.6777777777777775E-2</v>
      </c>
      <c r="I5">
        <f t="shared" si="2"/>
        <v>27</v>
      </c>
      <c r="J5" s="90">
        <f t="shared" si="3"/>
        <v>7.6148148148148131E-2</v>
      </c>
      <c r="K5" s="161">
        <f t="shared" si="4"/>
        <v>0.13043478260869565</v>
      </c>
      <c r="L5" s="161">
        <f t="shared" si="5"/>
        <v>0.1148936170212766</v>
      </c>
      <c r="M5" s="161">
        <f t="shared" si="6"/>
        <v>0.5625</v>
      </c>
      <c r="N5" s="161">
        <f t="shared" si="7"/>
        <v>0.52941176470588236</v>
      </c>
    </row>
    <row r="6" spans="1:14" x14ac:dyDescent="0.25">
      <c r="A6" s="87" t="s">
        <v>68</v>
      </c>
      <c r="B6" s="88">
        <v>0</v>
      </c>
      <c r="C6" s="89"/>
      <c r="F6" s="87" t="s">
        <v>1394</v>
      </c>
      <c r="G6" s="91">
        <f t="shared" si="0"/>
        <v>6</v>
      </c>
      <c r="H6" s="90">
        <f t="shared" si="1"/>
        <v>5.149999999999999E-2</v>
      </c>
      <c r="I6">
        <f t="shared" si="2"/>
        <v>31</v>
      </c>
      <c r="J6" s="90">
        <f t="shared" si="3"/>
        <v>7.0645161290322597E-2</v>
      </c>
      <c r="K6" s="161">
        <f t="shared" si="4"/>
        <v>8.6956521739130432E-2</v>
      </c>
      <c r="L6" s="161">
        <f t="shared" si="5"/>
        <v>0.13191489361702127</v>
      </c>
      <c r="M6" s="161">
        <f t="shared" si="6"/>
        <v>0.375</v>
      </c>
      <c r="N6" s="161">
        <f t="shared" si="7"/>
        <v>0.60784313725490191</v>
      </c>
    </row>
    <row r="7" spans="1:14" x14ac:dyDescent="0.25">
      <c r="A7" s="87" t="s">
        <v>1389</v>
      </c>
      <c r="B7" s="88">
        <v>2</v>
      </c>
      <c r="C7" s="88">
        <v>0.22799999999999998</v>
      </c>
      <c r="F7" s="87" t="s">
        <v>1388</v>
      </c>
      <c r="G7">
        <f t="shared" si="0"/>
        <v>5</v>
      </c>
      <c r="H7" s="90">
        <f t="shared" si="1"/>
        <v>0.13500000000000001</v>
      </c>
      <c r="I7">
        <f t="shared" si="2"/>
        <v>15</v>
      </c>
      <c r="J7" s="90">
        <f t="shared" si="3"/>
        <v>0.16793333333333335</v>
      </c>
      <c r="K7" s="161">
        <f t="shared" si="4"/>
        <v>7.2463768115942032E-2</v>
      </c>
      <c r="L7" s="161">
        <f t="shared" si="5"/>
        <v>6.3829787234042548E-2</v>
      </c>
      <c r="M7" s="161">
        <f t="shared" si="6"/>
        <v>0.3125</v>
      </c>
      <c r="N7" s="161">
        <f t="shared" si="7"/>
        <v>0.29411764705882354</v>
      </c>
    </row>
    <row r="8" spans="1:14" x14ac:dyDescent="0.25">
      <c r="A8" s="87" t="s">
        <v>1395</v>
      </c>
      <c r="B8" s="88">
        <v>5</v>
      </c>
      <c r="C8" s="88">
        <v>0.17200000000000001</v>
      </c>
      <c r="F8" s="87" t="s">
        <v>1395</v>
      </c>
      <c r="G8">
        <f t="shared" si="0"/>
        <v>5</v>
      </c>
      <c r="H8" s="90">
        <f t="shared" si="1"/>
        <v>3.44E-2</v>
      </c>
      <c r="I8">
        <f t="shared" si="2"/>
        <v>13</v>
      </c>
      <c r="J8" s="90">
        <f t="shared" si="3"/>
        <v>7.6615384615384613E-2</v>
      </c>
      <c r="K8" s="161">
        <f t="shared" si="4"/>
        <v>7.2463768115942032E-2</v>
      </c>
      <c r="L8" s="161">
        <f t="shared" si="5"/>
        <v>5.5319148936170209E-2</v>
      </c>
      <c r="M8" s="161">
        <f t="shared" si="6"/>
        <v>0.3125</v>
      </c>
      <c r="N8" s="161">
        <f t="shared" si="7"/>
        <v>0.25490196078431371</v>
      </c>
    </row>
    <row r="9" spans="1:14" x14ac:dyDescent="0.25">
      <c r="A9" s="87" t="s">
        <v>1386</v>
      </c>
      <c r="B9" s="88">
        <v>2</v>
      </c>
      <c r="C9" s="88">
        <v>0.113</v>
      </c>
      <c r="F9" s="87" t="s">
        <v>1396</v>
      </c>
      <c r="G9">
        <f t="shared" si="0"/>
        <v>3</v>
      </c>
      <c r="H9" s="90">
        <f t="shared" si="1"/>
        <v>0.11733333333333333</v>
      </c>
      <c r="I9">
        <f t="shared" si="2"/>
        <v>9</v>
      </c>
      <c r="J9" s="90">
        <f t="shared" si="3"/>
        <v>7.8222222222222207E-2</v>
      </c>
      <c r="K9" s="161">
        <f t="shared" si="4"/>
        <v>4.3478260869565216E-2</v>
      </c>
      <c r="L9" s="161">
        <f t="shared" si="5"/>
        <v>3.8297872340425532E-2</v>
      </c>
      <c r="M9" s="161">
        <f t="shared" si="6"/>
        <v>0.1875</v>
      </c>
      <c r="N9" s="161">
        <f t="shared" si="7"/>
        <v>0.17647058823529413</v>
      </c>
    </row>
    <row r="10" spans="1:14" x14ac:dyDescent="0.25">
      <c r="A10" s="87" t="s">
        <v>1388</v>
      </c>
      <c r="B10" s="88">
        <v>3</v>
      </c>
      <c r="C10" s="88">
        <v>0.36499999999999999</v>
      </c>
      <c r="F10" s="87" t="s">
        <v>1397</v>
      </c>
      <c r="G10">
        <f t="shared" si="0"/>
        <v>3</v>
      </c>
      <c r="H10" s="90">
        <f t="shared" si="1"/>
        <v>9.9999999999999985E-3</v>
      </c>
      <c r="I10">
        <f t="shared" si="2"/>
        <v>15</v>
      </c>
      <c r="J10" s="90">
        <f t="shared" si="3"/>
        <v>7.1533333333333324E-2</v>
      </c>
      <c r="K10" s="161">
        <f t="shared" si="4"/>
        <v>4.3478260869565216E-2</v>
      </c>
      <c r="L10" s="161">
        <f t="shared" si="5"/>
        <v>6.3829787234042548E-2</v>
      </c>
      <c r="M10" s="161">
        <f t="shared" si="6"/>
        <v>0.1875</v>
      </c>
      <c r="N10" s="161">
        <f t="shared" si="7"/>
        <v>0.29411764705882354</v>
      </c>
    </row>
    <row r="11" spans="1:14" x14ac:dyDescent="0.25">
      <c r="A11" s="87" t="s">
        <v>1396</v>
      </c>
      <c r="B11" s="88">
        <v>2</v>
      </c>
      <c r="C11" s="88">
        <v>0.19900000000000001</v>
      </c>
      <c r="F11" s="88" t="s">
        <v>1268</v>
      </c>
      <c r="G11" s="92">
        <f t="shared" si="0"/>
        <v>1</v>
      </c>
      <c r="H11" s="90">
        <f t="shared" si="1"/>
        <v>0.01</v>
      </c>
      <c r="I11">
        <f t="shared" si="2"/>
        <v>0</v>
      </c>
      <c r="J11" s="90"/>
      <c r="K11" s="161">
        <f t="shared" si="4"/>
        <v>1.4492753623188406E-2</v>
      </c>
      <c r="L11" s="161">
        <f t="shared" si="5"/>
        <v>0</v>
      </c>
      <c r="M11" s="161">
        <f t="shared" si="6"/>
        <v>6.25E-2</v>
      </c>
      <c r="N11" s="161">
        <f t="shared" si="7"/>
        <v>0</v>
      </c>
    </row>
    <row r="12" spans="1:14" x14ac:dyDescent="0.25">
      <c r="A12" s="85" t="s">
        <v>1398</v>
      </c>
      <c r="B12" s="85" t="s">
        <v>1399</v>
      </c>
      <c r="C12" s="85" t="s">
        <v>1400</v>
      </c>
      <c r="G12" s="93">
        <f>SUM(G2:G11)</f>
        <v>69</v>
      </c>
      <c r="I12" s="93">
        <f>SUM(I2:I11)</f>
        <v>235</v>
      </c>
    </row>
    <row r="13" spans="1:14" x14ac:dyDescent="0.25">
      <c r="A13" s="87" t="s">
        <v>68</v>
      </c>
      <c r="B13" s="88">
        <v>0</v>
      </c>
      <c r="C13" s="89"/>
    </row>
    <row r="14" spans="1:14" x14ac:dyDescent="0.25">
      <c r="A14" s="87" t="s">
        <v>1393</v>
      </c>
      <c r="B14" s="88">
        <v>2</v>
      </c>
      <c r="C14" s="88">
        <v>0</v>
      </c>
    </row>
    <row r="15" spans="1:14" x14ac:dyDescent="0.25">
      <c r="A15" s="87" t="s">
        <v>1389</v>
      </c>
      <c r="B15" s="88">
        <v>3</v>
      </c>
      <c r="C15" s="88">
        <v>0.124</v>
      </c>
    </row>
    <row r="16" spans="1:14" x14ac:dyDescent="0.25">
      <c r="A16" s="87" t="s">
        <v>1386</v>
      </c>
      <c r="B16" s="88">
        <v>7</v>
      </c>
      <c r="C16" s="88">
        <v>0.249</v>
      </c>
    </row>
    <row r="17" spans="1:3" x14ac:dyDescent="0.25">
      <c r="A17" s="87" t="s">
        <v>1396</v>
      </c>
      <c r="B17" s="88">
        <v>1</v>
      </c>
      <c r="C17" s="88">
        <v>0.153</v>
      </c>
    </row>
    <row r="18" spans="1:3" x14ac:dyDescent="0.25">
      <c r="A18" s="85" t="s">
        <v>1401</v>
      </c>
      <c r="B18" s="85" t="s">
        <v>1402</v>
      </c>
      <c r="C18" s="85" t="s">
        <v>1403</v>
      </c>
    </row>
    <row r="19" spans="1:3" x14ac:dyDescent="0.25">
      <c r="A19" s="87" t="s">
        <v>68</v>
      </c>
      <c r="B19" s="88">
        <v>0</v>
      </c>
      <c r="C19" s="89"/>
    </row>
    <row r="20" spans="1:3" x14ac:dyDescent="0.25">
      <c r="A20" s="87" t="s">
        <v>1393</v>
      </c>
      <c r="B20" s="88">
        <v>2</v>
      </c>
      <c r="C20" s="88">
        <v>3.1E-2</v>
      </c>
    </row>
    <row r="21" spans="1:3" x14ac:dyDescent="0.25">
      <c r="A21" s="87" t="s">
        <v>1389</v>
      </c>
      <c r="B21" s="88">
        <v>5</v>
      </c>
      <c r="C21" s="88">
        <v>0.20899999999999999</v>
      </c>
    </row>
    <row r="22" spans="1:3" x14ac:dyDescent="0.25">
      <c r="A22" s="87" t="s">
        <v>1397</v>
      </c>
      <c r="B22" s="88">
        <v>1</v>
      </c>
      <c r="C22" s="88">
        <v>-2.9000000000000001E-2</v>
      </c>
    </row>
    <row r="23" spans="1:3" x14ac:dyDescent="0.25">
      <c r="A23" s="87" t="s">
        <v>1386</v>
      </c>
      <c r="B23" s="88">
        <v>4</v>
      </c>
      <c r="C23" s="88">
        <v>5.5999999999999994E-2</v>
      </c>
    </row>
    <row r="24" spans="1:3" x14ac:dyDescent="0.25">
      <c r="A24" s="85" t="s">
        <v>1404</v>
      </c>
      <c r="B24" s="85" t="s">
        <v>1405</v>
      </c>
      <c r="C24" s="85" t="s">
        <v>1406</v>
      </c>
    </row>
    <row r="25" spans="1:3" x14ac:dyDescent="0.25">
      <c r="A25" s="87" t="s">
        <v>68</v>
      </c>
      <c r="B25" s="88">
        <v>0</v>
      </c>
      <c r="C25" s="89"/>
    </row>
    <row r="26" spans="1:3" x14ac:dyDescent="0.25">
      <c r="A26" s="87" t="s">
        <v>1393</v>
      </c>
      <c r="B26" s="88">
        <v>4</v>
      </c>
      <c r="C26" s="88">
        <v>0.16400000000000001</v>
      </c>
    </row>
    <row r="27" spans="1:3" x14ac:dyDescent="0.25">
      <c r="A27" s="87" t="s">
        <v>1389</v>
      </c>
      <c r="B27" s="88">
        <v>2</v>
      </c>
      <c r="C27" s="88">
        <v>3.6000000000000004E-2</v>
      </c>
    </row>
    <row r="28" spans="1:3" x14ac:dyDescent="0.25">
      <c r="A28" s="87" t="s">
        <v>1397</v>
      </c>
      <c r="B28" s="88">
        <v>1</v>
      </c>
      <c r="C28" s="88">
        <v>1.4999999999999999E-2</v>
      </c>
    </row>
    <row r="29" spans="1:3" x14ac:dyDescent="0.25">
      <c r="A29" s="87" t="s">
        <v>1394</v>
      </c>
      <c r="B29" s="88">
        <v>1</v>
      </c>
      <c r="C29" s="88">
        <v>8.5999999999999993E-2</v>
      </c>
    </row>
    <row r="30" spans="1:3" x14ac:dyDescent="0.25">
      <c r="A30" s="85" t="s">
        <v>1407</v>
      </c>
      <c r="B30" s="85" t="s">
        <v>1408</v>
      </c>
      <c r="C30" s="85" t="s">
        <v>1409</v>
      </c>
    </row>
    <row r="31" spans="1:3" x14ac:dyDescent="0.25">
      <c r="A31" s="88" t="s">
        <v>68</v>
      </c>
      <c r="B31" s="88">
        <v>0</v>
      </c>
      <c r="C31" s="89"/>
    </row>
    <row r="32" spans="1:3" x14ac:dyDescent="0.25">
      <c r="A32" s="88" t="s">
        <v>1393</v>
      </c>
      <c r="B32" s="88">
        <v>1</v>
      </c>
      <c r="C32" s="88">
        <v>4.5999999999999999E-2</v>
      </c>
    </row>
    <row r="33" spans="1:3" x14ac:dyDescent="0.25">
      <c r="A33" s="88" t="s">
        <v>1394</v>
      </c>
      <c r="B33" s="88">
        <v>4</v>
      </c>
      <c r="C33" s="88">
        <v>0.16299999999999995</v>
      </c>
    </row>
    <row r="34" spans="1:3" x14ac:dyDescent="0.25">
      <c r="A34" s="88" t="s">
        <v>1268</v>
      </c>
      <c r="B34" s="88">
        <v>1</v>
      </c>
      <c r="C34" s="88">
        <v>0.01</v>
      </c>
    </row>
    <row r="35" spans="1:3" x14ac:dyDescent="0.25">
      <c r="A35" s="85" t="s">
        <v>1410</v>
      </c>
      <c r="B35" s="85" t="s">
        <v>1411</v>
      </c>
      <c r="C35" s="85" t="s">
        <v>1412</v>
      </c>
    </row>
    <row r="36" spans="1:3" x14ac:dyDescent="0.25">
      <c r="A36" s="88" t="s">
        <v>68</v>
      </c>
      <c r="B36" s="88">
        <v>0</v>
      </c>
      <c r="C36" s="89"/>
    </row>
    <row r="37" spans="1:3" x14ac:dyDescent="0.25">
      <c r="A37" s="88" t="s">
        <v>1413</v>
      </c>
      <c r="B37" s="88">
        <v>1</v>
      </c>
      <c r="C37" s="88">
        <v>4.3999999999999997E-2</v>
      </c>
    </row>
    <row r="38" spans="1:3" x14ac:dyDescent="0.25">
      <c r="A38" s="88" t="s">
        <v>1394</v>
      </c>
      <c r="B38" s="88">
        <v>1</v>
      </c>
      <c r="C38" s="88">
        <v>0.06</v>
      </c>
    </row>
    <row r="39" spans="1:3" x14ac:dyDescent="0.25">
      <c r="A39" s="95" t="s">
        <v>1382</v>
      </c>
      <c r="B39" s="95" t="s">
        <v>1383</v>
      </c>
      <c r="C39" s="95" t="s">
        <v>1384</v>
      </c>
    </row>
    <row r="40" spans="1:3" x14ac:dyDescent="0.25">
      <c r="A40" s="96" t="s">
        <v>1387</v>
      </c>
      <c r="B40" s="97">
        <v>38</v>
      </c>
      <c r="C40" s="97">
        <v>1.6579999999999999</v>
      </c>
    </row>
    <row r="41" spans="1:3" x14ac:dyDescent="0.25">
      <c r="A41" s="96" t="s">
        <v>1389</v>
      </c>
      <c r="B41" s="97">
        <v>5</v>
      </c>
      <c r="C41" s="97">
        <v>0.32900000000000001</v>
      </c>
    </row>
    <row r="42" spans="1:3" x14ac:dyDescent="0.25">
      <c r="A42" s="96" t="s">
        <v>1386</v>
      </c>
      <c r="B42" s="97">
        <v>6</v>
      </c>
      <c r="C42" s="97">
        <v>0.20300000000000001</v>
      </c>
    </row>
    <row r="43" spans="1:3" x14ac:dyDescent="0.25">
      <c r="A43" s="96" t="s">
        <v>1388</v>
      </c>
      <c r="B43" s="97">
        <v>3</v>
      </c>
      <c r="C43" s="97">
        <v>0.48199999999999998</v>
      </c>
    </row>
    <row r="44" spans="1:3" x14ac:dyDescent="0.25">
      <c r="A44" s="95" t="s">
        <v>1390</v>
      </c>
      <c r="B44" s="95" t="s">
        <v>1391</v>
      </c>
      <c r="C44" s="95" t="s">
        <v>1392</v>
      </c>
    </row>
    <row r="45" spans="1:3" x14ac:dyDescent="0.25">
      <c r="A45" s="96" t="s">
        <v>1387</v>
      </c>
      <c r="B45" s="97">
        <v>2</v>
      </c>
      <c r="C45" s="97">
        <v>-6.3E-2</v>
      </c>
    </row>
    <row r="46" spans="1:3" x14ac:dyDescent="0.25">
      <c r="A46" s="96" t="s">
        <v>1393</v>
      </c>
      <c r="B46" s="97">
        <v>5</v>
      </c>
      <c r="C46" s="97">
        <v>0.23599999999999999</v>
      </c>
    </row>
    <row r="47" spans="1:3" x14ac:dyDescent="0.25">
      <c r="A47" s="96" t="s">
        <v>1389</v>
      </c>
      <c r="B47" s="97">
        <v>5</v>
      </c>
      <c r="C47" s="97">
        <v>0.59099999999999997</v>
      </c>
    </row>
    <row r="48" spans="1:3" x14ac:dyDescent="0.25">
      <c r="A48" s="96" t="s">
        <v>1395</v>
      </c>
      <c r="B48" s="97">
        <v>8</v>
      </c>
      <c r="C48" s="97">
        <v>0.59299999999999997</v>
      </c>
    </row>
    <row r="49" spans="1:3" x14ac:dyDescent="0.25">
      <c r="A49" s="96" t="s">
        <v>1386</v>
      </c>
      <c r="B49" s="97">
        <v>12</v>
      </c>
      <c r="C49" s="97">
        <v>0.12899999999999995</v>
      </c>
    </row>
    <row r="50" spans="1:3" x14ac:dyDescent="0.25">
      <c r="A50" s="96" t="s">
        <v>1388</v>
      </c>
      <c r="B50" s="97">
        <v>12</v>
      </c>
      <c r="C50" s="97">
        <v>2.0369999999999999</v>
      </c>
    </row>
    <row r="51" spans="1:3" x14ac:dyDescent="0.25">
      <c r="A51" s="96" t="s">
        <v>1396</v>
      </c>
      <c r="B51" s="97">
        <v>8</v>
      </c>
      <c r="C51" s="97">
        <v>0.68799999999999983</v>
      </c>
    </row>
    <row r="52" spans="1:3" x14ac:dyDescent="0.25">
      <c r="A52" s="95" t="s">
        <v>1398</v>
      </c>
      <c r="B52" s="95" t="s">
        <v>1399</v>
      </c>
      <c r="C52" s="95" t="s">
        <v>1400</v>
      </c>
    </row>
    <row r="53" spans="1:3" x14ac:dyDescent="0.25">
      <c r="A53" s="96" t="s">
        <v>1393</v>
      </c>
      <c r="B53" s="97">
        <v>3</v>
      </c>
      <c r="C53" s="97">
        <v>0.32699999999999996</v>
      </c>
    </row>
    <row r="54" spans="1:3" x14ac:dyDescent="0.25">
      <c r="A54" s="96" t="s">
        <v>1389</v>
      </c>
      <c r="B54" s="97">
        <v>16</v>
      </c>
      <c r="C54" s="97">
        <v>1.399</v>
      </c>
    </row>
    <row r="55" spans="1:3" x14ac:dyDescent="0.25">
      <c r="A55" s="96" t="s">
        <v>1395</v>
      </c>
      <c r="B55" s="97">
        <v>5</v>
      </c>
      <c r="C55" s="97">
        <v>0.40299999999999991</v>
      </c>
    </row>
    <row r="56" spans="1:3" x14ac:dyDescent="0.25">
      <c r="A56" s="96" t="s">
        <v>1386</v>
      </c>
      <c r="B56" s="97">
        <v>20</v>
      </c>
      <c r="C56" s="97">
        <v>0.75</v>
      </c>
    </row>
    <row r="57" spans="1:3" x14ac:dyDescent="0.25">
      <c r="A57" s="96" t="s">
        <v>1394</v>
      </c>
      <c r="B57" s="97">
        <v>7</v>
      </c>
      <c r="C57" s="97">
        <v>0.54</v>
      </c>
    </row>
    <row r="58" spans="1:3" x14ac:dyDescent="0.25">
      <c r="A58" s="96" t="s">
        <v>1396</v>
      </c>
      <c r="B58" s="97">
        <v>1</v>
      </c>
      <c r="C58" s="97">
        <v>1.6000000000000014E-2</v>
      </c>
    </row>
    <row r="59" spans="1:3" x14ac:dyDescent="0.25">
      <c r="A59" s="95" t="s">
        <v>1401</v>
      </c>
      <c r="B59" s="95" t="s">
        <v>1402</v>
      </c>
      <c r="C59" s="95" t="s">
        <v>1403</v>
      </c>
    </row>
    <row r="60" spans="1:3" x14ac:dyDescent="0.25">
      <c r="A60" s="97" t="s">
        <v>1393</v>
      </c>
      <c r="B60" s="97">
        <v>8</v>
      </c>
      <c r="C60" s="97">
        <v>1.0619999999999996</v>
      </c>
    </row>
    <row r="61" spans="1:3" x14ac:dyDescent="0.25">
      <c r="A61" s="97" t="s">
        <v>1389</v>
      </c>
      <c r="B61" s="97">
        <v>13</v>
      </c>
      <c r="C61" s="97">
        <v>0.68599999999999994</v>
      </c>
    </row>
    <row r="62" spans="1:3" x14ac:dyDescent="0.25">
      <c r="A62" s="97" t="s">
        <v>1397</v>
      </c>
      <c r="B62" s="97">
        <v>5</v>
      </c>
      <c r="C62" s="97">
        <v>0.255</v>
      </c>
    </row>
    <row r="63" spans="1:3" x14ac:dyDescent="0.25">
      <c r="A63" s="97" t="s">
        <v>1386</v>
      </c>
      <c r="B63" s="97">
        <v>6</v>
      </c>
      <c r="C63" s="97">
        <v>0.14000000000000001</v>
      </c>
    </row>
    <row r="64" spans="1:3" x14ac:dyDescent="0.25">
      <c r="A64" s="97" t="s">
        <v>1394</v>
      </c>
      <c r="B64" s="97">
        <v>8</v>
      </c>
      <c r="C64" s="97">
        <v>0.68200000000000016</v>
      </c>
    </row>
    <row r="65" spans="1:3" x14ac:dyDescent="0.25">
      <c r="A65" s="95" t="s">
        <v>1404</v>
      </c>
      <c r="B65" s="95" t="s">
        <v>1405</v>
      </c>
      <c r="C65" s="95" t="s">
        <v>1406</v>
      </c>
    </row>
    <row r="66" spans="1:3" x14ac:dyDescent="0.25">
      <c r="A66" s="96" t="s">
        <v>1393</v>
      </c>
      <c r="B66" s="97">
        <v>9</v>
      </c>
      <c r="C66" s="97">
        <v>0.38800000000000001</v>
      </c>
    </row>
    <row r="67" spans="1:3" x14ac:dyDescent="0.25">
      <c r="A67" s="96" t="s">
        <v>1389</v>
      </c>
      <c r="B67" s="97">
        <v>2</v>
      </c>
      <c r="C67" s="97">
        <v>9.9000000000000032E-2</v>
      </c>
    </row>
    <row r="68" spans="1:3" x14ac:dyDescent="0.25">
      <c r="A68" s="96" t="s">
        <v>1397</v>
      </c>
      <c r="B68" s="97">
        <v>4</v>
      </c>
      <c r="C68" s="97">
        <v>0.23599999999999999</v>
      </c>
    </row>
    <row r="69" spans="1:3" x14ac:dyDescent="0.25">
      <c r="A69" s="96" t="s">
        <v>1394</v>
      </c>
      <c r="B69" s="97">
        <v>9</v>
      </c>
      <c r="C69" s="97">
        <v>0.45100000000000001</v>
      </c>
    </row>
    <row r="70" spans="1:3" x14ac:dyDescent="0.25">
      <c r="A70" s="95" t="s">
        <v>1407</v>
      </c>
      <c r="B70" s="95" t="s">
        <v>1408</v>
      </c>
      <c r="C70" s="95" t="s">
        <v>1409</v>
      </c>
    </row>
    <row r="71" spans="1:3" x14ac:dyDescent="0.25">
      <c r="A71" s="97" t="s">
        <v>1393</v>
      </c>
      <c r="B71" s="97">
        <v>2</v>
      </c>
      <c r="C71" s="97">
        <v>4.2999999999999983E-2</v>
      </c>
    </row>
    <row r="72" spans="1:3" x14ac:dyDescent="0.25">
      <c r="A72" s="97" t="s">
        <v>1397</v>
      </c>
      <c r="B72" s="97">
        <v>3</v>
      </c>
      <c r="C72" s="97">
        <v>0.373</v>
      </c>
    </row>
    <row r="73" spans="1:3" x14ac:dyDescent="0.25">
      <c r="A73" s="97" t="s">
        <v>1394</v>
      </c>
      <c r="B73" s="97">
        <v>6</v>
      </c>
      <c r="C73" s="97">
        <v>0.45700000000000007</v>
      </c>
    </row>
    <row r="74" spans="1:3" x14ac:dyDescent="0.25">
      <c r="A74" s="95" t="s">
        <v>1410</v>
      </c>
      <c r="B74" s="95" t="s">
        <v>1411</v>
      </c>
      <c r="C74" s="95" t="s">
        <v>1412</v>
      </c>
    </row>
    <row r="75" spans="1:3" x14ac:dyDescent="0.25">
      <c r="A75" s="98" t="s">
        <v>1397</v>
      </c>
      <c r="B75" s="97">
        <v>3</v>
      </c>
      <c r="C75" s="97">
        <v>0.20900000000000002</v>
      </c>
    </row>
    <row r="76" spans="1:3" x14ac:dyDescent="0.25">
      <c r="A76" s="88" t="s">
        <v>1394</v>
      </c>
      <c r="B76" s="88">
        <v>1</v>
      </c>
      <c r="C76" s="88">
        <v>0.06</v>
      </c>
    </row>
  </sheetData>
  <customSheetViews>
    <customSheetView guid="{679A3195-3DEA-4AC2-A535-82AAF5B552BC}" state="hidden">
      <selection activeCell="E41" sqref="E41"/>
      <pageMargins left="0.7" right="0.7" top="0.75" bottom="0.75" header="0.3" footer="0.3"/>
    </customSheetView>
    <customSheetView guid="{7378B641-E8D1-4C14-8151-CF4CE159D121}">
      <selection activeCell="E41" sqref="E41"/>
      <pageMargins left="0.7" right="0.7" top="0.75" bottom="0.75" header="0.3" footer="0.3"/>
    </customSheetView>
    <customSheetView guid="{6D63B10B-E1E6-452A-80EB-4B2C7D61CF66}" state="hidden">
      <selection activeCell="E41" sqref="E41"/>
      <pageMargins left="0.7" right="0.7" top="0.75" bottom="0.75" header="0.3" footer="0.3"/>
    </customSheetView>
  </customSheetViews>
  <dataValidations count="1">
    <dataValidation type="list" allowBlank="1" showInputMessage="1" showErrorMessage="1" sqref="A75">
      <formula1>MeasureNames</formula1>
    </dataValidation>
  </dataValidation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Q17"/>
  <sheetViews>
    <sheetView topLeftCell="C1" zoomScaleNormal="100" workbookViewId="0">
      <pane xSplit="4" ySplit="5" topLeftCell="G6" activePane="bottomRight" state="frozen"/>
      <selection activeCell="C1" sqref="C1"/>
      <selection pane="topRight" activeCell="G1" sqref="G1"/>
      <selection pane="bottomLeft" activeCell="C6" sqref="C6"/>
      <selection pane="bottomRight" activeCell="C3" sqref="C3"/>
    </sheetView>
  </sheetViews>
  <sheetFormatPr defaultRowHeight="15" x14ac:dyDescent="0.25"/>
  <cols>
    <col min="1" max="1" width="11.5703125" hidden="1" customWidth="1"/>
    <col min="2" max="2" width="57.28515625" hidden="1" customWidth="1"/>
    <col min="3" max="3" width="18.7109375" customWidth="1"/>
    <col min="4" max="4" width="31" bestFit="1" customWidth="1"/>
    <col min="5" max="5" width="80" customWidth="1"/>
    <col min="6" max="6" width="14" customWidth="1"/>
    <col min="7" max="7" width="10" customWidth="1"/>
    <col min="9" max="9" width="11" customWidth="1"/>
    <col min="11" max="11" width="9.85546875" customWidth="1"/>
    <col min="13" max="13" width="10.85546875" customWidth="1"/>
    <col min="15" max="15" width="11.28515625" customWidth="1"/>
    <col min="17" max="17" width="11.140625" customWidth="1"/>
    <col min="19" max="19" width="3.7109375" customWidth="1"/>
  </cols>
  <sheetData>
    <row r="1" spans="1:17" ht="21" customHeight="1" x14ac:dyDescent="0.25">
      <c r="A1" s="3" t="s">
        <v>26</v>
      </c>
      <c r="B1" s="4" t="s">
        <v>2607</v>
      </c>
      <c r="C1" s="535" t="s">
        <v>3058</v>
      </c>
      <c r="D1" s="558" t="str">
        <f>B1</f>
        <v>Participants' Agreement with Awareness Knowledge Actions-Behaviors Statements</v>
      </c>
    </row>
    <row r="2" spans="1:17" x14ac:dyDescent="0.25">
      <c r="A2" t="s">
        <v>20</v>
      </c>
      <c r="B2" s="321" t="s">
        <v>60</v>
      </c>
      <c r="C2" s="536" t="s">
        <v>3059</v>
      </c>
    </row>
    <row r="3" spans="1:17" x14ac:dyDescent="0.25">
      <c r="A3" t="s">
        <v>1184</v>
      </c>
      <c r="B3" s="321" t="s">
        <v>2794</v>
      </c>
      <c r="C3" s="536" t="s">
        <v>1193</v>
      </c>
    </row>
    <row r="4" spans="1:17" ht="15" customHeight="1" x14ac:dyDescent="0.25">
      <c r="B4" s="321"/>
      <c r="C4" s="321"/>
      <c r="D4" s="357"/>
      <c r="E4" s="357"/>
      <c r="F4" s="762" t="s">
        <v>2608</v>
      </c>
      <c r="G4" s="762"/>
      <c r="H4" s="762"/>
      <c r="I4" s="762"/>
      <c r="J4" s="762" t="s">
        <v>2609</v>
      </c>
      <c r="K4" s="762"/>
      <c r="L4" s="762"/>
      <c r="M4" s="762"/>
      <c r="N4" s="762" t="s">
        <v>3172</v>
      </c>
      <c r="O4" s="762"/>
      <c r="P4" s="762"/>
      <c r="Q4" s="763"/>
    </row>
    <row r="5" spans="1:17" ht="42.75" x14ac:dyDescent="0.25">
      <c r="D5" s="322"/>
      <c r="E5" s="322"/>
      <c r="F5" s="312" t="s">
        <v>2570</v>
      </c>
      <c r="G5" s="312" t="s">
        <v>2610</v>
      </c>
      <c r="H5" s="312" t="s">
        <v>1371</v>
      </c>
      <c r="I5" s="312" t="s">
        <v>2573</v>
      </c>
      <c r="J5" s="312" t="s">
        <v>2574</v>
      </c>
      <c r="K5" s="312" t="s">
        <v>2575</v>
      </c>
      <c r="L5" s="312" t="s">
        <v>1371</v>
      </c>
      <c r="M5" s="312" t="s">
        <v>2573</v>
      </c>
      <c r="N5" s="312" t="s">
        <v>2574</v>
      </c>
      <c r="O5" s="312" t="s">
        <v>2575</v>
      </c>
      <c r="P5" s="312" t="s">
        <v>1371</v>
      </c>
      <c r="Q5" s="332" t="s">
        <v>2573</v>
      </c>
    </row>
    <row r="6" spans="1:17" x14ac:dyDescent="0.25">
      <c r="D6" s="358" t="s">
        <v>2611</v>
      </c>
      <c r="E6" s="338" t="s">
        <v>2612</v>
      </c>
      <c r="F6" s="339"/>
      <c r="G6" s="339"/>
      <c r="H6" s="339"/>
      <c r="I6" s="339"/>
      <c r="J6" s="339"/>
      <c r="K6" s="339"/>
      <c r="L6" s="339"/>
      <c r="M6" s="339"/>
      <c r="N6" s="339"/>
      <c r="O6" s="339"/>
      <c r="P6" s="339"/>
      <c r="Q6" s="340"/>
    </row>
    <row r="7" spans="1:17" ht="45" x14ac:dyDescent="0.25">
      <c r="D7" s="359" t="s">
        <v>2613</v>
      </c>
      <c r="E7" s="360" t="s">
        <v>2614</v>
      </c>
      <c r="F7" s="349">
        <v>0.81818181818181801</v>
      </c>
      <c r="G7" s="349">
        <v>3.896103896103896E-2</v>
      </c>
      <c r="H7" s="361">
        <v>8.2077922077922079</v>
      </c>
      <c r="I7" s="361">
        <v>2.3075258015188744</v>
      </c>
      <c r="J7" s="346">
        <v>0.81967213114754101</v>
      </c>
      <c r="K7" s="346">
        <v>4.9180327868852458E-2</v>
      </c>
      <c r="L7" s="362">
        <v>8.2950819672131146</v>
      </c>
      <c r="M7" s="362">
        <v>2.4313525885473841</v>
      </c>
      <c r="N7" s="346">
        <v>0.8125</v>
      </c>
      <c r="O7" s="346" t="s">
        <v>2331</v>
      </c>
      <c r="P7" s="362">
        <v>7.875</v>
      </c>
      <c r="Q7" s="363">
        <v>1.7841898254763515</v>
      </c>
    </row>
    <row r="8" spans="1:17" ht="54.75" customHeight="1" x14ac:dyDescent="0.25">
      <c r="D8" s="359" t="s">
        <v>2615</v>
      </c>
      <c r="E8" s="360" t="s">
        <v>2616</v>
      </c>
      <c r="F8" s="349">
        <v>0.58441558441558439</v>
      </c>
      <c r="G8" s="349">
        <v>0.18181818181818182</v>
      </c>
      <c r="H8" s="361">
        <v>6.7662337662337659</v>
      </c>
      <c r="I8" s="361">
        <v>2.9686790607418216</v>
      </c>
      <c r="J8" s="346">
        <v>0.5901639344262295</v>
      </c>
      <c r="K8" s="346">
        <v>0.16393442622950818</v>
      </c>
      <c r="L8" s="362">
        <v>6.7868852459016393</v>
      </c>
      <c r="M8" s="362">
        <v>2.8054396809196751</v>
      </c>
      <c r="N8" s="346">
        <v>0.5625</v>
      </c>
      <c r="O8" s="346">
        <v>0.5625</v>
      </c>
      <c r="P8" s="362">
        <v>6.6875</v>
      </c>
      <c r="Q8" s="363">
        <v>3.6280159867343476</v>
      </c>
    </row>
    <row r="9" spans="1:17" ht="30" x14ac:dyDescent="0.25">
      <c r="D9" s="359" t="s">
        <v>2617</v>
      </c>
      <c r="E9" s="360" t="s">
        <v>2618</v>
      </c>
      <c r="F9" s="349">
        <v>0.53246753246753242</v>
      </c>
      <c r="G9" s="349">
        <v>0.16883116883116883</v>
      </c>
      <c r="H9" s="361">
        <v>6.4155844155844157</v>
      </c>
      <c r="I9" s="361">
        <v>2.8160753267747864</v>
      </c>
      <c r="J9" s="346">
        <v>0.54838709677419351</v>
      </c>
      <c r="K9" s="346">
        <v>0.12903225806451613</v>
      </c>
      <c r="L9" s="362">
        <v>6.645161290322581</v>
      </c>
      <c r="M9" s="362">
        <v>2.5994751941563847</v>
      </c>
      <c r="N9" s="346">
        <v>0.46666666666666662</v>
      </c>
      <c r="O9" s="346">
        <v>0.46666666666666662</v>
      </c>
      <c r="P9" s="362">
        <v>5.4666666666666668</v>
      </c>
      <c r="Q9" s="363">
        <v>3.5227154028566954</v>
      </c>
    </row>
    <row r="10" spans="1:17" x14ac:dyDescent="0.25">
      <c r="D10" s="359"/>
      <c r="E10" s="351" t="s">
        <v>2619</v>
      </c>
      <c r="F10" s="349"/>
      <c r="G10" s="349"/>
      <c r="H10" s="361"/>
      <c r="I10" s="361"/>
      <c r="J10" s="346"/>
      <c r="K10" s="346"/>
      <c r="L10" s="362"/>
      <c r="M10" s="362"/>
      <c r="N10" s="346"/>
      <c r="O10" s="346"/>
      <c r="P10" s="362"/>
      <c r="Q10" s="363"/>
    </row>
    <row r="11" spans="1:17" ht="45" x14ac:dyDescent="0.25">
      <c r="D11" s="364" t="s">
        <v>2586</v>
      </c>
      <c r="E11" s="342" t="s">
        <v>2620</v>
      </c>
      <c r="F11" s="343">
        <v>0.86842105263157887</v>
      </c>
      <c r="G11" s="349" t="s">
        <v>2331</v>
      </c>
      <c r="H11" s="344">
        <v>8.5657894736842106</v>
      </c>
      <c r="I11" s="344">
        <v>1.6839281561538542</v>
      </c>
      <c r="J11" s="345">
        <v>0.8833333333333333</v>
      </c>
      <c r="K11" s="346" t="s">
        <v>2331</v>
      </c>
      <c r="L11" s="347">
        <v>8.6999999999999993</v>
      </c>
      <c r="M11" s="347">
        <v>1.6601000582464391</v>
      </c>
      <c r="N11" s="345">
        <v>0.8125</v>
      </c>
      <c r="O11" s="346" t="s">
        <v>2331</v>
      </c>
      <c r="P11" s="347">
        <v>8.0625</v>
      </c>
      <c r="Q11" s="348">
        <v>1.7308475765743596</v>
      </c>
    </row>
    <row r="12" spans="1:17" ht="30" x14ac:dyDescent="0.25">
      <c r="D12" s="359" t="s">
        <v>2621</v>
      </c>
      <c r="E12" s="360" t="s">
        <v>2622</v>
      </c>
      <c r="F12" s="349">
        <v>0.81578947368421051</v>
      </c>
      <c r="G12" s="349">
        <v>0.11842105263157895</v>
      </c>
      <c r="H12" s="361">
        <v>8.026315789473685</v>
      </c>
      <c r="I12" s="361">
        <v>2.8377159087807518</v>
      </c>
      <c r="J12" s="346">
        <v>0.85</v>
      </c>
      <c r="K12" s="346">
        <v>8.3333333333333343E-2</v>
      </c>
      <c r="L12" s="362">
        <v>8.2333333333333325</v>
      </c>
      <c r="M12" s="362">
        <v>2.5536060688372157</v>
      </c>
      <c r="N12" s="346">
        <v>0.6875</v>
      </c>
      <c r="O12" s="346">
        <v>0.6875</v>
      </c>
      <c r="P12" s="362">
        <v>7.25</v>
      </c>
      <c r="Q12" s="363">
        <v>3.714835124201342</v>
      </c>
    </row>
    <row r="13" spans="1:17" x14ac:dyDescent="0.25">
      <c r="D13" s="359"/>
      <c r="E13" s="351" t="s">
        <v>2623</v>
      </c>
      <c r="F13" s="349"/>
      <c r="G13" s="349"/>
      <c r="H13" s="361"/>
      <c r="I13" s="361"/>
      <c r="J13" s="346"/>
      <c r="K13" s="346"/>
      <c r="L13" s="362"/>
      <c r="M13" s="362"/>
      <c r="N13" s="346"/>
      <c r="O13" s="346"/>
      <c r="P13" s="362"/>
      <c r="Q13" s="363"/>
    </row>
    <row r="14" spans="1:17" x14ac:dyDescent="0.25">
      <c r="D14" s="359" t="s">
        <v>2624</v>
      </c>
      <c r="E14" s="342" t="s">
        <v>2625</v>
      </c>
      <c r="F14" s="343">
        <v>0.44871794871794868</v>
      </c>
      <c r="G14" s="343">
        <v>0.35897435897435898</v>
      </c>
      <c r="H14" s="344">
        <v>5.5384615384615383</v>
      </c>
      <c r="I14" s="344">
        <v>3.620620265768161</v>
      </c>
      <c r="J14" s="345">
        <v>0.45161290322580649</v>
      </c>
      <c r="K14" s="345">
        <v>0.32258064516129031</v>
      </c>
      <c r="L14" s="347">
        <v>5.709677419354839</v>
      </c>
      <c r="M14" s="347">
        <v>3.5268854823641869</v>
      </c>
      <c r="N14" s="345">
        <v>0.4375</v>
      </c>
      <c r="O14" s="345">
        <v>0.4375</v>
      </c>
      <c r="P14" s="347">
        <v>4.875</v>
      </c>
      <c r="Q14" s="348">
        <v>4.0145568456140541</v>
      </c>
    </row>
    <row r="15" spans="1:17" x14ac:dyDescent="0.25">
      <c r="D15" s="359" t="s">
        <v>2626</v>
      </c>
      <c r="E15" s="342" t="s">
        <v>2627</v>
      </c>
      <c r="F15" s="343">
        <v>0.24358974358974358</v>
      </c>
      <c r="G15" s="343">
        <v>0.58974358974358976</v>
      </c>
      <c r="H15" s="344">
        <v>3.4871794871794872</v>
      </c>
      <c r="I15" s="344">
        <v>3.1857784212314808</v>
      </c>
      <c r="J15" s="345">
        <v>0.25806451612903225</v>
      </c>
      <c r="K15" s="345">
        <v>0.59677419354838712</v>
      </c>
      <c r="L15" s="347">
        <v>3.564516129032258</v>
      </c>
      <c r="M15" s="347">
        <v>3.2523432548358993</v>
      </c>
      <c r="N15" s="345">
        <v>0.1875</v>
      </c>
      <c r="O15" s="345">
        <v>0.1875</v>
      </c>
      <c r="P15" s="347">
        <v>3.1875</v>
      </c>
      <c r="Q15" s="348">
        <v>2.9937434759845405</v>
      </c>
    </row>
    <row r="16" spans="1:17" ht="30" x14ac:dyDescent="0.25">
      <c r="D16" s="359" t="s">
        <v>2628</v>
      </c>
      <c r="E16" s="360" t="s">
        <v>2629</v>
      </c>
      <c r="F16" s="349">
        <v>0.83333333333333326</v>
      </c>
      <c r="G16" s="349">
        <v>3.8461538461538464E-2</v>
      </c>
      <c r="H16" s="361">
        <v>8.1282051282051277</v>
      </c>
      <c r="I16" s="361">
        <v>1.9958331551885753</v>
      </c>
      <c r="J16" s="346">
        <v>0.85483870967741937</v>
      </c>
      <c r="K16" s="346">
        <v>3.2258064516129031E-2</v>
      </c>
      <c r="L16" s="362">
        <v>8.1451612903225801</v>
      </c>
      <c r="M16" s="362">
        <v>1.8891126739478612</v>
      </c>
      <c r="N16" s="346">
        <v>0.75</v>
      </c>
      <c r="O16" s="346">
        <v>6.25E-2</v>
      </c>
      <c r="P16" s="362">
        <v>8.0625</v>
      </c>
      <c r="Q16" s="363">
        <v>2.4349880218733451</v>
      </c>
    </row>
    <row r="17" spans="4:17" x14ac:dyDescent="0.25">
      <c r="D17" s="354"/>
      <c r="E17" s="354" t="s">
        <v>2630</v>
      </c>
      <c r="F17" s="355"/>
      <c r="G17" s="355"/>
      <c r="H17" s="355"/>
      <c r="I17" s="355"/>
      <c r="J17" s="355"/>
      <c r="K17" s="355"/>
      <c r="L17" s="355"/>
      <c r="M17" s="355"/>
      <c r="N17" s="355"/>
      <c r="O17" s="355"/>
      <c r="P17" s="355"/>
      <c r="Q17" s="356"/>
    </row>
  </sheetData>
  <customSheetViews>
    <customSheetView guid="{679A3195-3DEA-4AC2-A535-82AAF5B552BC}" hiddenColumns="1" topLeftCell="C1">
      <pane xSplit="4" ySplit="5" topLeftCell="G6" activePane="bottomRight" state="frozen"/>
      <selection pane="bottomRight" activeCell="C3" sqref="C3"/>
      <pageMargins left="0.7" right="0.7" top="0.75" bottom="0.75" header="0.3" footer="0.3"/>
      <pageSetup paperSize="256" orientation="portrait" verticalDpi="0" r:id="rId1"/>
    </customSheetView>
    <customSheetView guid="{7378B641-E8D1-4C14-8151-CF4CE159D121}" hiddenColumns="1" topLeftCell="C1">
      <pane xSplit="5" ySplit="5" topLeftCell="H6" activePane="bottomRight" state="frozen"/>
      <selection pane="bottomRight" activeCell="B1" sqref="B1"/>
      <pageMargins left="0.7" right="0.7" top="0.75" bottom="0.75" header="0.3" footer="0.3"/>
      <pageSetup paperSize="256" orientation="portrait" verticalDpi="0" r:id="rId2"/>
    </customSheetView>
    <customSheetView guid="{6D63B10B-E1E6-452A-80EB-4B2C7D61CF66}" hiddenColumns="1" topLeftCell="C1">
      <pane xSplit="4" ySplit="5" topLeftCell="G6" activePane="bottomRight" state="frozen"/>
      <selection pane="bottomRight" activeCell="C3" sqref="C3"/>
      <pageMargins left="0.7" right="0.7" top="0.75" bottom="0.75" header="0.3" footer="0.3"/>
      <pageSetup paperSize="256" orientation="portrait" verticalDpi="0" r:id="rId3"/>
    </customSheetView>
  </customSheetViews>
  <mergeCells count="3">
    <mergeCell ref="F4:I4"/>
    <mergeCell ref="J4:M4"/>
    <mergeCell ref="N4:Q4"/>
  </mergeCells>
  <dataValidations count="3">
    <dataValidation type="list" allowBlank="1" showInputMessage="1" showErrorMessage="1" sqref="B2">
      <formula1>Scope</formula1>
    </dataValidation>
    <dataValidation type="list" allowBlank="1" showInputMessage="1" showErrorMessage="1" sqref="C4 B4">
      <formula1>DataSource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Y24"/>
  <sheetViews>
    <sheetView topLeftCell="C1" zoomScaleNormal="100" workbookViewId="0">
      <pane xSplit="4" ySplit="5" topLeftCell="G6" activePane="bottomRight" state="frozen"/>
      <selection activeCell="C1" sqref="C1"/>
      <selection pane="topRight" activeCell="G1" sqref="G1"/>
      <selection pane="bottomLeft" activeCell="C6" sqref="C6"/>
      <selection pane="bottomRight" activeCell="C3" sqref="C3"/>
    </sheetView>
  </sheetViews>
  <sheetFormatPr defaultRowHeight="15" x14ac:dyDescent="0.25"/>
  <cols>
    <col min="1" max="1" width="11.5703125" hidden="1" customWidth="1"/>
    <col min="2" max="2" width="57.28515625" hidden="1" customWidth="1"/>
    <col min="3" max="3" width="18.7109375" customWidth="1"/>
    <col min="4" max="4" width="22.5703125" customWidth="1"/>
    <col min="5" max="5" width="69.5703125" customWidth="1"/>
    <col min="6" max="6" width="14" customWidth="1"/>
    <col min="8" max="8" width="9.85546875" customWidth="1"/>
    <col min="9" max="9" width="6.7109375" customWidth="1"/>
    <col min="19" max="19" width="6.85546875" customWidth="1"/>
  </cols>
  <sheetData>
    <row r="1" spans="1:25" ht="21" customHeight="1" x14ac:dyDescent="0.25">
      <c r="A1" s="3" t="s">
        <v>26</v>
      </c>
      <c r="B1" s="4" t="s">
        <v>2564</v>
      </c>
      <c r="C1" s="535" t="s">
        <v>3058</v>
      </c>
      <c r="D1" s="558" t="str">
        <f>B1</f>
        <v>Contractors' Agreement with Awareness, Knowledge, Actions-Behaviors Statements</v>
      </c>
    </row>
    <row r="2" spans="1:25" x14ac:dyDescent="0.25">
      <c r="A2" t="s">
        <v>20</v>
      </c>
      <c r="B2" s="321" t="s">
        <v>60</v>
      </c>
      <c r="C2" s="536" t="s">
        <v>3059</v>
      </c>
    </row>
    <row r="3" spans="1:25" x14ac:dyDescent="0.25">
      <c r="A3" t="s">
        <v>1184</v>
      </c>
      <c r="B3" s="321" t="s">
        <v>3143</v>
      </c>
      <c r="C3" s="536" t="s">
        <v>1193</v>
      </c>
    </row>
    <row r="4" spans="1:25" x14ac:dyDescent="0.25">
      <c r="D4" s="333"/>
      <c r="E4" s="333"/>
      <c r="F4" s="764" t="s">
        <v>2565</v>
      </c>
      <c r="G4" s="764"/>
      <c r="H4" s="764"/>
      <c r="I4" s="764"/>
      <c r="J4" s="764" t="s">
        <v>2566</v>
      </c>
      <c r="K4" s="764"/>
      <c r="L4" s="764"/>
      <c r="M4" s="764"/>
      <c r="N4" s="764" t="s">
        <v>2567</v>
      </c>
      <c r="O4" s="764"/>
      <c r="P4" s="764"/>
      <c r="Q4" s="764"/>
      <c r="R4" s="764" t="s">
        <v>2568</v>
      </c>
      <c r="S4" s="764"/>
      <c r="T4" s="764"/>
      <c r="U4" s="764"/>
      <c r="V4" s="764" t="s">
        <v>2569</v>
      </c>
      <c r="W4" s="764"/>
      <c r="X4" s="764"/>
      <c r="Y4" s="765"/>
    </row>
    <row r="5" spans="1:25" ht="60" x14ac:dyDescent="0.25">
      <c r="D5" s="334"/>
      <c r="E5" s="335"/>
      <c r="F5" s="336" t="s">
        <v>2570</v>
      </c>
      <c r="G5" s="336" t="s">
        <v>2571</v>
      </c>
      <c r="H5" s="336" t="s">
        <v>2572</v>
      </c>
      <c r="I5" s="336" t="s">
        <v>1371</v>
      </c>
      <c r="J5" s="336" t="s">
        <v>2573</v>
      </c>
      <c r="K5" s="336" t="s">
        <v>2574</v>
      </c>
      <c r="L5" s="336" t="s">
        <v>2575</v>
      </c>
      <c r="M5" s="336" t="s">
        <v>1371</v>
      </c>
      <c r="N5" s="336" t="s">
        <v>2573</v>
      </c>
      <c r="O5" s="336" t="s">
        <v>2574</v>
      </c>
      <c r="P5" s="336" t="s">
        <v>2575</v>
      </c>
      <c r="Q5" s="336" t="s">
        <v>1371</v>
      </c>
      <c r="R5" s="336" t="s">
        <v>2573</v>
      </c>
      <c r="S5" s="336" t="s">
        <v>2574</v>
      </c>
      <c r="T5" s="336" t="s">
        <v>2575</v>
      </c>
      <c r="U5" s="336" t="s">
        <v>1371</v>
      </c>
      <c r="V5" s="336" t="s">
        <v>2573</v>
      </c>
      <c r="W5" s="336" t="s">
        <v>2574</v>
      </c>
      <c r="X5" s="336" t="s">
        <v>2575</v>
      </c>
      <c r="Y5" s="337" t="s">
        <v>1371</v>
      </c>
    </row>
    <row r="6" spans="1:25" x14ac:dyDescent="0.25">
      <c r="D6" s="643" t="s">
        <v>2576</v>
      </c>
      <c r="E6" s="338" t="s">
        <v>2577</v>
      </c>
      <c r="F6" s="339"/>
      <c r="G6" s="339"/>
      <c r="H6" s="339"/>
      <c r="I6" s="339"/>
      <c r="J6" s="339"/>
      <c r="K6" s="339"/>
      <c r="L6" s="339"/>
      <c r="M6" s="339"/>
      <c r="N6" s="339"/>
      <c r="O6" s="339"/>
      <c r="P6" s="339"/>
      <c r="Q6" s="339"/>
      <c r="R6" s="339"/>
      <c r="S6" s="339"/>
      <c r="T6" s="339"/>
      <c r="U6" s="339"/>
      <c r="V6" s="339"/>
      <c r="W6" s="339"/>
      <c r="X6" s="339"/>
      <c r="Y6" s="340"/>
    </row>
    <row r="7" spans="1:25" ht="54.75" customHeight="1" x14ac:dyDescent="0.25">
      <c r="D7" s="341" t="s">
        <v>2578</v>
      </c>
      <c r="E7" s="342" t="s">
        <v>2579</v>
      </c>
      <c r="F7" s="343">
        <v>0.97435897435897434</v>
      </c>
      <c r="G7" s="343">
        <v>2.564102564102564E-2</v>
      </c>
      <c r="H7" s="343">
        <v>0.84599999999999997</v>
      </c>
      <c r="I7" s="344">
        <v>9.5897435897435894</v>
      </c>
      <c r="J7" s="344">
        <v>1.2715086091135728</v>
      </c>
      <c r="K7" s="345">
        <v>1</v>
      </c>
      <c r="L7" s="346" t="s">
        <v>2331</v>
      </c>
      <c r="M7" s="347">
        <v>9.75</v>
      </c>
      <c r="N7" s="347">
        <v>0.70710678118654757</v>
      </c>
      <c r="O7" s="345">
        <v>1</v>
      </c>
      <c r="P7" s="346" t="s">
        <v>2331</v>
      </c>
      <c r="Q7" s="347">
        <v>9.625</v>
      </c>
      <c r="R7" s="347">
        <v>1.0606601717798212</v>
      </c>
      <c r="S7" s="345">
        <v>1</v>
      </c>
      <c r="T7" s="346" t="s">
        <v>2331</v>
      </c>
      <c r="U7" s="347">
        <v>9.875</v>
      </c>
      <c r="V7" s="347">
        <v>0.35355339059327379</v>
      </c>
      <c r="W7" s="345">
        <v>0.875</v>
      </c>
      <c r="X7" s="345">
        <v>0.125</v>
      </c>
      <c r="Y7" s="348">
        <v>9</v>
      </c>
    </row>
    <row r="8" spans="1:25" x14ac:dyDescent="0.25">
      <c r="D8" s="341" t="s">
        <v>2580</v>
      </c>
      <c r="E8" s="342" t="s">
        <v>2581</v>
      </c>
      <c r="F8" s="343">
        <v>0.82051282051282048</v>
      </c>
      <c r="G8" s="343">
        <v>5.128205128205128E-2</v>
      </c>
      <c r="H8" s="343">
        <v>0.66700000000000004</v>
      </c>
      <c r="I8" s="344">
        <v>8.615384615384615</v>
      </c>
      <c r="J8" s="344">
        <v>2.4237355315969409</v>
      </c>
      <c r="K8" s="345">
        <v>0.75</v>
      </c>
      <c r="L8" s="346" t="s">
        <v>2331</v>
      </c>
      <c r="M8" s="347">
        <v>8.5</v>
      </c>
      <c r="N8" s="347">
        <v>2.1380899352993952</v>
      </c>
      <c r="O8" s="345">
        <v>0.75</v>
      </c>
      <c r="P8" s="345">
        <v>0.125</v>
      </c>
      <c r="Q8" s="347">
        <v>8.25</v>
      </c>
      <c r="R8" s="347">
        <v>2.7645717829090897</v>
      </c>
      <c r="S8" s="345">
        <v>0.75</v>
      </c>
      <c r="T8" s="346" t="s">
        <v>2331</v>
      </c>
      <c r="U8" s="347">
        <v>8.125</v>
      </c>
      <c r="V8" s="347">
        <v>2.2951812875799469</v>
      </c>
      <c r="W8" s="345">
        <v>0.875</v>
      </c>
      <c r="X8" s="345">
        <v>0.125</v>
      </c>
      <c r="Y8" s="348">
        <v>8.375</v>
      </c>
    </row>
    <row r="9" spans="1:25" ht="30" x14ac:dyDescent="0.25">
      <c r="D9" s="341" t="s">
        <v>2580</v>
      </c>
      <c r="E9" s="342" t="s">
        <v>2582</v>
      </c>
      <c r="F9" s="343">
        <v>0.74358974358974361</v>
      </c>
      <c r="G9" s="343">
        <v>0.10256410256410256</v>
      </c>
      <c r="H9" s="343">
        <v>0.53800000000000003</v>
      </c>
      <c r="I9" s="344">
        <v>7.7435897435897436</v>
      </c>
      <c r="J9" s="344">
        <v>3.1348461619096089</v>
      </c>
      <c r="K9" s="345">
        <v>0.625</v>
      </c>
      <c r="L9" s="346" t="s">
        <v>2331</v>
      </c>
      <c r="M9" s="347">
        <v>7.375</v>
      </c>
      <c r="N9" s="347">
        <v>2.5035688811888406</v>
      </c>
      <c r="O9" s="345">
        <v>0.875</v>
      </c>
      <c r="P9" s="346" t="s">
        <v>2331</v>
      </c>
      <c r="Q9" s="347">
        <v>8.75</v>
      </c>
      <c r="R9" s="347">
        <v>2.1213203435596424</v>
      </c>
      <c r="S9" s="345">
        <v>0.625</v>
      </c>
      <c r="T9" s="345">
        <v>0.25</v>
      </c>
      <c r="U9" s="347">
        <v>6.625</v>
      </c>
      <c r="V9" s="347">
        <v>3.7772817134623602</v>
      </c>
      <c r="W9" s="345">
        <v>0.75</v>
      </c>
      <c r="X9" s="345">
        <v>0.125</v>
      </c>
      <c r="Y9" s="348">
        <v>7.75</v>
      </c>
    </row>
    <row r="10" spans="1:25" ht="30" x14ac:dyDescent="0.25">
      <c r="D10" s="341" t="s">
        <v>2583</v>
      </c>
      <c r="E10" s="342" t="s">
        <v>2584</v>
      </c>
      <c r="F10" s="349" t="s">
        <v>2331</v>
      </c>
      <c r="G10" s="343">
        <v>0.84615384615384615</v>
      </c>
      <c r="H10" s="343">
        <v>0.53800000000000003</v>
      </c>
      <c r="I10" s="344">
        <v>1.4102564102564104</v>
      </c>
      <c r="J10" s="344">
        <v>1.859795528064262</v>
      </c>
      <c r="K10" s="346" t="s">
        <v>2331</v>
      </c>
      <c r="L10" s="345">
        <v>0.875</v>
      </c>
      <c r="M10" s="347">
        <v>1.625</v>
      </c>
      <c r="N10" s="347">
        <v>1.7677669529663689</v>
      </c>
      <c r="O10" s="346" t="s">
        <v>2331</v>
      </c>
      <c r="P10" s="345">
        <v>0.875</v>
      </c>
      <c r="Q10" s="347">
        <v>1.25</v>
      </c>
      <c r="R10" s="347">
        <v>1.7525491637693282</v>
      </c>
      <c r="S10" s="346" t="s">
        <v>2331</v>
      </c>
      <c r="T10" s="345">
        <v>0.75</v>
      </c>
      <c r="U10" s="347">
        <v>1.625</v>
      </c>
      <c r="V10" s="347">
        <v>2.3867192066576601</v>
      </c>
      <c r="W10" s="346" t="s">
        <v>2331</v>
      </c>
      <c r="X10" s="345">
        <v>0.875</v>
      </c>
      <c r="Y10" s="348">
        <v>1.5</v>
      </c>
    </row>
    <row r="11" spans="1:25" x14ac:dyDescent="0.25">
      <c r="D11" s="341"/>
      <c r="E11" s="350" t="s">
        <v>2585</v>
      </c>
      <c r="F11" s="349"/>
      <c r="G11" s="343"/>
      <c r="H11" s="343"/>
      <c r="I11" s="344"/>
      <c r="J11" s="344"/>
      <c r="K11" s="346"/>
      <c r="L11" s="345"/>
      <c r="M11" s="347"/>
      <c r="N11" s="347"/>
      <c r="O11" s="346"/>
      <c r="P11" s="345"/>
      <c r="Q11" s="347"/>
      <c r="R11" s="347"/>
      <c r="S11" s="346"/>
      <c r="T11" s="345"/>
      <c r="U11" s="347"/>
      <c r="V11" s="347"/>
      <c r="W11" s="346"/>
      <c r="X11" s="345"/>
      <c r="Y11" s="348"/>
    </row>
    <row r="12" spans="1:25" ht="60" x14ac:dyDescent="0.25">
      <c r="D12" s="341" t="s">
        <v>2586</v>
      </c>
      <c r="E12" s="342" t="s">
        <v>2587</v>
      </c>
      <c r="F12" s="343">
        <v>0.92307692307692302</v>
      </c>
      <c r="G12" s="349" t="s">
        <v>2331</v>
      </c>
      <c r="H12" s="349">
        <v>0.69199999999999995</v>
      </c>
      <c r="I12" s="344">
        <v>9.2564102564102573</v>
      </c>
      <c r="J12" s="344">
        <v>1.5168865051037017</v>
      </c>
      <c r="K12" s="345">
        <v>0.75</v>
      </c>
      <c r="L12" s="346" t="s">
        <v>2331</v>
      </c>
      <c r="M12" s="347">
        <v>8.375</v>
      </c>
      <c r="N12" s="347">
        <v>2.5035688811888406</v>
      </c>
      <c r="O12" s="345">
        <v>1</v>
      </c>
      <c r="P12" s="346" t="s">
        <v>2331</v>
      </c>
      <c r="Q12" s="347">
        <v>9.25</v>
      </c>
      <c r="R12" s="347">
        <v>0.70710678118654757</v>
      </c>
      <c r="S12" s="345">
        <v>1</v>
      </c>
      <c r="T12" s="346" t="s">
        <v>2331</v>
      </c>
      <c r="U12" s="347">
        <v>10</v>
      </c>
      <c r="V12" s="347">
        <v>0</v>
      </c>
      <c r="W12" s="345">
        <v>1</v>
      </c>
      <c r="X12" s="346" t="s">
        <v>2331</v>
      </c>
      <c r="Y12" s="348">
        <v>9.75</v>
      </c>
    </row>
    <row r="13" spans="1:25" ht="30" x14ac:dyDescent="0.25">
      <c r="D13" s="341" t="s">
        <v>2588</v>
      </c>
      <c r="E13" s="342" t="s">
        <v>2589</v>
      </c>
      <c r="F13" s="343">
        <v>0.97368421052631571</v>
      </c>
      <c r="G13" s="349" t="s">
        <v>2331</v>
      </c>
      <c r="H13" s="349">
        <v>0.78900000000000003</v>
      </c>
      <c r="I13" s="344">
        <v>9.5</v>
      </c>
      <c r="J13" s="344">
        <v>1.059066391507927</v>
      </c>
      <c r="K13" s="345">
        <v>0.8571428571428571</v>
      </c>
      <c r="L13" s="346" t="s">
        <v>2331</v>
      </c>
      <c r="M13" s="347">
        <v>8.8571428571428577</v>
      </c>
      <c r="N13" s="347">
        <v>1.5735915849388864</v>
      </c>
      <c r="O13" s="345">
        <v>1</v>
      </c>
      <c r="P13" s="346" t="s">
        <v>2331</v>
      </c>
      <c r="Q13" s="347">
        <v>9.625</v>
      </c>
      <c r="R13" s="347">
        <v>1.0606601717798212</v>
      </c>
      <c r="S13" s="345">
        <v>1</v>
      </c>
      <c r="T13" s="346" t="s">
        <v>2331</v>
      </c>
      <c r="U13" s="347">
        <v>10</v>
      </c>
      <c r="V13" s="347">
        <v>0</v>
      </c>
      <c r="W13" s="345">
        <v>1</v>
      </c>
      <c r="X13" s="346" t="s">
        <v>2331</v>
      </c>
      <c r="Y13" s="348">
        <v>9.5</v>
      </c>
    </row>
    <row r="14" spans="1:25" x14ac:dyDescent="0.25">
      <c r="D14" s="335"/>
      <c r="E14" s="351" t="s">
        <v>2590</v>
      </c>
      <c r="F14" s="352"/>
      <c r="G14" s="352"/>
      <c r="H14" s="352"/>
      <c r="I14" s="352"/>
      <c r="J14" s="352"/>
      <c r="K14" s="352"/>
      <c r="L14" s="352"/>
      <c r="M14" s="352"/>
      <c r="N14" s="352"/>
      <c r="O14" s="352"/>
      <c r="P14" s="352"/>
      <c r="Q14" s="352"/>
      <c r="R14" s="352"/>
      <c r="S14" s="352"/>
      <c r="T14" s="352"/>
      <c r="U14" s="352"/>
      <c r="V14" s="352"/>
      <c r="W14" s="352"/>
      <c r="X14" s="352"/>
      <c r="Y14" s="353"/>
    </row>
    <row r="15" spans="1:25" x14ac:dyDescent="0.25">
      <c r="D15" s="341" t="s">
        <v>2591</v>
      </c>
      <c r="E15" s="342" t="s">
        <v>2592</v>
      </c>
      <c r="F15" s="343">
        <v>0.71794871794871795</v>
      </c>
      <c r="G15" s="343">
        <v>0.15384615384615385</v>
      </c>
      <c r="H15" s="343">
        <v>0.48699999999999999</v>
      </c>
      <c r="I15" s="344">
        <v>7.4102564102564106</v>
      </c>
      <c r="J15" s="344">
        <v>3.3850907530238867</v>
      </c>
      <c r="K15" s="345">
        <v>0.75</v>
      </c>
      <c r="L15" s="346" t="s">
        <v>2331</v>
      </c>
      <c r="M15" s="347">
        <v>8.75</v>
      </c>
      <c r="N15" s="347">
        <v>2.3754698783308417</v>
      </c>
      <c r="O15" s="345">
        <v>0.75</v>
      </c>
      <c r="P15" s="346" t="s">
        <v>2331</v>
      </c>
      <c r="Q15" s="347">
        <v>8.25</v>
      </c>
      <c r="R15" s="347">
        <v>2.2519832529192065</v>
      </c>
      <c r="S15" s="345">
        <v>0.875</v>
      </c>
      <c r="T15" s="345">
        <v>0.125</v>
      </c>
      <c r="U15" s="347">
        <v>8.25</v>
      </c>
      <c r="V15" s="347">
        <v>2.8660575211055539</v>
      </c>
      <c r="W15" s="345">
        <v>0.5</v>
      </c>
      <c r="X15" s="345">
        <v>0.5</v>
      </c>
      <c r="Y15" s="348">
        <v>4.75</v>
      </c>
    </row>
    <row r="16" spans="1:25" ht="30" x14ac:dyDescent="0.25">
      <c r="D16" s="341" t="s">
        <v>2593</v>
      </c>
      <c r="E16" s="342" t="s">
        <v>2594</v>
      </c>
      <c r="F16" s="343">
        <v>5.128205128205128E-2</v>
      </c>
      <c r="G16" s="343">
        <v>0.84615384615384615</v>
      </c>
      <c r="H16" s="343">
        <v>0.53800000000000003</v>
      </c>
      <c r="I16" s="344">
        <v>1.3846153846153846</v>
      </c>
      <c r="J16" s="344">
        <v>2.1103178186108744</v>
      </c>
      <c r="K16" s="345">
        <v>0.125</v>
      </c>
      <c r="L16" s="345">
        <v>0.875</v>
      </c>
      <c r="M16" s="347">
        <v>0.75</v>
      </c>
      <c r="N16" s="347">
        <v>1.3887301496588271</v>
      </c>
      <c r="O16" s="346" t="s">
        <v>2331</v>
      </c>
      <c r="P16" s="345">
        <v>0.875</v>
      </c>
      <c r="Q16" s="347">
        <v>1.125</v>
      </c>
      <c r="R16" s="347">
        <v>1.4577379737113252</v>
      </c>
      <c r="S16" s="345">
        <v>0.125</v>
      </c>
      <c r="T16" s="345">
        <v>0.75</v>
      </c>
      <c r="U16" s="347">
        <v>2.125</v>
      </c>
      <c r="V16" s="347">
        <v>3.1819805153394638</v>
      </c>
      <c r="W16" s="345">
        <v>0.125</v>
      </c>
      <c r="X16" s="345">
        <v>0.875</v>
      </c>
      <c r="Y16" s="348">
        <v>1.75</v>
      </c>
    </row>
    <row r="17" spans="4:25" ht="30" x14ac:dyDescent="0.25">
      <c r="D17" s="341" t="s">
        <v>2595</v>
      </c>
      <c r="E17" s="342" t="s">
        <v>2596</v>
      </c>
      <c r="F17" s="343">
        <v>0.89743589743589747</v>
      </c>
      <c r="G17" s="343">
        <v>5.128205128205128E-2</v>
      </c>
      <c r="H17" s="343">
        <v>0.71799999999999997</v>
      </c>
      <c r="I17" s="344">
        <v>8.8461538461538467</v>
      </c>
      <c r="J17" s="344">
        <v>2.5187555567493782</v>
      </c>
      <c r="K17" s="345">
        <v>0.875</v>
      </c>
      <c r="L17" s="346" t="s">
        <v>2331</v>
      </c>
      <c r="M17" s="347">
        <v>8.5</v>
      </c>
      <c r="N17" s="347">
        <v>2.2677868380553634</v>
      </c>
      <c r="O17" s="345">
        <v>1</v>
      </c>
      <c r="P17" s="346" t="s">
        <v>2331</v>
      </c>
      <c r="Q17" s="347">
        <v>9.75</v>
      </c>
      <c r="R17" s="347">
        <v>0.70710678118654757</v>
      </c>
      <c r="S17" s="345">
        <v>1</v>
      </c>
      <c r="T17" s="346" t="s">
        <v>2331</v>
      </c>
      <c r="U17" s="347">
        <v>9.625</v>
      </c>
      <c r="V17" s="347">
        <v>0.74402380914284494</v>
      </c>
      <c r="W17" s="345">
        <v>0.75</v>
      </c>
      <c r="X17" s="345">
        <v>0.125</v>
      </c>
      <c r="Y17" s="348">
        <v>7.75</v>
      </c>
    </row>
    <row r="18" spans="4:25" ht="30" x14ac:dyDescent="0.25">
      <c r="D18" s="341" t="s">
        <v>2597</v>
      </c>
      <c r="E18" s="342" t="s">
        <v>2598</v>
      </c>
      <c r="F18" s="343">
        <v>0.97435897435897434</v>
      </c>
      <c r="G18" s="343">
        <v>2.564102564102564E-2</v>
      </c>
      <c r="H18" s="343">
        <v>0.66700000000000004</v>
      </c>
      <c r="I18" s="344">
        <v>9.3076923076923084</v>
      </c>
      <c r="J18" s="344">
        <v>1.4717309206624722</v>
      </c>
      <c r="K18" s="345">
        <v>1</v>
      </c>
      <c r="L18" s="346" t="s">
        <v>2331</v>
      </c>
      <c r="M18" s="347">
        <v>9.375</v>
      </c>
      <c r="N18" s="347">
        <v>1.0606601717798212</v>
      </c>
      <c r="O18" s="345">
        <v>1</v>
      </c>
      <c r="P18" s="346" t="s">
        <v>2331</v>
      </c>
      <c r="Q18" s="347">
        <v>9.625</v>
      </c>
      <c r="R18" s="347">
        <v>0.74402380914284494</v>
      </c>
      <c r="S18" s="345">
        <v>0.875</v>
      </c>
      <c r="T18" s="345">
        <v>0.125</v>
      </c>
      <c r="U18" s="347">
        <v>8.625</v>
      </c>
      <c r="V18" s="347">
        <v>2.7742437837054932</v>
      </c>
      <c r="W18" s="345">
        <v>1</v>
      </c>
      <c r="X18" s="346" t="s">
        <v>2331</v>
      </c>
      <c r="Y18" s="348">
        <v>9.125</v>
      </c>
    </row>
    <row r="19" spans="4:25" x14ac:dyDescent="0.25">
      <c r="D19" s="341"/>
      <c r="E19" s="350" t="s">
        <v>2599</v>
      </c>
      <c r="F19" s="343"/>
      <c r="G19" s="343"/>
      <c r="H19" s="343"/>
      <c r="I19" s="344"/>
      <c r="J19" s="344"/>
      <c r="K19" s="345"/>
      <c r="L19" s="346"/>
      <c r="M19" s="347"/>
      <c r="N19" s="347"/>
      <c r="O19" s="345"/>
      <c r="P19" s="346"/>
      <c r="Q19" s="347"/>
      <c r="R19" s="347"/>
      <c r="S19" s="345"/>
      <c r="T19" s="345"/>
      <c r="U19" s="347"/>
      <c r="V19" s="347"/>
      <c r="W19" s="345"/>
      <c r="X19" s="346"/>
      <c r="Y19" s="348"/>
    </row>
    <row r="20" spans="4:25" ht="30" x14ac:dyDescent="0.25">
      <c r="D20" s="341" t="s">
        <v>2600</v>
      </c>
      <c r="E20" s="342" t="s">
        <v>2601</v>
      </c>
      <c r="F20" s="343">
        <v>0.84615384615384615</v>
      </c>
      <c r="G20" s="343">
        <v>2.564102564102564E-2</v>
      </c>
      <c r="H20" s="343">
        <v>0.51300000000000001</v>
      </c>
      <c r="I20" s="344">
        <v>8.6410256410256405</v>
      </c>
      <c r="J20" s="344">
        <v>1.9397121257816023</v>
      </c>
      <c r="K20" s="345">
        <v>0.875</v>
      </c>
      <c r="L20" s="346" t="s">
        <v>2331</v>
      </c>
      <c r="M20" s="347">
        <v>8.625</v>
      </c>
      <c r="N20" s="347">
        <v>1.8468119248354136</v>
      </c>
      <c r="O20" s="345">
        <v>0.875</v>
      </c>
      <c r="P20" s="346" t="s">
        <v>2331</v>
      </c>
      <c r="Q20" s="347">
        <v>9.125</v>
      </c>
      <c r="R20" s="347">
        <v>1.7268882005337975</v>
      </c>
      <c r="S20" s="345">
        <v>1</v>
      </c>
      <c r="T20" s="346" t="s">
        <v>2331</v>
      </c>
      <c r="U20" s="347">
        <v>9.75</v>
      </c>
      <c r="V20" s="347">
        <v>0.46291004988627571</v>
      </c>
      <c r="W20" s="345">
        <v>0.75</v>
      </c>
      <c r="X20" s="346" t="s">
        <v>2331</v>
      </c>
      <c r="Y20" s="348">
        <v>8.25</v>
      </c>
    </row>
    <row r="21" spans="4:25" ht="30" x14ac:dyDescent="0.25">
      <c r="D21" s="341" t="s">
        <v>2602</v>
      </c>
      <c r="E21" s="342" t="s">
        <v>2603</v>
      </c>
      <c r="F21" s="343">
        <v>0.89743589743589747</v>
      </c>
      <c r="G21" s="343">
        <v>5.128205128205128E-2</v>
      </c>
      <c r="H21" s="343">
        <v>0.61499999999999999</v>
      </c>
      <c r="I21" s="344">
        <v>8.5897435897435894</v>
      </c>
      <c r="J21" s="344">
        <v>2.5310487603482592</v>
      </c>
      <c r="K21" s="345">
        <v>1</v>
      </c>
      <c r="L21" s="346" t="s">
        <v>2331</v>
      </c>
      <c r="M21" s="347">
        <v>9.125</v>
      </c>
      <c r="N21" s="347">
        <v>1.3562026818605375</v>
      </c>
      <c r="O21" s="345">
        <v>1</v>
      </c>
      <c r="P21" s="346" t="s">
        <v>2331</v>
      </c>
      <c r="Q21" s="347">
        <v>9.75</v>
      </c>
      <c r="R21" s="347">
        <v>0.70710678118654757</v>
      </c>
      <c r="S21" s="345">
        <v>0.875</v>
      </c>
      <c r="T21" s="346" t="s">
        <v>2331</v>
      </c>
      <c r="U21" s="347">
        <v>9</v>
      </c>
      <c r="V21" s="347">
        <v>1.7728105208558367</v>
      </c>
      <c r="W21" s="345">
        <v>0.875</v>
      </c>
      <c r="X21" s="345">
        <v>0.125</v>
      </c>
      <c r="Y21" s="348">
        <v>7.625</v>
      </c>
    </row>
    <row r="22" spans="4:25" x14ac:dyDescent="0.25">
      <c r="D22" s="341" t="s">
        <v>2604</v>
      </c>
      <c r="E22" s="342" t="s">
        <v>2605</v>
      </c>
      <c r="F22" s="343">
        <v>1</v>
      </c>
      <c r="G22" s="349" t="s">
        <v>2331</v>
      </c>
      <c r="H22" s="349">
        <v>0.89700000000000002</v>
      </c>
      <c r="I22" s="344">
        <v>9.8461538461538467</v>
      </c>
      <c r="J22" s="344">
        <v>0.48873960015649809</v>
      </c>
      <c r="K22" s="345">
        <v>1</v>
      </c>
      <c r="L22" s="346" t="s">
        <v>2331</v>
      </c>
      <c r="M22" s="347">
        <v>9.5</v>
      </c>
      <c r="N22" s="347">
        <v>0.92582009977255142</v>
      </c>
      <c r="O22" s="345">
        <v>1</v>
      </c>
      <c r="P22" s="346" t="s">
        <v>2331</v>
      </c>
      <c r="Q22" s="347">
        <v>10</v>
      </c>
      <c r="R22" s="347">
        <v>0</v>
      </c>
      <c r="S22" s="345">
        <v>1</v>
      </c>
      <c r="T22" s="346" t="s">
        <v>2331</v>
      </c>
      <c r="U22" s="347">
        <v>9.875</v>
      </c>
      <c r="V22" s="347">
        <v>0.35355339059327379</v>
      </c>
      <c r="W22" s="345">
        <v>1</v>
      </c>
      <c r="X22" s="346" t="s">
        <v>2331</v>
      </c>
      <c r="Y22" s="348">
        <v>9.875</v>
      </c>
    </row>
    <row r="23" spans="4:25" x14ac:dyDescent="0.25">
      <c r="D23" s="335"/>
      <c r="E23" s="335"/>
      <c r="F23" s="352"/>
      <c r="G23" s="352"/>
      <c r="H23" s="352"/>
      <c r="I23" s="352"/>
      <c r="J23" s="352"/>
      <c r="K23" s="352"/>
      <c r="L23" s="352"/>
      <c r="M23" s="352"/>
      <c r="N23" s="352"/>
      <c r="O23" s="352"/>
      <c r="P23" s="352"/>
      <c r="Q23" s="352"/>
      <c r="R23" s="352"/>
      <c r="S23" s="352"/>
      <c r="T23" s="352"/>
      <c r="U23" s="352"/>
      <c r="V23" s="352"/>
      <c r="W23" s="352"/>
      <c r="X23" s="352"/>
      <c r="Y23" s="353"/>
    </row>
    <row r="24" spans="4:25" x14ac:dyDescent="0.25">
      <c r="D24" s="354"/>
      <c r="E24" s="354" t="s">
        <v>2606</v>
      </c>
      <c r="F24" s="355"/>
      <c r="G24" s="355"/>
      <c r="H24" s="355"/>
      <c r="I24" s="355"/>
      <c r="J24" s="355"/>
      <c r="K24" s="355"/>
      <c r="L24" s="355"/>
      <c r="M24" s="355"/>
      <c r="N24" s="355"/>
      <c r="O24" s="355"/>
      <c r="P24" s="355"/>
      <c r="Q24" s="355"/>
      <c r="R24" s="355"/>
      <c r="S24" s="355"/>
      <c r="T24" s="355"/>
      <c r="U24" s="355"/>
      <c r="V24" s="355"/>
      <c r="W24" s="355"/>
      <c r="X24" s="355"/>
      <c r="Y24" s="356"/>
    </row>
  </sheetData>
  <customSheetViews>
    <customSheetView guid="{679A3195-3DEA-4AC2-A535-82AAF5B552BC}" hiddenColumns="1" topLeftCell="C1">
      <pane xSplit="4" ySplit="5" topLeftCell="G6" activePane="bottomRight" state="frozen"/>
      <selection pane="bottomRight" activeCell="C3" sqref="C3"/>
      <pageMargins left="0.7" right="0.7" top="0.75" bottom="0.75" header="0.3" footer="0.3"/>
      <pageSetup paperSize="256" orientation="portrait" verticalDpi="0" r:id="rId1"/>
    </customSheetView>
    <customSheetView guid="{7378B641-E8D1-4C14-8151-CF4CE159D121}" hiddenColumns="1" topLeftCell="C1">
      <pane xSplit="5" ySplit="5" topLeftCell="H6" activePane="bottomRight" state="frozen"/>
      <selection pane="bottomRight" activeCell="E9" sqref="E9"/>
      <pageMargins left="0.7" right="0.7" top="0.75" bottom="0.75" header="0.3" footer="0.3"/>
      <pageSetup paperSize="256" orientation="portrait" verticalDpi="0" r:id="rId2"/>
    </customSheetView>
    <customSheetView guid="{6D63B10B-E1E6-452A-80EB-4B2C7D61CF66}" hiddenColumns="1" topLeftCell="C1">
      <pane xSplit="4" ySplit="5" topLeftCell="G6" activePane="bottomRight" state="frozen"/>
      <selection pane="bottomRight" activeCell="C3" sqref="C3"/>
      <pageMargins left="0.7" right="0.7" top="0.75" bottom="0.75" header="0.3" footer="0.3"/>
      <pageSetup paperSize="256" orientation="portrait" verticalDpi="0" r:id="rId3"/>
    </customSheetView>
  </customSheetViews>
  <mergeCells count="5">
    <mergeCell ref="F4:I4"/>
    <mergeCell ref="J4:M4"/>
    <mergeCell ref="N4:Q4"/>
    <mergeCell ref="R4:U4"/>
    <mergeCell ref="V4:Y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CO81"/>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9" bestFit="1" customWidth="1"/>
    <col min="5" max="5" width="80" customWidth="1"/>
    <col min="6" max="6" width="14" customWidth="1"/>
    <col min="9" max="9" width="3.5703125" customWidth="1"/>
    <col min="19" max="19" width="3.7109375" customWidth="1"/>
  </cols>
  <sheetData>
    <row r="1" spans="1:5" x14ac:dyDescent="0.25">
      <c r="A1" s="3" t="s">
        <v>26</v>
      </c>
      <c r="B1" s="4" t="s">
        <v>2555</v>
      </c>
      <c r="C1" s="535" t="s">
        <v>3058</v>
      </c>
      <c r="D1" s="558" t="str">
        <f>B1</f>
        <v>Contractors' Quotes Impact of Premium Incentives</v>
      </c>
    </row>
    <row r="2" spans="1:5" x14ac:dyDescent="0.25">
      <c r="A2" t="s">
        <v>20</v>
      </c>
      <c r="B2" s="321" t="s">
        <v>60</v>
      </c>
      <c r="C2" s="536" t="s">
        <v>3059</v>
      </c>
    </row>
    <row r="3" spans="1:5" x14ac:dyDescent="0.25">
      <c r="A3" t="s">
        <v>1184</v>
      </c>
      <c r="B3" s="321" t="s">
        <v>3143</v>
      </c>
      <c r="C3" s="536" t="s">
        <v>1193</v>
      </c>
    </row>
    <row r="4" spans="1:5" x14ac:dyDescent="0.25">
      <c r="D4" s="322" t="s">
        <v>2556</v>
      </c>
      <c r="E4" s="332" t="s">
        <v>2557</v>
      </c>
    </row>
    <row r="5" spans="1:5" ht="45" x14ac:dyDescent="0.25">
      <c r="D5" s="595" t="s">
        <v>2558</v>
      </c>
      <c r="E5" s="597" t="s">
        <v>2559</v>
      </c>
    </row>
    <row r="6" spans="1:5" ht="105" x14ac:dyDescent="0.25">
      <c r="D6" s="595" t="s">
        <v>2558</v>
      </c>
      <c r="E6" s="636" t="s">
        <v>2560</v>
      </c>
    </row>
    <row r="7" spans="1:5" ht="30" x14ac:dyDescent="0.25">
      <c r="D7" s="539" t="s">
        <v>2561</v>
      </c>
      <c r="E7" s="36" t="s">
        <v>2562</v>
      </c>
    </row>
    <row r="8" spans="1:5" x14ac:dyDescent="0.25">
      <c r="D8" s="35" t="s">
        <v>2561</v>
      </c>
      <c r="E8" s="637" t="s">
        <v>2563</v>
      </c>
    </row>
    <row r="47" spans="91:91" x14ac:dyDescent="0.25">
      <c r="CM47">
        <v>0</v>
      </c>
    </row>
    <row r="48" spans="91:91" x14ac:dyDescent="0.25">
      <c r="CM48">
        <v>0</v>
      </c>
    </row>
    <row r="49" spans="91:91" x14ac:dyDescent="0.25">
      <c r="CM49">
        <v>0</v>
      </c>
    </row>
    <row r="50" spans="91:91" x14ac:dyDescent="0.25">
      <c r="CM50">
        <v>0</v>
      </c>
    </row>
    <row r="51" spans="91:91" x14ac:dyDescent="0.25">
      <c r="CM51">
        <v>0</v>
      </c>
    </row>
    <row r="52" spans="91:91" x14ac:dyDescent="0.25">
      <c r="CM52">
        <v>0</v>
      </c>
    </row>
    <row r="53" spans="91:91" x14ac:dyDescent="0.25">
      <c r="CM53">
        <v>0</v>
      </c>
    </row>
    <row r="54" spans="91:91" x14ac:dyDescent="0.25">
      <c r="CM54">
        <v>0</v>
      </c>
    </row>
    <row r="55" spans="91:91" x14ac:dyDescent="0.25">
      <c r="CM55">
        <v>0</v>
      </c>
    </row>
    <row r="56" spans="91:91" x14ac:dyDescent="0.25">
      <c r="CM56">
        <v>0</v>
      </c>
    </row>
    <row r="57" spans="91:91" x14ac:dyDescent="0.25">
      <c r="CM57">
        <v>0</v>
      </c>
    </row>
    <row r="58" spans="91:91" x14ac:dyDescent="0.25">
      <c r="CM58">
        <v>0</v>
      </c>
    </row>
    <row r="59" spans="91:91" x14ac:dyDescent="0.25">
      <c r="CM59">
        <v>0</v>
      </c>
    </row>
    <row r="60" spans="91:91" x14ac:dyDescent="0.25">
      <c r="CM60">
        <v>0</v>
      </c>
    </row>
    <row r="61" spans="91:91" x14ac:dyDescent="0.25">
      <c r="CM61">
        <v>0</v>
      </c>
    </row>
    <row r="62" spans="91:91" x14ac:dyDescent="0.25">
      <c r="CM62">
        <v>0</v>
      </c>
    </row>
    <row r="63" spans="91:91" x14ac:dyDescent="0.25">
      <c r="CM63">
        <v>0</v>
      </c>
    </row>
    <row r="64" spans="91:91" x14ac:dyDescent="0.25">
      <c r="CM64">
        <v>0</v>
      </c>
    </row>
    <row r="65" spans="1:93" x14ac:dyDescent="0.25">
      <c r="CM65">
        <v>0</v>
      </c>
    </row>
    <row r="66" spans="1:93" x14ac:dyDescent="0.25">
      <c r="CM66">
        <v>0</v>
      </c>
    </row>
    <row r="67" spans="1:93" x14ac:dyDescent="0.25">
      <c r="CM67">
        <v>0</v>
      </c>
    </row>
    <row r="68" spans="1:93" x14ac:dyDescent="0.25">
      <c r="CM68">
        <v>0</v>
      </c>
    </row>
    <row r="69" spans="1:93" x14ac:dyDescent="0.25">
      <c r="CM69">
        <v>0</v>
      </c>
    </row>
    <row r="70" spans="1:93" x14ac:dyDescent="0.25">
      <c r="CM70">
        <v>0</v>
      </c>
    </row>
    <row r="71" spans="1:93" x14ac:dyDescent="0.25">
      <c r="CM71">
        <v>0</v>
      </c>
    </row>
    <row r="80" spans="1:93" x14ac:dyDescent="0.25">
      <c r="A80" t="s">
        <v>2554</v>
      </c>
      <c r="CK80" t="e">
        <f>AVERAGE(CK2:CK78)</f>
        <v>#DIV/0!</v>
      </c>
      <c r="CM80">
        <f>AVERAGE(CM7:CM71)</f>
        <v>0</v>
      </c>
      <c r="CN80" t="e">
        <f>CK80/CM80</f>
        <v>#DIV/0!</v>
      </c>
      <c r="CO80" t="e">
        <f>AVERAGE(CO2:CO78)</f>
        <v>#DIV/0!</v>
      </c>
    </row>
    <row r="81" spans="1:93" x14ac:dyDescent="0.25">
      <c r="A81" t="s">
        <v>2546</v>
      </c>
      <c r="CK81">
        <f>COUNT(CK2:CK78)</f>
        <v>0</v>
      </c>
      <c r="CM81">
        <f>COUNT(CM7:CM71)</f>
        <v>25</v>
      </c>
      <c r="CO81">
        <f>COUNT(CO2:CO78)</f>
        <v>0</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E13" sqref="E13"/>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E70"/>
  <sheetViews>
    <sheetView workbookViewId="0">
      <selection activeCell="C3" sqref="C3"/>
    </sheetView>
  </sheetViews>
  <sheetFormatPr defaultRowHeight="15" x14ac:dyDescent="0.25"/>
  <sheetData>
    <row r="1" spans="2:5" x14ac:dyDescent="0.25">
      <c r="B1" t="s">
        <v>2542</v>
      </c>
      <c r="C1" t="s">
        <v>2543</v>
      </c>
      <c r="D1" t="s">
        <v>2544</v>
      </c>
      <c r="E1" t="s">
        <v>2545</v>
      </c>
    </row>
    <row r="2" spans="2:5" x14ac:dyDescent="0.25">
      <c r="B2">
        <v>3500</v>
      </c>
      <c r="C2">
        <v>1</v>
      </c>
      <c r="D2">
        <v>7300</v>
      </c>
      <c r="E2">
        <v>10800</v>
      </c>
    </row>
    <row r="3" spans="2:5" x14ac:dyDescent="0.25">
      <c r="B3">
        <v>3000</v>
      </c>
      <c r="C3">
        <v>1</v>
      </c>
      <c r="D3">
        <v>7000</v>
      </c>
      <c r="E3">
        <v>10000</v>
      </c>
    </row>
    <row r="4" spans="2:5" x14ac:dyDescent="0.25">
      <c r="B4">
        <v>2500</v>
      </c>
      <c r="C4">
        <v>1</v>
      </c>
      <c r="D4">
        <v>7000</v>
      </c>
      <c r="E4">
        <v>9500</v>
      </c>
    </row>
    <row r="5" spans="2:5" x14ac:dyDescent="0.25">
      <c r="B5">
        <v>4000</v>
      </c>
      <c r="C5">
        <v>1</v>
      </c>
      <c r="D5">
        <v>6300</v>
      </c>
      <c r="E5">
        <v>10300</v>
      </c>
    </row>
    <row r="6" spans="2:5" x14ac:dyDescent="0.25">
      <c r="B6">
        <v>3500</v>
      </c>
      <c r="C6">
        <v>1</v>
      </c>
      <c r="D6">
        <v>5500</v>
      </c>
      <c r="E6">
        <v>9000</v>
      </c>
    </row>
    <row r="7" spans="2:5" x14ac:dyDescent="0.25">
      <c r="B7">
        <v>4000</v>
      </c>
      <c r="C7">
        <v>1</v>
      </c>
      <c r="D7">
        <v>5000</v>
      </c>
      <c r="E7">
        <v>9000</v>
      </c>
    </row>
    <row r="8" spans="2:5" x14ac:dyDescent="0.25">
      <c r="B8">
        <v>3500</v>
      </c>
      <c r="C8">
        <v>1</v>
      </c>
      <c r="D8">
        <v>5000</v>
      </c>
      <c r="E8">
        <v>8500</v>
      </c>
    </row>
    <row r="9" spans="2:5" x14ac:dyDescent="0.25">
      <c r="B9">
        <v>2500</v>
      </c>
      <c r="C9">
        <v>1</v>
      </c>
      <c r="D9">
        <v>5000</v>
      </c>
      <c r="E9">
        <v>7500</v>
      </c>
    </row>
    <row r="10" spans="2:5" x14ac:dyDescent="0.25">
      <c r="B10">
        <v>4000</v>
      </c>
      <c r="C10">
        <v>1</v>
      </c>
      <c r="D10">
        <v>4000</v>
      </c>
      <c r="E10">
        <v>8000</v>
      </c>
    </row>
    <row r="11" spans="2:5" x14ac:dyDescent="0.25">
      <c r="B11">
        <v>4000</v>
      </c>
      <c r="C11">
        <v>1</v>
      </c>
      <c r="D11">
        <v>4000</v>
      </c>
      <c r="E11">
        <v>8000</v>
      </c>
    </row>
    <row r="12" spans="2:5" x14ac:dyDescent="0.25">
      <c r="B12">
        <v>4000</v>
      </c>
      <c r="C12">
        <v>1</v>
      </c>
      <c r="D12">
        <v>4000</v>
      </c>
      <c r="E12">
        <v>8000</v>
      </c>
    </row>
    <row r="13" spans="2:5" x14ac:dyDescent="0.25">
      <c r="B13">
        <v>3500</v>
      </c>
      <c r="C13">
        <v>1</v>
      </c>
      <c r="D13">
        <v>4000</v>
      </c>
      <c r="E13">
        <v>7500</v>
      </c>
    </row>
    <row r="14" spans="2:5" x14ac:dyDescent="0.25">
      <c r="B14">
        <v>3000</v>
      </c>
      <c r="C14">
        <v>1</v>
      </c>
      <c r="D14">
        <v>4000</v>
      </c>
      <c r="E14">
        <v>7000</v>
      </c>
    </row>
    <row r="15" spans="2:5" x14ac:dyDescent="0.25">
      <c r="B15">
        <v>3000</v>
      </c>
      <c r="C15">
        <v>1</v>
      </c>
      <c r="D15">
        <v>4000</v>
      </c>
      <c r="E15">
        <v>7000</v>
      </c>
    </row>
    <row r="16" spans="2:5" x14ac:dyDescent="0.25">
      <c r="B16">
        <v>2000</v>
      </c>
      <c r="C16">
        <v>1</v>
      </c>
      <c r="D16">
        <v>4000</v>
      </c>
      <c r="E16">
        <v>6000</v>
      </c>
    </row>
    <row r="17" spans="2:5" x14ac:dyDescent="0.25">
      <c r="B17">
        <v>3500</v>
      </c>
      <c r="C17">
        <v>1</v>
      </c>
      <c r="D17">
        <v>3500</v>
      </c>
      <c r="E17">
        <v>7000</v>
      </c>
    </row>
    <row r="18" spans="2:5" x14ac:dyDescent="0.25">
      <c r="B18">
        <v>3500</v>
      </c>
      <c r="C18">
        <v>1</v>
      </c>
      <c r="D18">
        <v>3500</v>
      </c>
      <c r="E18">
        <v>7000</v>
      </c>
    </row>
    <row r="19" spans="2:5" x14ac:dyDescent="0.25">
      <c r="B19">
        <v>3500</v>
      </c>
      <c r="C19">
        <v>1</v>
      </c>
      <c r="D19">
        <v>3500</v>
      </c>
      <c r="E19">
        <v>7000</v>
      </c>
    </row>
    <row r="20" spans="2:5" x14ac:dyDescent="0.25">
      <c r="B20">
        <v>4000</v>
      </c>
      <c r="C20">
        <v>1</v>
      </c>
      <c r="D20">
        <v>3000</v>
      </c>
      <c r="E20">
        <v>7000</v>
      </c>
    </row>
    <row r="21" spans="2:5" x14ac:dyDescent="0.25">
      <c r="B21">
        <v>3500</v>
      </c>
      <c r="C21">
        <v>1</v>
      </c>
      <c r="D21">
        <v>2500</v>
      </c>
      <c r="E21">
        <v>6000</v>
      </c>
    </row>
    <row r="22" spans="2:5" x14ac:dyDescent="0.25">
      <c r="B22">
        <v>2500</v>
      </c>
      <c r="C22">
        <v>1</v>
      </c>
      <c r="D22">
        <v>2500</v>
      </c>
      <c r="E22">
        <v>5000</v>
      </c>
    </row>
    <row r="23" spans="2:5" x14ac:dyDescent="0.25">
      <c r="B23">
        <v>4000</v>
      </c>
      <c r="C23">
        <v>1</v>
      </c>
      <c r="D23">
        <v>2300</v>
      </c>
      <c r="E23">
        <v>6300</v>
      </c>
    </row>
    <row r="24" spans="2:5" x14ac:dyDescent="0.25">
      <c r="B24">
        <v>4000</v>
      </c>
      <c r="C24">
        <v>1</v>
      </c>
      <c r="D24">
        <v>2300</v>
      </c>
      <c r="E24">
        <v>6300</v>
      </c>
    </row>
    <row r="25" spans="2:5" x14ac:dyDescent="0.25">
      <c r="B25">
        <v>3500</v>
      </c>
      <c r="C25">
        <v>1</v>
      </c>
      <c r="D25">
        <v>2300</v>
      </c>
      <c r="E25">
        <v>5800</v>
      </c>
    </row>
    <row r="26" spans="2:5" x14ac:dyDescent="0.25">
      <c r="B26">
        <v>2000</v>
      </c>
      <c r="C26">
        <v>1</v>
      </c>
      <c r="D26">
        <v>2100</v>
      </c>
      <c r="E26">
        <v>4100</v>
      </c>
    </row>
    <row r="27" spans="2:5" x14ac:dyDescent="0.25">
      <c r="B27">
        <v>3500</v>
      </c>
      <c r="C27">
        <v>1</v>
      </c>
      <c r="D27">
        <v>2000</v>
      </c>
      <c r="E27">
        <v>5500</v>
      </c>
    </row>
    <row r="28" spans="2:5" x14ac:dyDescent="0.25">
      <c r="B28">
        <v>3000</v>
      </c>
      <c r="C28">
        <v>1</v>
      </c>
      <c r="D28">
        <v>2000</v>
      </c>
      <c r="E28">
        <v>5000</v>
      </c>
    </row>
    <row r="29" spans="2:5" x14ac:dyDescent="0.25">
      <c r="B29">
        <v>3000</v>
      </c>
      <c r="C29">
        <v>1</v>
      </c>
      <c r="D29">
        <v>2000</v>
      </c>
      <c r="E29">
        <v>5000</v>
      </c>
    </row>
    <row r="30" spans="2:5" x14ac:dyDescent="0.25">
      <c r="B30">
        <v>2500</v>
      </c>
      <c r="C30">
        <v>1</v>
      </c>
      <c r="D30">
        <v>2000</v>
      </c>
      <c r="E30">
        <v>4500</v>
      </c>
    </row>
    <row r="31" spans="2:5" x14ac:dyDescent="0.25">
      <c r="B31">
        <v>2500</v>
      </c>
      <c r="C31">
        <v>1</v>
      </c>
      <c r="D31">
        <v>2000</v>
      </c>
      <c r="E31">
        <v>4500</v>
      </c>
    </row>
    <row r="32" spans="2:5" x14ac:dyDescent="0.25">
      <c r="B32">
        <v>2000</v>
      </c>
      <c r="C32">
        <v>1</v>
      </c>
      <c r="D32">
        <v>2000</v>
      </c>
      <c r="E32">
        <v>4000</v>
      </c>
    </row>
    <row r="33" spans="2:5" x14ac:dyDescent="0.25">
      <c r="B33">
        <v>1000</v>
      </c>
      <c r="C33">
        <v>1</v>
      </c>
      <c r="D33">
        <v>2000</v>
      </c>
      <c r="E33">
        <v>3000</v>
      </c>
    </row>
    <row r="34" spans="2:5" x14ac:dyDescent="0.25">
      <c r="B34">
        <v>3000</v>
      </c>
      <c r="C34">
        <v>1</v>
      </c>
      <c r="D34">
        <v>1500</v>
      </c>
      <c r="E34">
        <v>4500</v>
      </c>
    </row>
    <row r="35" spans="2:5" x14ac:dyDescent="0.25">
      <c r="B35">
        <v>2500</v>
      </c>
      <c r="C35">
        <v>1</v>
      </c>
      <c r="D35">
        <v>1500</v>
      </c>
      <c r="E35">
        <v>4000</v>
      </c>
    </row>
    <row r="36" spans="2:5" x14ac:dyDescent="0.25">
      <c r="B36">
        <v>1250</v>
      </c>
      <c r="C36">
        <v>1</v>
      </c>
      <c r="D36">
        <v>1500</v>
      </c>
      <c r="E36">
        <v>2750</v>
      </c>
    </row>
    <row r="37" spans="2:5" x14ac:dyDescent="0.25">
      <c r="B37">
        <v>1000</v>
      </c>
      <c r="C37">
        <v>1</v>
      </c>
      <c r="D37">
        <v>1500</v>
      </c>
      <c r="E37">
        <v>2500</v>
      </c>
    </row>
    <row r="38" spans="2:5" x14ac:dyDescent="0.25">
      <c r="B38">
        <v>4000</v>
      </c>
      <c r="C38">
        <v>1</v>
      </c>
      <c r="D38">
        <v>500</v>
      </c>
      <c r="E38">
        <v>4500</v>
      </c>
    </row>
    <row r="39" spans="2:5" x14ac:dyDescent="0.25">
      <c r="B39">
        <v>2000</v>
      </c>
      <c r="C39">
        <v>1</v>
      </c>
      <c r="D39">
        <v>250</v>
      </c>
      <c r="E39">
        <v>2250</v>
      </c>
    </row>
    <row r="40" spans="2:5" x14ac:dyDescent="0.25">
      <c r="B40">
        <v>2000</v>
      </c>
      <c r="C40">
        <v>1</v>
      </c>
      <c r="D40">
        <v>200</v>
      </c>
      <c r="E40">
        <v>2200</v>
      </c>
    </row>
    <row r="41" spans="2:5" x14ac:dyDescent="0.25">
      <c r="B41">
        <v>2000</v>
      </c>
      <c r="C41">
        <v>1</v>
      </c>
      <c r="D41">
        <v>200</v>
      </c>
      <c r="E41">
        <v>2200</v>
      </c>
    </row>
    <row r="42" spans="2:5" x14ac:dyDescent="0.25">
      <c r="B42">
        <v>4000</v>
      </c>
      <c r="C42">
        <v>2</v>
      </c>
      <c r="D42">
        <v>0</v>
      </c>
      <c r="E42">
        <v>4000</v>
      </c>
    </row>
    <row r="43" spans="2:5" x14ac:dyDescent="0.25">
      <c r="B43">
        <v>4000</v>
      </c>
      <c r="C43">
        <v>2</v>
      </c>
      <c r="D43">
        <v>0</v>
      </c>
      <c r="E43">
        <v>4000</v>
      </c>
    </row>
    <row r="44" spans="2:5" x14ac:dyDescent="0.25">
      <c r="B44">
        <v>4000</v>
      </c>
      <c r="C44">
        <v>2</v>
      </c>
      <c r="D44">
        <v>0</v>
      </c>
      <c r="E44">
        <v>4000</v>
      </c>
    </row>
    <row r="45" spans="2:5" x14ac:dyDescent="0.25">
      <c r="B45">
        <v>4000</v>
      </c>
      <c r="C45">
        <v>2</v>
      </c>
      <c r="D45">
        <v>0</v>
      </c>
      <c r="E45">
        <v>4000</v>
      </c>
    </row>
    <row r="46" spans="2:5" x14ac:dyDescent="0.25">
      <c r="B46">
        <v>3500</v>
      </c>
      <c r="C46">
        <v>2</v>
      </c>
      <c r="D46">
        <v>0</v>
      </c>
      <c r="E46">
        <v>3500</v>
      </c>
    </row>
    <row r="47" spans="2:5" x14ac:dyDescent="0.25">
      <c r="B47">
        <v>3500</v>
      </c>
      <c r="C47">
        <v>2</v>
      </c>
      <c r="D47">
        <v>0</v>
      </c>
      <c r="E47">
        <v>3500</v>
      </c>
    </row>
    <row r="48" spans="2:5" x14ac:dyDescent="0.25">
      <c r="B48">
        <v>3000</v>
      </c>
      <c r="C48">
        <v>2</v>
      </c>
      <c r="D48">
        <v>0</v>
      </c>
      <c r="E48">
        <v>3000</v>
      </c>
    </row>
    <row r="49" spans="2:5" x14ac:dyDescent="0.25">
      <c r="B49">
        <v>3000</v>
      </c>
      <c r="C49">
        <v>2</v>
      </c>
      <c r="D49">
        <v>0</v>
      </c>
      <c r="E49">
        <v>3000</v>
      </c>
    </row>
    <row r="50" spans="2:5" x14ac:dyDescent="0.25">
      <c r="B50">
        <v>2500</v>
      </c>
      <c r="C50">
        <v>2</v>
      </c>
      <c r="D50">
        <v>0</v>
      </c>
      <c r="E50">
        <v>2500</v>
      </c>
    </row>
    <row r="51" spans="2:5" x14ac:dyDescent="0.25">
      <c r="B51">
        <v>2500</v>
      </c>
      <c r="C51">
        <v>2</v>
      </c>
      <c r="D51">
        <v>0</v>
      </c>
      <c r="E51">
        <v>2500</v>
      </c>
    </row>
    <row r="52" spans="2:5" x14ac:dyDescent="0.25">
      <c r="B52">
        <v>2500</v>
      </c>
      <c r="C52">
        <v>2</v>
      </c>
      <c r="D52">
        <v>0</v>
      </c>
      <c r="E52">
        <v>2500</v>
      </c>
    </row>
    <row r="53" spans="2:5" x14ac:dyDescent="0.25">
      <c r="B53">
        <v>2500</v>
      </c>
      <c r="C53">
        <v>2</v>
      </c>
      <c r="D53">
        <v>0</v>
      </c>
      <c r="E53">
        <v>2500</v>
      </c>
    </row>
    <row r="54" spans="2:5" x14ac:dyDescent="0.25">
      <c r="B54">
        <v>2500</v>
      </c>
      <c r="C54">
        <v>2</v>
      </c>
      <c r="D54">
        <v>0</v>
      </c>
      <c r="E54">
        <v>2500</v>
      </c>
    </row>
    <row r="55" spans="2:5" x14ac:dyDescent="0.25">
      <c r="B55">
        <v>2500</v>
      </c>
      <c r="C55">
        <v>2</v>
      </c>
      <c r="D55">
        <v>0</v>
      </c>
      <c r="E55">
        <v>2500</v>
      </c>
    </row>
    <row r="56" spans="2:5" x14ac:dyDescent="0.25">
      <c r="B56">
        <v>2000</v>
      </c>
      <c r="C56">
        <v>2</v>
      </c>
      <c r="D56">
        <v>0</v>
      </c>
      <c r="E56">
        <v>2000</v>
      </c>
    </row>
    <row r="57" spans="2:5" x14ac:dyDescent="0.25">
      <c r="B57">
        <v>2000</v>
      </c>
      <c r="C57">
        <v>2</v>
      </c>
      <c r="D57">
        <v>0</v>
      </c>
      <c r="E57">
        <v>2000</v>
      </c>
    </row>
    <row r="58" spans="2:5" x14ac:dyDescent="0.25">
      <c r="B58">
        <v>2000</v>
      </c>
      <c r="C58">
        <v>2</v>
      </c>
      <c r="D58">
        <v>0</v>
      </c>
      <c r="E58">
        <v>2000</v>
      </c>
    </row>
    <row r="59" spans="2:5" x14ac:dyDescent="0.25">
      <c r="B59">
        <v>2000</v>
      </c>
      <c r="C59">
        <v>2</v>
      </c>
      <c r="D59">
        <v>0</v>
      </c>
      <c r="E59">
        <v>2000</v>
      </c>
    </row>
    <row r="60" spans="2:5" x14ac:dyDescent="0.25">
      <c r="B60">
        <v>2000</v>
      </c>
      <c r="C60">
        <v>2</v>
      </c>
      <c r="D60">
        <v>0</v>
      </c>
      <c r="E60">
        <v>2000</v>
      </c>
    </row>
    <row r="61" spans="2:5" x14ac:dyDescent="0.25">
      <c r="B61">
        <v>2000</v>
      </c>
      <c r="C61">
        <v>2</v>
      </c>
      <c r="D61">
        <v>0</v>
      </c>
      <c r="E61">
        <v>2000</v>
      </c>
    </row>
    <row r="62" spans="2:5" x14ac:dyDescent="0.25">
      <c r="B62">
        <v>2000</v>
      </c>
      <c r="C62">
        <v>2</v>
      </c>
      <c r="D62">
        <v>0</v>
      </c>
      <c r="E62">
        <v>2000</v>
      </c>
    </row>
    <row r="63" spans="2:5" x14ac:dyDescent="0.25">
      <c r="B63">
        <v>2000</v>
      </c>
      <c r="C63">
        <v>2</v>
      </c>
      <c r="D63">
        <v>0</v>
      </c>
      <c r="E63">
        <v>2000</v>
      </c>
    </row>
    <row r="64" spans="2:5" x14ac:dyDescent="0.25">
      <c r="B64">
        <v>1500</v>
      </c>
      <c r="C64">
        <v>2</v>
      </c>
      <c r="D64">
        <v>0</v>
      </c>
      <c r="E64">
        <v>1500</v>
      </c>
    </row>
    <row r="65" spans="1:5" x14ac:dyDescent="0.25">
      <c r="B65">
        <v>1500</v>
      </c>
      <c r="C65">
        <v>2</v>
      </c>
      <c r="D65">
        <v>0</v>
      </c>
      <c r="E65">
        <v>1500</v>
      </c>
    </row>
    <row r="66" spans="1:5" x14ac:dyDescent="0.25">
      <c r="B66">
        <v>1500</v>
      </c>
      <c r="C66">
        <v>2</v>
      </c>
      <c r="D66">
        <v>0</v>
      </c>
      <c r="E66">
        <v>1500</v>
      </c>
    </row>
    <row r="67" spans="1:5" x14ac:dyDescent="0.25">
      <c r="A67" t="s">
        <v>1371</v>
      </c>
      <c r="B67">
        <f>AVERAGE(B2:B66)</f>
        <v>2826.9230769230771</v>
      </c>
      <c r="D67">
        <f>AVERAGE(D2:D66)</f>
        <v>1919.2307692307693</v>
      </c>
      <c r="E67">
        <f>AVERAGE(E2:E66)</f>
        <v>4746.1538461538457</v>
      </c>
    </row>
    <row r="68" spans="1:5" x14ac:dyDescent="0.25">
      <c r="A68" t="s">
        <v>2546</v>
      </c>
      <c r="B68">
        <f>COUNT(B2:B66)</f>
        <v>65</v>
      </c>
      <c r="D68">
        <f>COUNT(D2:D66)</f>
        <v>65</v>
      </c>
      <c r="E68">
        <f>COUNT(E2:E66)</f>
        <v>65</v>
      </c>
    </row>
    <row r="69" spans="1:5" x14ac:dyDescent="0.25">
      <c r="A69" t="s">
        <v>1361</v>
      </c>
      <c r="B69">
        <f>MIN(B2:B66)</f>
        <v>1000</v>
      </c>
      <c r="D69">
        <f t="shared" ref="D69:E69" si="0">MIN(D2:D66)</f>
        <v>0</v>
      </c>
      <c r="E69">
        <f t="shared" si="0"/>
        <v>1500</v>
      </c>
    </row>
    <row r="70" spans="1:5" x14ac:dyDescent="0.25">
      <c r="A70" t="s">
        <v>1362</v>
      </c>
      <c r="B70">
        <f>MAX(B2:B66)</f>
        <v>4000</v>
      </c>
      <c r="D70">
        <f t="shared" ref="D70:E70" si="1">MAX(D2:D66)</f>
        <v>7300</v>
      </c>
      <c r="E70">
        <f t="shared" si="1"/>
        <v>10800</v>
      </c>
    </row>
  </sheetData>
  <customSheetViews>
    <customSheetView guid="{679A3195-3DEA-4AC2-A535-82AAF5B552BC}" state="hidden">
      <selection activeCell="C3" sqref="C3"/>
      <pageMargins left="0.7" right="0.7" top="0.75" bottom="0.75" header="0.3" footer="0.3"/>
    </customSheetView>
    <customSheetView guid="{7378B641-E8D1-4C14-8151-CF4CE159D121}">
      <pageMargins left="0.7" right="0.7" top="0.75" bottom="0.75" header="0.3" footer="0.3"/>
    </customSheetView>
    <customSheetView guid="{6D63B10B-E1E6-452A-80EB-4B2C7D61CF66}" state="hidden">
      <selection activeCell="C3" sqref="C3"/>
      <pageMargins left="0.7" right="0.7" top="0.75" bottom="0.75" header="0.3" footer="0.3"/>
    </customSheetView>
  </customSheetView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CO81"/>
  <sheetViews>
    <sheetView topLeftCell="C1" zoomScaleNormal="100" workbookViewId="0">
      <selection activeCell="C3" sqref="C3"/>
    </sheetView>
  </sheetViews>
  <sheetFormatPr defaultRowHeight="15" x14ac:dyDescent="0.25"/>
  <cols>
    <col min="1" max="1" width="11.5703125" hidden="1" customWidth="1"/>
    <col min="2" max="2" width="36.7109375" hidden="1" customWidth="1"/>
    <col min="3" max="3" width="18.7109375" customWidth="1"/>
    <col min="4" max="4" width="24.7109375" bestFit="1" customWidth="1"/>
    <col min="5" max="5" width="10.85546875" bestFit="1" customWidth="1"/>
    <col min="6" max="6" width="14" customWidth="1"/>
    <col min="7" max="8" width="10.5703125" bestFit="1" customWidth="1"/>
    <col min="9" max="9" width="13.28515625" customWidth="1"/>
    <col min="19" max="19" width="3.7109375" customWidth="1"/>
  </cols>
  <sheetData>
    <row r="1" spans="1:9" x14ac:dyDescent="0.25">
      <c r="A1" s="3" t="s">
        <v>26</v>
      </c>
      <c r="B1" s="4" t="s">
        <v>2547</v>
      </c>
      <c r="C1" s="535" t="s">
        <v>3058</v>
      </c>
      <c r="D1" s="558" t="str">
        <f>B1</f>
        <v>IOU and Premium Incentives Received</v>
      </c>
    </row>
    <row r="2" spans="1:9" x14ac:dyDescent="0.25">
      <c r="A2" t="s">
        <v>20</v>
      </c>
      <c r="B2" s="321" t="s">
        <v>60</v>
      </c>
      <c r="C2" s="536" t="s">
        <v>3059</v>
      </c>
    </row>
    <row r="3" spans="1:9" x14ac:dyDescent="0.25">
      <c r="A3" t="s">
        <v>1184</v>
      </c>
      <c r="B3" s="321" t="s">
        <v>2794</v>
      </c>
      <c r="C3" s="536" t="s">
        <v>1193</v>
      </c>
    </row>
    <row r="4" spans="1:9" x14ac:dyDescent="0.25">
      <c r="D4" s="322"/>
      <c r="E4" s="762" t="s">
        <v>2548</v>
      </c>
      <c r="F4" s="762"/>
      <c r="G4" s="763" t="s">
        <v>1371</v>
      </c>
    </row>
    <row r="5" spans="1:9" x14ac:dyDescent="0.25">
      <c r="D5" s="323"/>
      <c r="E5" s="313" t="s">
        <v>2549</v>
      </c>
      <c r="F5" s="313" t="s">
        <v>2550</v>
      </c>
      <c r="G5" s="766"/>
    </row>
    <row r="6" spans="1:9" x14ac:dyDescent="0.25">
      <c r="D6" s="324" t="s">
        <v>2551</v>
      </c>
      <c r="E6" s="325">
        <f>'44d'!B69</f>
        <v>1000</v>
      </c>
      <c r="F6" s="325">
        <f>'44d'!B70</f>
        <v>4000</v>
      </c>
      <c r="G6" s="326">
        <f>'44d'!B67</f>
        <v>2826.9230769230771</v>
      </c>
    </row>
    <row r="7" spans="1:9" x14ac:dyDescent="0.25">
      <c r="D7" s="324" t="s">
        <v>2552</v>
      </c>
      <c r="E7" s="325">
        <f>'44d'!D69</f>
        <v>0</v>
      </c>
      <c r="F7" s="325">
        <f>'44d'!D70</f>
        <v>7300</v>
      </c>
      <c r="G7" s="326">
        <f>'44d'!D67</f>
        <v>1919.2307692307693</v>
      </c>
      <c r="I7" s="327"/>
    </row>
    <row r="8" spans="1:9" x14ac:dyDescent="0.25">
      <c r="D8" s="328" t="s">
        <v>2553</v>
      </c>
      <c r="E8" s="329">
        <f>'44d'!E69</f>
        <v>1500</v>
      </c>
      <c r="F8" s="329">
        <f>'44d'!E70</f>
        <v>10800</v>
      </c>
      <c r="G8" s="330">
        <f>'44d'!E67</f>
        <v>4746.1538461538457</v>
      </c>
    </row>
    <row r="11" spans="1:9" x14ac:dyDescent="0.25">
      <c r="H11" s="327"/>
    </row>
    <row r="12" spans="1:9" x14ac:dyDescent="0.25">
      <c r="H12" s="331"/>
    </row>
    <row r="13" spans="1:9" x14ac:dyDescent="0.25">
      <c r="H13" s="331"/>
    </row>
    <row r="38" spans="91:91" ht="74.25" customHeight="1" x14ac:dyDescent="0.25"/>
    <row r="47" spans="91:91" x14ac:dyDescent="0.25">
      <c r="CM47">
        <v>0</v>
      </c>
    </row>
    <row r="48" spans="91:91" x14ac:dyDescent="0.25">
      <c r="CM48">
        <v>0</v>
      </c>
    </row>
    <row r="49" spans="91:91" x14ac:dyDescent="0.25">
      <c r="CM49">
        <v>0</v>
      </c>
    </row>
    <row r="50" spans="91:91" x14ac:dyDescent="0.25">
      <c r="CM50">
        <v>0</v>
      </c>
    </row>
    <row r="51" spans="91:91" x14ac:dyDescent="0.25">
      <c r="CM51">
        <v>0</v>
      </c>
    </row>
    <row r="52" spans="91:91" x14ac:dyDescent="0.25">
      <c r="CM52">
        <v>0</v>
      </c>
    </row>
    <row r="53" spans="91:91" x14ac:dyDescent="0.25">
      <c r="CM53">
        <v>0</v>
      </c>
    </row>
    <row r="54" spans="91:91" x14ac:dyDescent="0.25">
      <c r="CM54">
        <v>0</v>
      </c>
    </row>
    <row r="55" spans="91:91" x14ac:dyDescent="0.25">
      <c r="CM55">
        <v>0</v>
      </c>
    </row>
    <row r="56" spans="91:91" x14ac:dyDescent="0.25">
      <c r="CM56">
        <v>0</v>
      </c>
    </row>
    <row r="57" spans="91:91" x14ac:dyDescent="0.25">
      <c r="CM57">
        <v>0</v>
      </c>
    </row>
    <row r="58" spans="91:91" x14ac:dyDescent="0.25">
      <c r="CM58">
        <v>0</v>
      </c>
    </row>
    <row r="59" spans="91:91" x14ac:dyDescent="0.25">
      <c r="CM59">
        <v>0</v>
      </c>
    </row>
    <row r="60" spans="91:91" x14ac:dyDescent="0.25">
      <c r="CM60">
        <v>0</v>
      </c>
    </row>
    <row r="61" spans="91:91" x14ac:dyDescent="0.25">
      <c r="CM61">
        <v>0</v>
      </c>
    </row>
    <row r="62" spans="91:91" x14ac:dyDescent="0.25">
      <c r="CM62">
        <v>0</v>
      </c>
    </row>
    <row r="63" spans="91:91" x14ac:dyDescent="0.25">
      <c r="CM63">
        <v>0</v>
      </c>
    </row>
    <row r="64" spans="91:91" x14ac:dyDescent="0.25">
      <c r="CM64">
        <v>0</v>
      </c>
    </row>
    <row r="65" spans="1:93" x14ac:dyDescent="0.25">
      <c r="CM65">
        <v>0</v>
      </c>
    </row>
    <row r="66" spans="1:93" x14ac:dyDescent="0.25">
      <c r="CM66">
        <v>0</v>
      </c>
    </row>
    <row r="67" spans="1:93" x14ac:dyDescent="0.25">
      <c r="CM67">
        <v>0</v>
      </c>
    </row>
    <row r="68" spans="1:93" x14ac:dyDescent="0.25">
      <c r="CM68">
        <v>0</v>
      </c>
    </row>
    <row r="69" spans="1:93" x14ac:dyDescent="0.25">
      <c r="CM69">
        <v>0</v>
      </c>
    </row>
    <row r="70" spans="1:93" x14ac:dyDescent="0.25">
      <c r="CM70">
        <v>0</v>
      </c>
    </row>
    <row r="71" spans="1:93" x14ac:dyDescent="0.25">
      <c r="CM71">
        <v>0</v>
      </c>
    </row>
    <row r="80" spans="1:93" x14ac:dyDescent="0.25">
      <c r="A80" t="s">
        <v>2554</v>
      </c>
      <c r="CK80" t="e">
        <f>AVERAGE(CK2:CK78)</f>
        <v>#DIV/0!</v>
      </c>
      <c r="CM80">
        <f>AVERAGE(CM7:CM71)</f>
        <v>0</v>
      </c>
      <c r="CN80" t="e">
        <f>CK80/CM80</f>
        <v>#DIV/0!</v>
      </c>
      <c r="CO80" t="e">
        <f>AVERAGE(CO2:CO78)</f>
        <v>#DIV/0!</v>
      </c>
    </row>
    <row r="81" spans="1:93" x14ac:dyDescent="0.25">
      <c r="A81" t="s">
        <v>2546</v>
      </c>
      <c r="CK81">
        <f>COUNT(CK2:CK78)</f>
        <v>0</v>
      </c>
      <c r="CM81">
        <f>COUNT(CM7:CM71)</f>
        <v>25</v>
      </c>
      <c r="CO81">
        <f>COUNT(CO2:CO78)</f>
        <v>0</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E10" sqref="E10"/>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2">
    <mergeCell ref="E4:F4"/>
    <mergeCell ref="G4:G5"/>
  </mergeCells>
  <dataValidations count="3">
    <dataValidation type="list" allowBlank="1" showInputMessage="1" showErrorMessage="1" sqref="B2">
      <formula1>Scope</formula1>
    </dataValidation>
    <dataValidation type="list" allowBlank="1" showInputMessage="1" showErrorMessage="1" sqref="C4:C11 B4:B11">
      <formula1>DataSource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J2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7.7109375" style="267" bestFit="1" customWidth="1"/>
    <col min="5" max="5" width="10.42578125" bestFit="1" customWidth="1"/>
    <col min="6" max="6" width="14" customWidth="1"/>
    <col min="7" max="7" width="8.5703125" bestFit="1" customWidth="1"/>
    <col min="8" max="8" width="8" bestFit="1" customWidth="1"/>
    <col min="9" max="9" width="8.7109375" bestFit="1" customWidth="1"/>
    <col min="10" max="10" width="10.140625" bestFit="1" customWidth="1"/>
  </cols>
  <sheetData>
    <row r="1" spans="1:10" ht="21.75" customHeight="1" x14ac:dyDescent="0.25">
      <c r="A1" s="3" t="s">
        <v>26</v>
      </c>
      <c r="B1" s="56" t="s">
        <v>2648</v>
      </c>
      <c r="C1" s="535" t="s">
        <v>3058</v>
      </c>
      <c r="D1" s="591" t="str">
        <f>B1</f>
        <v>Levels of Exposure to EUC Marketing, Overall and by County (General Population)</v>
      </c>
    </row>
    <row r="2" spans="1:10" x14ac:dyDescent="0.25">
      <c r="A2" t="s">
        <v>20</v>
      </c>
      <c r="B2" s="321" t="s">
        <v>58</v>
      </c>
      <c r="C2" s="536" t="s">
        <v>3059</v>
      </c>
    </row>
    <row r="3" spans="1:10" x14ac:dyDescent="0.25">
      <c r="A3" t="s">
        <v>1184</v>
      </c>
      <c r="B3" s="321" t="s">
        <v>3144</v>
      </c>
      <c r="C3" s="536" t="s">
        <v>1193</v>
      </c>
    </row>
    <row r="4" spans="1:10" ht="30" x14ac:dyDescent="0.25">
      <c r="A4" t="s">
        <v>3136</v>
      </c>
      <c r="B4" s="321" t="s">
        <v>2649</v>
      </c>
      <c r="C4" s="321"/>
      <c r="D4" s="366"/>
      <c r="E4" s="767" t="s">
        <v>2650</v>
      </c>
      <c r="F4" s="768"/>
      <c r="G4" s="768"/>
      <c r="H4" s="768"/>
      <c r="I4" s="768"/>
      <c r="J4" s="769"/>
    </row>
    <row r="5" spans="1:10" ht="42.75" x14ac:dyDescent="0.25">
      <c r="D5" s="367"/>
      <c r="E5" s="368" t="s">
        <v>2651</v>
      </c>
      <c r="F5" s="368" t="s">
        <v>2652</v>
      </c>
      <c r="G5" s="368" t="s">
        <v>2653</v>
      </c>
      <c r="H5" s="368" t="s">
        <v>2654</v>
      </c>
      <c r="I5" s="368" t="s">
        <v>2655</v>
      </c>
      <c r="J5" s="369" t="s">
        <v>2656</v>
      </c>
    </row>
    <row r="6" spans="1:10" ht="30" x14ac:dyDescent="0.25">
      <c r="D6" s="370" t="s">
        <v>2657</v>
      </c>
      <c r="E6" s="371">
        <v>0.28999999999999998</v>
      </c>
      <c r="F6" s="371">
        <v>0.36199999999999999</v>
      </c>
      <c r="G6" s="371">
        <v>0.17</v>
      </c>
      <c r="H6" s="371">
        <v>0.33300000000000002</v>
      </c>
      <c r="I6" s="371">
        <v>0.31</v>
      </c>
      <c r="J6" s="372">
        <v>0.24</v>
      </c>
    </row>
    <row r="7" spans="1:10" x14ac:dyDescent="0.25">
      <c r="B7" s="2"/>
      <c r="C7" s="2"/>
      <c r="D7" s="373" t="s">
        <v>2658</v>
      </c>
      <c r="E7" s="374">
        <v>0.24</v>
      </c>
      <c r="F7" s="375">
        <f>20/58</f>
        <v>0.34482758620689657</v>
      </c>
      <c r="G7" s="375">
        <f>2/6</f>
        <v>0.33333333333333331</v>
      </c>
      <c r="H7" s="375">
        <f>1/3</f>
        <v>0.33333333333333331</v>
      </c>
      <c r="I7" s="375">
        <f>15/64</f>
        <v>0.234375</v>
      </c>
      <c r="J7" s="376">
        <f>18/104</f>
        <v>0.17307692307692307</v>
      </c>
    </row>
    <row r="8" spans="1:10" x14ac:dyDescent="0.25">
      <c r="D8" s="373" t="s">
        <v>2659</v>
      </c>
      <c r="E8" s="374">
        <v>0.12</v>
      </c>
      <c r="F8" s="375">
        <f>5/58</f>
        <v>8.6206896551724144E-2</v>
      </c>
      <c r="G8" s="375">
        <f>1/6</f>
        <v>0.16666666666666666</v>
      </c>
      <c r="H8" s="375">
        <f>1/3</f>
        <v>0.33333333333333331</v>
      </c>
      <c r="I8" s="375">
        <f>9/64</f>
        <v>0.140625</v>
      </c>
      <c r="J8" s="376">
        <f>13/104</f>
        <v>0.125</v>
      </c>
    </row>
    <row r="9" spans="1:10" x14ac:dyDescent="0.25">
      <c r="D9" s="373" t="s">
        <v>2660</v>
      </c>
      <c r="E9" s="374">
        <v>0.12</v>
      </c>
      <c r="F9" s="375">
        <f>8/58</f>
        <v>0.13793103448275862</v>
      </c>
      <c r="G9" s="375">
        <v>0</v>
      </c>
      <c r="H9" s="375">
        <f>1/3</f>
        <v>0.33333333333333331</v>
      </c>
      <c r="I9" s="375">
        <f>9/64</f>
        <v>0.140625</v>
      </c>
      <c r="J9" s="376">
        <f>11/104</f>
        <v>0.10576923076923077</v>
      </c>
    </row>
    <row r="10" spans="1:10" x14ac:dyDescent="0.25">
      <c r="D10" s="373" t="s">
        <v>2661</v>
      </c>
      <c r="E10" s="375">
        <v>0.11</v>
      </c>
      <c r="F10" s="375">
        <f>11/58</f>
        <v>0.18965517241379309</v>
      </c>
      <c r="G10" s="375">
        <v>0</v>
      </c>
      <c r="H10" s="375">
        <v>0</v>
      </c>
      <c r="I10" s="375">
        <f>7/64</f>
        <v>0.109375</v>
      </c>
      <c r="J10" s="376">
        <f>7/104</f>
        <v>6.7307692307692304E-2</v>
      </c>
    </row>
    <row r="11" spans="1:10" x14ac:dyDescent="0.25">
      <c r="D11" s="373" t="s">
        <v>2662</v>
      </c>
      <c r="E11" s="375">
        <v>0.1</v>
      </c>
      <c r="F11" s="375">
        <f>9/58</f>
        <v>0.15517241379310345</v>
      </c>
      <c r="G11" s="375">
        <f>1/6</f>
        <v>0.16666666666666666</v>
      </c>
      <c r="H11" s="375">
        <v>0</v>
      </c>
      <c r="I11" s="375">
        <f>6/64</f>
        <v>9.375E-2</v>
      </c>
      <c r="J11" s="376">
        <f>8/104</f>
        <v>7.6923076923076927E-2</v>
      </c>
    </row>
    <row r="12" spans="1:10" x14ac:dyDescent="0.25">
      <c r="D12" s="373" t="s">
        <v>2663</v>
      </c>
      <c r="E12" s="375">
        <v>0.09</v>
      </c>
      <c r="F12" s="375">
        <f>7/58</f>
        <v>0.1206896551724138</v>
      </c>
      <c r="G12" s="375">
        <v>0</v>
      </c>
      <c r="H12" s="375">
        <v>0</v>
      </c>
      <c r="I12" s="375">
        <f>5/64</f>
        <v>7.8125E-2</v>
      </c>
      <c r="J12" s="376">
        <f>9/104</f>
        <v>8.6538461538461536E-2</v>
      </c>
    </row>
    <row r="13" spans="1:10" x14ac:dyDescent="0.25">
      <c r="D13" s="373" t="s">
        <v>2664</v>
      </c>
      <c r="E13" s="375">
        <v>7.0000000000000007E-2</v>
      </c>
      <c r="F13" s="375">
        <f>4/58</f>
        <v>6.8965517241379309E-2</v>
      </c>
      <c r="G13" s="375">
        <v>0</v>
      </c>
      <c r="H13" s="375">
        <v>0</v>
      </c>
      <c r="I13" s="375">
        <f>7/64</f>
        <v>0.109375</v>
      </c>
      <c r="J13" s="376">
        <f>5/104</f>
        <v>4.807692307692308E-2</v>
      </c>
    </row>
    <row r="14" spans="1:10" x14ac:dyDescent="0.25">
      <c r="D14" s="373" t="s">
        <v>2665</v>
      </c>
      <c r="E14" s="375">
        <f>0.0595744680851064</f>
        <v>5.95744680851064E-2</v>
      </c>
      <c r="F14" s="375">
        <f>4/58</f>
        <v>6.8965517241379309E-2</v>
      </c>
      <c r="G14" s="375">
        <v>0</v>
      </c>
      <c r="H14" s="375">
        <v>0</v>
      </c>
      <c r="I14" s="375">
        <f>5/64</f>
        <v>7.8125E-2</v>
      </c>
      <c r="J14" s="376">
        <f>5/104</f>
        <v>4.807692307692308E-2</v>
      </c>
    </row>
    <row r="15" spans="1:10" ht="30" x14ac:dyDescent="0.25">
      <c r="D15" s="373" t="s">
        <v>2666</v>
      </c>
      <c r="E15" s="375" t="s">
        <v>2331</v>
      </c>
      <c r="F15" s="375" t="s">
        <v>2331</v>
      </c>
      <c r="G15" s="375" t="s">
        <v>2331</v>
      </c>
      <c r="H15" s="375" t="s">
        <v>2331</v>
      </c>
      <c r="I15" s="375">
        <f>3/64</f>
        <v>4.6875E-2</v>
      </c>
      <c r="J15" s="376" t="s">
        <v>2331</v>
      </c>
    </row>
    <row r="16" spans="1:10" ht="30" x14ac:dyDescent="0.25">
      <c r="D16" s="373" t="s">
        <v>2667</v>
      </c>
      <c r="E16" s="375" t="s">
        <v>2331</v>
      </c>
      <c r="F16" s="375">
        <f>2/58</f>
        <v>3.4482758620689655E-2</v>
      </c>
      <c r="G16" s="375" t="s">
        <v>2331</v>
      </c>
      <c r="H16" s="375" t="s">
        <v>2331</v>
      </c>
      <c r="I16" s="375" t="s">
        <v>2331</v>
      </c>
      <c r="J16" s="376" t="s">
        <v>2331</v>
      </c>
    </row>
    <row r="17" spans="4:10" ht="30" x14ac:dyDescent="0.25">
      <c r="D17" s="373" t="s">
        <v>2668</v>
      </c>
      <c r="E17" s="375">
        <v>0.06</v>
      </c>
      <c r="F17" s="375">
        <f>4/58</f>
        <v>6.8965517241379309E-2</v>
      </c>
      <c r="G17" s="375">
        <f>1/6</f>
        <v>0.16666666666666666</v>
      </c>
      <c r="H17" s="375">
        <v>0</v>
      </c>
      <c r="I17" s="375">
        <f>3/64</f>
        <v>4.6875E-2</v>
      </c>
      <c r="J17" s="376">
        <f>7/104</f>
        <v>6.7307692307692304E-2</v>
      </c>
    </row>
    <row r="18" spans="4:10" x14ac:dyDescent="0.25">
      <c r="D18" s="373" t="s">
        <v>2669</v>
      </c>
      <c r="E18" s="375">
        <v>0.05</v>
      </c>
      <c r="F18" s="375">
        <f>4/58</f>
        <v>6.8965517241379309E-2</v>
      </c>
      <c r="G18" s="375">
        <v>0</v>
      </c>
      <c r="H18" s="375">
        <v>0</v>
      </c>
      <c r="I18" s="375">
        <f>3/64</f>
        <v>4.6875E-2</v>
      </c>
      <c r="J18" s="376">
        <f>5/104</f>
        <v>4.807692307692308E-2</v>
      </c>
    </row>
    <row r="19" spans="4:10" x14ac:dyDescent="0.25">
      <c r="D19" s="373" t="s">
        <v>2670</v>
      </c>
      <c r="E19" s="375">
        <v>0.04</v>
      </c>
      <c r="F19" s="375">
        <f>4/58</f>
        <v>6.8965517241379309E-2</v>
      </c>
      <c r="G19" s="375">
        <v>0</v>
      </c>
      <c r="H19" s="375">
        <v>0</v>
      </c>
      <c r="I19" s="375">
        <f>2/64</f>
        <v>3.125E-2</v>
      </c>
      <c r="J19" s="376">
        <f>3/104</f>
        <v>2.8846153846153848E-2</v>
      </c>
    </row>
    <row r="20" spans="4:10" x14ac:dyDescent="0.25">
      <c r="D20" s="377" t="s">
        <v>2671</v>
      </c>
      <c r="E20" s="378">
        <v>0.03</v>
      </c>
      <c r="F20" s="378">
        <v>0</v>
      </c>
      <c r="G20" s="378">
        <v>0</v>
      </c>
      <c r="H20" s="378">
        <v>0</v>
      </c>
      <c r="I20" s="378">
        <f>4/64</f>
        <v>6.25E-2</v>
      </c>
      <c r="J20" s="379">
        <f>2/104</f>
        <v>1.9230769230769232E-2</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1">
    <mergeCell ref="E4:J4"/>
  </mergeCells>
  <dataValidations count="3">
    <dataValidation type="list" allowBlank="1" showInputMessage="1" showErrorMessage="1" sqref="B2">
      <formula1>Scope</formula1>
    </dataValidation>
    <dataValidation type="list" allowBlank="1" showInputMessage="1" showErrorMessage="1" sqref="B4:C4">
      <formula1>DataSource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E15"/>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37.7109375" style="267" customWidth="1"/>
    <col min="5" max="5" width="15.42578125" bestFit="1" customWidth="1"/>
    <col min="6" max="6" width="14" customWidth="1"/>
  </cols>
  <sheetData>
    <row r="1" spans="1:5" ht="18.75" customHeight="1" x14ac:dyDescent="0.25">
      <c r="A1" s="3" t="s">
        <v>26</v>
      </c>
      <c r="B1" s="56" t="s">
        <v>2672</v>
      </c>
      <c r="C1" s="535" t="s">
        <v>3058</v>
      </c>
      <c r="D1" s="591" t="str">
        <f>B1</f>
        <v>Where Workshop Participants Heard About Workshops</v>
      </c>
    </row>
    <row r="2" spans="1:5" x14ac:dyDescent="0.25">
      <c r="A2" t="s">
        <v>20</v>
      </c>
      <c r="B2" s="321" t="s">
        <v>58</v>
      </c>
      <c r="C2" s="536" t="s">
        <v>3059</v>
      </c>
    </row>
    <row r="3" spans="1:5" x14ac:dyDescent="0.25">
      <c r="A3" t="s">
        <v>1184</v>
      </c>
      <c r="B3" s="321" t="s">
        <v>3144</v>
      </c>
      <c r="C3" s="536" t="s">
        <v>1193</v>
      </c>
    </row>
    <row r="4" spans="1:5" ht="42.75" x14ac:dyDescent="0.25">
      <c r="A4" t="s">
        <v>3136</v>
      </c>
      <c r="B4" s="321" t="s">
        <v>2673</v>
      </c>
      <c r="D4" s="380"/>
      <c r="E4" s="380" t="s">
        <v>2674</v>
      </c>
    </row>
    <row r="5" spans="1:5" x14ac:dyDescent="0.25">
      <c r="B5" s="2"/>
      <c r="C5" s="2"/>
      <c r="D5" s="381" t="s">
        <v>2675</v>
      </c>
      <c r="E5" s="371">
        <v>0.22</v>
      </c>
    </row>
    <row r="6" spans="1:5" ht="30" x14ac:dyDescent="0.25">
      <c r="D6" s="382" t="s">
        <v>2676</v>
      </c>
      <c r="E6" s="374">
        <v>0.17</v>
      </c>
    </row>
    <row r="7" spans="1:5" x14ac:dyDescent="0.25">
      <c r="D7" s="382" t="s">
        <v>2677</v>
      </c>
      <c r="E7" s="374">
        <v>0.16</v>
      </c>
    </row>
    <row r="8" spans="1:5" x14ac:dyDescent="0.25">
      <c r="D8" s="382" t="s">
        <v>2678</v>
      </c>
      <c r="E8" s="374">
        <v>0.11</v>
      </c>
    </row>
    <row r="9" spans="1:5" x14ac:dyDescent="0.25">
      <c r="D9" s="382" t="s">
        <v>2679</v>
      </c>
      <c r="E9" s="375">
        <v>0.1</v>
      </c>
    </row>
    <row r="10" spans="1:5" x14ac:dyDescent="0.25">
      <c r="D10" s="382" t="s">
        <v>2680</v>
      </c>
      <c r="E10" s="375">
        <v>0.09</v>
      </c>
    </row>
    <row r="11" spans="1:5" x14ac:dyDescent="0.25">
      <c r="D11" s="382" t="s">
        <v>2681</v>
      </c>
      <c r="E11" s="375">
        <v>0.05</v>
      </c>
    </row>
    <row r="12" spans="1:5" x14ac:dyDescent="0.25">
      <c r="D12" s="382" t="s">
        <v>2682</v>
      </c>
      <c r="E12" s="375">
        <v>0.04</v>
      </c>
    </row>
    <row r="13" spans="1:5" x14ac:dyDescent="0.25">
      <c r="D13" s="382" t="s">
        <v>2683</v>
      </c>
      <c r="E13" s="375">
        <v>0.01</v>
      </c>
    </row>
    <row r="14" spans="1:5" x14ac:dyDescent="0.25">
      <c r="D14" s="382" t="s">
        <v>2684</v>
      </c>
      <c r="E14" s="375">
        <v>0.01</v>
      </c>
    </row>
    <row r="15" spans="1:5" x14ac:dyDescent="0.25">
      <c r="D15" s="383" t="s">
        <v>2685</v>
      </c>
      <c r="E15" s="384">
        <v>0.04</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F7"/>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6.85546875" style="267" bestFit="1" customWidth="1"/>
    <col min="5" max="5" width="15.42578125" bestFit="1" customWidth="1"/>
    <col min="6" max="6" width="14" customWidth="1"/>
  </cols>
  <sheetData>
    <row r="1" spans="1:6" ht="19.5" customHeight="1" x14ac:dyDescent="0.25">
      <c r="A1" s="3" t="s">
        <v>26</v>
      </c>
      <c r="B1" s="56" t="s">
        <v>2686</v>
      </c>
      <c r="C1" s="535" t="s">
        <v>3058</v>
      </c>
      <c r="D1" s="591" t="str">
        <f>B1</f>
        <v xml:space="preserve">Conversion from Workshop to EUC Program Participation </v>
      </c>
    </row>
    <row r="2" spans="1:6" x14ac:dyDescent="0.25">
      <c r="A2" t="s">
        <v>20</v>
      </c>
      <c r="B2" s="321" t="s">
        <v>58</v>
      </c>
      <c r="C2" s="536" t="s">
        <v>3059</v>
      </c>
    </row>
    <row r="3" spans="1:6" x14ac:dyDescent="0.25">
      <c r="A3" t="s">
        <v>1184</v>
      </c>
      <c r="B3" s="321" t="s">
        <v>3144</v>
      </c>
      <c r="C3" s="536" t="s">
        <v>1193</v>
      </c>
    </row>
    <row r="4" spans="1:6" ht="71.25" x14ac:dyDescent="0.25">
      <c r="A4" t="s">
        <v>3136</v>
      </c>
      <c r="B4" s="321" t="s">
        <v>2673</v>
      </c>
      <c r="D4" s="380"/>
      <c r="E4" s="380" t="s">
        <v>2674</v>
      </c>
      <c r="F4" s="380" t="s">
        <v>2687</v>
      </c>
    </row>
    <row r="5" spans="1:6" x14ac:dyDescent="0.25">
      <c r="B5" s="2"/>
      <c r="C5" s="2"/>
      <c r="D5" s="385" t="s">
        <v>2688</v>
      </c>
      <c r="E5" s="386">
        <f>25/81</f>
        <v>0.30864197530864196</v>
      </c>
      <c r="F5" s="387">
        <v>8.1</v>
      </c>
    </row>
    <row r="6" spans="1:6" x14ac:dyDescent="0.25">
      <c r="D6" s="382" t="s">
        <v>2689</v>
      </c>
      <c r="E6" s="375">
        <f>24/81</f>
        <v>0.29629629629629628</v>
      </c>
      <c r="F6" s="388" t="s">
        <v>2331</v>
      </c>
    </row>
    <row r="7" spans="1:6" ht="30" x14ac:dyDescent="0.25">
      <c r="D7" s="383" t="s">
        <v>2690</v>
      </c>
      <c r="E7" s="384">
        <f>14/81</f>
        <v>0.1728395061728395</v>
      </c>
      <c r="F7" s="389" t="s">
        <v>2331</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3">
    <dataValidation type="list" allowBlank="1" showInputMessage="1" showErrorMessage="1" sqref="B2">
      <formula1>Scope</formula1>
    </dataValidation>
    <dataValidation type="list" allowBlank="1" showInputMessage="1" showErrorMessage="1" sqref="B4">
      <formula1>DataSource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E12"/>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7.28515625" style="267" bestFit="1" customWidth="1"/>
    <col min="5" max="5" width="17.140625" bestFit="1" customWidth="1"/>
    <col min="6" max="6" width="14" customWidth="1"/>
  </cols>
  <sheetData>
    <row r="1" spans="1:5" ht="21" customHeight="1" x14ac:dyDescent="0.25">
      <c r="A1" s="3" t="s">
        <v>26</v>
      </c>
      <c r="B1" s="56" t="s">
        <v>2691</v>
      </c>
      <c r="C1" s="535" t="s">
        <v>3058</v>
      </c>
      <c r="D1" s="591" t="str">
        <f>B1</f>
        <v>Workshop Attendee's Barrier to EUC Participation</v>
      </c>
    </row>
    <row r="2" spans="1:5" x14ac:dyDescent="0.25">
      <c r="A2" t="s">
        <v>20</v>
      </c>
      <c r="B2" s="321" t="s">
        <v>58</v>
      </c>
      <c r="C2" s="536" t="s">
        <v>3059</v>
      </c>
    </row>
    <row r="3" spans="1:5" x14ac:dyDescent="0.25">
      <c r="A3" t="s">
        <v>1184</v>
      </c>
      <c r="B3" s="321" t="s">
        <v>3144</v>
      </c>
      <c r="C3" s="536" t="s">
        <v>1193</v>
      </c>
    </row>
    <row r="4" spans="1:5" ht="71.25" x14ac:dyDescent="0.25">
      <c r="A4" t="s">
        <v>3136</v>
      </c>
      <c r="B4" s="321" t="s">
        <v>2673</v>
      </c>
      <c r="D4" s="380"/>
      <c r="E4" s="380" t="s">
        <v>2692</v>
      </c>
    </row>
    <row r="5" spans="1:5" x14ac:dyDescent="0.25">
      <c r="D5" s="381" t="s">
        <v>2693</v>
      </c>
      <c r="E5" s="390">
        <v>0.34</v>
      </c>
    </row>
    <row r="6" spans="1:5" x14ac:dyDescent="0.25">
      <c r="D6" s="382" t="s">
        <v>2694</v>
      </c>
      <c r="E6" s="391">
        <v>0.25</v>
      </c>
    </row>
    <row r="7" spans="1:5" x14ac:dyDescent="0.25">
      <c r="D7" s="382" t="s">
        <v>2695</v>
      </c>
      <c r="E7" s="391">
        <v>0.2</v>
      </c>
    </row>
    <row r="8" spans="1:5" x14ac:dyDescent="0.25">
      <c r="D8" s="382" t="s">
        <v>2696</v>
      </c>
      <c r="E8" s="375">
        <v>0.14000000000000001</v>
      </c>
    </row>
    <row r="9" spans="1:5" ht="30" x14ac:dyDescent="0.25">
      <c r="D9" s="382" t="s">
        <v>2697</v>
      </c>
      <c r="E9" s="375">
        <v>0.11</v>
      </c>
    </row>
    <row r="10" spans="1:5" x14ac:dyDescent="0.25">
      <c r="D10" s="382" t="s">
        <v>2698</v>
      </c>
      <c r="E10" s="391">
        <v>0.09</v>
      </c>
    </row>
    <row r="11" spans="1:5" x14ac:dyDescent="0.25">
      <c r="B11" s="2"/>
      <c r="C11" s="2"/>
      <c r="D11" s="382" t="s">
        <v>2699</v>
      </c>
      <c r="E11" s="375">
        <v>0.04</v>
      </c>
    </row>
    <row r="12" spans="1:5" x14ac:dyDescent="0.25">
      <c r="D12" s="383" t="s">
        <v>62</v>
      </c>
      <c r="E12" s="384">
        <v>0.05</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3">
    <dataValidation type="list" allowBlank="1" showInputMessage="1" showErrorMessage="1" sqref="B4">
      <formula1>DataSource</formula1>
    </dataValidation>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F32"/>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0.85546875" style="267" customWidth="1"/>
    <col min="5" max="5" width="25" style="267" customWidth="1"/>
    <col min="6" max="6" width="23.85546875" customWidth="1"/>
  </cols>
  <sheetData>
    <row r="1" spans="1:6" ht="21" customHeight="1" x14ac:dyDescent="0.25">
      <c r="A1" s="3" t="s">
        <v>26</v>
      </c>
      <c r="B1" s="56" t="s">
        <v>2700</v>
      </c>
      <c r="C1" s="535" t="s">
        <v>3058</v>
      </c>
      <c r="D1" s="591" t="str">
        <f>B1</f>
        <v>Top Motivating Marketing Messages for Participation (General Pop)</v>
      </c>
    </row>
    <row r="2" spans="1:6" x14ac:dyDescent="0.25">
      <c r="A2" t="s">
        <v>20</v>
      </c>
      <c r="B2" s="321" t="s">
        <v>58</v>
      </c>
      <c r="C2" s="536" t="s">
        <v>3059</v>
      </c>
    </row>
    <row r="3" spans="1:6" ht="15.75" thickBot="1" x14ac:dyDescent="0.3">
      <c r="A3" t="s">
        <v>1184</v>
      </c>
      <c r="B3" s="321" t="s">
        <v>3144</v>
      </c>
      <c r="C3" s="536" t="s">
        <v>1193</v>
      </c>
    </row>
    <row r="4" spans="1:6" ht="15" customHeight="1" x14ac:dyDescent="0.25">
      <c r="A4" t="s">
        <v>3136</v>
      </c>
      <c r="B4" s="321" t="s">
        <v>2649</v>
      </c>
      <c r="C4" s="2"/>
      <c r="D4" s="777"/>
      <c r="E4" s="780" t="s">
        <v>3145</v>
      </c>
      <c r="F4" s="782" t="s">
        <v>2701</v>
      </c>
    </row>
    <row r="5" spans="1:6" ht="51.75" customHeight="1" x14ac:dyDescent="0.25">
      <c r="D5" s="778"/>
      <c r="E5" s="781"/>
      <c r="F5" s="783"/>
    </row>
    <row r="6" spans="1:6" ht="15.75" customHeight="1" x14ac:dyDescent="0.25">
      <c r="D6" s="778"/>
      <c r="E6" s="784" t="s">
        <v>2702</v>
      </c>
      <c r="F6" s="786">
        <v>0.37</v>
      </c>
    </row>
    <row r="7" spans="1:6" ht="15.75" customHeight="1" x14ac:dyDescent="0.25">
      <c r="D7" s="778"/>
      <c r="E7" s="785"/>
      <c r="F7" s="787"/>
    </row>
    <row r="8" spans="1:6" ht="15.75" customHeight="1" x14ac:dyDescent="0.25">
      <c r="D8" s="778"/>
      <c r="E8" s="785"/>
      <c r="F8" s="787"/>
    </row>
    <row r="9" spans="1:6" ht="15.75" customHeight="1" x14ac:dyDescent="0.25">
      <c r="D9" s="778"/>
      <c r="E9" s="785"/>
      <c r="F9" s="787"/>
    </row>
    <row r="10" spans="1:6" ht="15.75" customHeight="1" x14ac:dyDescent="0.25">
      <c r="D10" s="778"/>
      <c r="E10" s="785"/>
      <c r="F10" s="787"/>
    </row>
    <row r="11" spans="1:6" x14ac:dyDescent="0.25">
      <c r="D11" s="778"/>
      <c r="E11" s="785"/>
      <c r="F11" s="787"/>
    </row>
    <row r="12" spans="1:6" ht="15.75" customHeight="1" x14ac:dyDescent="0.25">
      <c r="D12" s="778"/>
      <c r="E12" s="785" t="s">
        <v>2703</v>
      </c>
      <c r="F12" s="787">
        <v>0.49</v>
      </c>
    </row>
    <row r="13" spans="1:6" ht="15.75" customHeight="1" x14ac:dyDescent="0.25">
      <c r="D13" s="778"/>
      <c r="E13" s="785"/>
      <c r="F13" s="787"/>
    </row>
    <row r="14" spans="1:6" ht="15.75" customHeight="1" x14ac:dyDescent="0.25">
      <c r="D14" s="778"/>
      <c r="E14" s="785"/>
      <c r="F14" s="787"/>
    </row>
    <row r="15" spans="1:6" ht="15.75" customHeight="1" x14ac:dyDescent="0.25">
      <c r="D15" s="778"/>
      <c r="E15" s="785"/>
      <c r="F15" s="787"/>
    </row>
    <row r="16" spans="1:6" ht="15.75" customHeight="1" x14ac:dyDescent="0.25">
      <c r="D16" s="778"/>
      <c r="E16" s="785" t="s">
        <v>2704</v>
      </c>
      <c r="F16" s="770">
        <v>0.06</v>
      </c>
    </row>
    <row r="17" spans="4:6" ht="15.75" customHeight="1" x14ac:dyDescent="0.25">
      <c r="D17" s="778"/>
      <c r="E17" s="785"/>
      <c r="F17" s="770"/>
    </row>
    <row r="18" spans="4:6" ht="15.75" customHeight="1" x14ac:dyDescent="0.25">
      <c r="D18" s="778"/>
      <c r="E18" s="785"/>
      <c r="F18" s="770"/>
    </row>
    <row r="19" spans="4:6" ht="15.75" customHeight="1" x14ac:dyDescent="0.25">
      <c r="D19" s="778"/>
      <c r="E19" s="785"/>
      <c r="F19" s="770"/>
    </row>
    <row r="20" spans="4:6" ht="15.75" customHeight="1" x14ac:dyDescent="0.25">
      <c r="D20" s="778"/>
      <c r="E20" s="785" t="s">
        <v>2705</v>
      </c>
      <c r="F20" s="770">
        <v>0.01</v>
      </c>
    </row>
    <row r="21" spans="4:6" ht="15.75" customHeight="1" x14ac:dyDescent="0.25">
      <c r="D21" s="778"/>
      <c r="E21" s="785"/>
      <c r="F21" s="770"/>
    </row>
    <row r="22" spans="4:6" ht="15.75" customHeight="1" x14ac:dyDescent="0.25">
      <c r="D22" s="778"/>
      <c r="E22" s="785"/>
      <c r="F22" s="770"/>
    </row>
    <row r="23" spans="4:6" ht="15.75" customHeight="1" x14ac:dyDescent="0.25">
      <c r="D23" s="778"/>
      <c r="E23" s="785"/>
      <c r="F23" s="770"/>
    </row>
    <row r="24" spans="4:6" ht="15.75" customHeight="1" x14ac:dyDescent="0.25">
      <c r="D24" s="778"/>
      <c r="E24" s="785"/>
      <c r="F24" s="770"/>
    </row>
    <row r="25" spans="4:6" ht="15.75" customHeight="1" x14ac:dyDescent="0.25">
      <c r="D25" s="778"/>
      <c r="E25" s="785"/>
      <c r="F25" s="770"/>
    </row>
    <row r="26" spans="4:6" ht="15.75" customHeight="1" x14ac:dyDescent="0.25">
      <c r="D26" s="778"/>
      <c r="E26" s="771" t="s">
        <v>2706</v>
      </c>
      <c r="F26" s="774">
        <v>7.0000000000000007E-2</v>
      </c>
    </row>
    <row r="27" spans="4:6" ht="15" customHeight="1" x14ac:dyDescent="0.25">
      <c r="D27" s="778"/>
      <c r="E27" s="772"/>
      <c r="F27" s="775"/>
    </row>
    <row r="28" spans="4:6" ht="15" customHeight="1" x14ac:dyDescent="0.25">
      <c r="D28" s="778"/>
      <c r="E28" s="772"/>
      <c r="F28" s="775"/>
    </row>
    <row r="29" spans="4:6" ht="15" customHeight="1" x14ac:dyDescent="0.25">
      <c r="D29" s="778"/>
      <c r="E29" s="772"/>
      <c r="F29" s="775"/>
    </row>
    <row r="30" spans="4:6" ht="15" customHeight="1" x14ac:dyDescent="0.25">
      <c r="D30" s="778"/>
      <c r="E30" s="772"/>
      <c r="F30" s="775"/>
    </row>
    <row r="31" spans="4:6" ht="15" customHeight="1" x14ac:dyDescent="0.25">
      <c r="D31" s="778"/>
      <c r="E31" s="772"/>
      <c r="F31" s="775"/>
    </row>
    <row r="32" spans="4:6" ht="20.25" customHeight="1" thickBot="1" x14ac:dyDescent="0.3">
      <c r="D32" s="779"/>
      <c r="E32" s="773"/>
      <c r="F32" s="776"/>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I13" sqref="I13"/>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13">
    <mergeCell ref="F20:F25"/>
    <mergeCell ref="E26:E32"/>
    <mergeCell ref="F26:F32"/>
    <mergeCell ref="D4:D32"/>
    <mergeCell ref="E4:E5"/>
    <mergeCell ref="F4:F5"/>
    <mergeCell ref="E6:E11"/>
    <mergeCell ref="F6:F11"/>
    <mergeCell ref="E12:E15"/>
    <mergeCell ref="F12:F15"/>
    <mergeCell ref="E16:E19"/>
    <mergeCell ref="F16:F19"/>
    <mergeCell ref="E20:E25"/>
  </mergeCells>
  <dataValidations count="3">
    <dataValidation type="list" allowBlank="1" showInputMessage="1" showErrorMessage="1" sqref="B4">
      <formula1>DataSource</formula1>
    </dataValidation>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Q33"/>
  <sheetViews>
    <sheetView topLeftCell="C1" zoomScaleNormal="100" workbookViewId="0">
      <selection activeCell="C3" sqref="C3"/>
    </sheetView>
  </sheetViews>
  <sheetFormatPr defaultRowHeight="15" x14ac:dyDescent="0.25"/>
  <cols>
    <col min="1" max="1" width="11.5703125" style="3" hidden="1" customWidth="1"/>
    <col min="2" max="2" width="57.28515625" style="3" hidden="1" customWidth="1"/>
    <col min="3" max="3" width="20.85546875" style="3" customWidth="1"/>
    <col min="4" max="5" width="9.140625" style="3"/>
    <col min="6" max="6" width="14" style="3" customWidth="1"/>
    <col min="7" max="15" width="9.140625" style="3"/>
    <col min="16" max="16" width="3.28515625" style="47" customWidth="1"/>
    <col min="17" max="17" width="9.140625" style="3"/>
  </cols>
  <sheetData>
    <row r="1" spans="1:17" ht="21.75" customHeight="1" x14ac:dyDescent="0.25">
      <c r="A1" s="3" t="s">
        <v>26</v>
      </c>
      <c r="B1" s="4" t="s">
        <v>3316</v>
      </c>
      <c r="C1" s="535" t="s">
        <v>3058</v>
      </c>
      <c r="D1" s="37" t="str">
        <f>B1</f>
        <v>Percent Difference Between Modeled Annual Energy Use and Billed Use for SCE/SCG and PG&amp;E Advanced jobs</v>
      </c>
    </row>
    <row r="2" spans="1:17" ht="18" customHeight="1" x14ac:dyDescent="0.25">
      <c r="A2" s="3" t="s">
        <v>20</v>
      </c>
      <c r="B2" s="4" t="s">
        <v>60</v>
      </c>
      <c r="C2" s="536" t="s">
        <v>3059</v>
      </c>
    </row>
    <row r="3" spans="1:17" x14ac:dyDescent="0.25">
      <c r="A3" s="3" t="s">
        <v>1184</v>
      </c>
      <c r="B3" s="4" t="s">
        <v>1198</v>
      </c>
      <c r="C3" s="536" t="s">
        <v>1193</v>
      </c>
      <c r="D3" s="729"/>
      <c r="E3" s="729"/>
      <c r="F3" s="729"/>
      <c r="G3" s="729"/>
      <c r="H3" s="729"/>
      <c r="I3" s="729"/>
      <c r="J3" s="729"/>
      <c r="K3" s="729"/>
      <c r="L3" s="729"/>
      <c r="M3" s="729"/>
      <c r="N3" s="729"/>
      <c r="O3" s="729"/>
    </row>
    <row r="4" spans="1:17" x14ac:dyDescent="0.25">
      <c r="A4" s="3" t="s">
        <v>3136</v>
      </c>
      <c r="B4" s="4" t="s">
        <v>1917</v>
      </c>
      <c r="C4" s="4"/>
      <c r="D4" s="3" t="s">
        <v>61</v>
      </c>
      <c r="P4" s="730"/>
      <c r="Q4" s="48"/>
    </row>
    <row r="5" spans="1:17" x14ac:dyDescent="0.25">
      <c r="B5" s="4"/>
      <c r="C5" s="4"/>
      <c r="P5" s="730"/>
    </row>
    <row r="6" spans="1:17" x14ac:dyDescent="0.25">
      <c r="B6" s="73"/>
      <c r="C6" s="73"/>
      <c r="P6" s="730"/>
    </row>
    <row r="7" spans="1:17" x14ac:dyDescent="0.25">
      <c r="P7" s="730"/>
    </row>
    <row r="8" spans="1:17" x14ac:dyDescent="0.25">
      <c r="P8" s="730"/>
    </row>
    <row r="9" spans="1:17" x14ac:dyDescent="0.25">
      <c r="P9" s="730"/>
    </row>
    <row r="10" spans="1:17" x14ac:dyDescent="0.25">
      <c r="P10" s="730"/>
    </row>
    <row r="11" spans="1:17" x14ac:dyDescent="0.25">
      <c r="P11" s="730"/>
    </row>
    <row r="12" spans="1:17" x14ac:dyDescent="0.25">
      <c r="P12" s="730"/>
    </row>
    <row r="13" spans="1:17" x14ac:dyDescent="0.25">
      <c r="P13" s="730"/>
    </row>
    <row r="14" spans="1:17" x14ac:dyDescent="0.25">
      <c r="P14" s="730"/>
    </row>
    <row r="15" spans="1:17" x14ac:dyDescent="0.25">
      <c r="P15" s="730"/>
    </row>
    <row r="16" spans="1:17" x14ac:dyDescent="0.25">
      <c r="P16" s="730"/>
    </row>
    <row r="17" spans="16:16" x14ac:dyDescent="0.25">
      <c r="P17" s="730"/>
    </row>
    <row r="18" spans="16:16" x14ac:dyDescent="0.25">
      <c r="P18" s="730"/>
    </row>
    <row r="19" spans="16:16" x14ac:dyDescent="0.25">
      <c r="P19" s="730"/>
    </row>
    <row r="20" spans="16:16" x14ac:dyDescent="0.25">
      <c r="P20" s="730"/>
    </row>
    <row r="21" spans="16:16" x14ac:dyDescent="0.25">
      <c r="P21" s="730"/>
    </row>
    <row r="22" spans="16:16" x14ac:dyDescent="0.25">
      <c r="P22" s="730"/>
    </row>
    <row r="23" spans="16:16" x14ac:dyDescent="0.25">
      <c r="P23" s="730"/>
    </row>
    <row r="24" spans="16:16" x14ac:dyDescent="0.25">
      <c r="P24" s="730"/>
    </row>
    <row r="25" spans="16:16" x14ac:dyDescent="0.25">
      <c r="P25" s="730"/>
    </row>
    <row r="26" spans="16:16" x14ac:dyDescent="0.25">
      <c r="P26" s="730"/>
    </row>
    <row r="27" spans="16:16" x14ac:dyDescent="0.25">
      <c r="P27" s="730"/>
    </row>
    <row r="28" spans="16:16" x14ac:dyDescent="0.25">
      <c r="P28" s="730"/>
    </row>
    <row r="29" spans="16:16" x14ac:dyDescent="0.25">
      <c r="P29" s="730"/>
    </row>
    <row r="30" spans="16:16" x14ac:dyDescent="0.25">
      <c r="P30" s="730"/>
    </row>
    <row r="31" spans="16:16" x14ac:dyDescent="0.25">
      <c r="P31" s="730"/>
    </row>
    <row r="32" spans="16:16" ht="4.5" customHeight="1" x14ac:dyDescent="0.25"/>
    <row r="33" spans="4:15" ht="103.5" customHeight="1" x14ac:dyDescent="0.25">
      <c r="D33" s="731" t="s">
        <v>3160</v>
      </c>
      <c r="E33" s="731"/>
      <c r="F33" s="731"/>
      <c r="G33" s="731"/>
      <c r="H33" s="731"/>
      <c r="I33" s="731"/>
      <c r="J33" s="731"/>
      <c r="K33" s="731"/>
      <c r="L33" s="731"/>
      <c r="M33" s="731"/>
      <c r="N33" s="731"/>
      <c r="O33" s="731"/>
    </row>
  </sheetData>
  <customSheetViews>
    <customSheetView guid="{679A3195-3DEA-4AC2-A535-82AAF5B552BC}" hiddenColumns="1" topLeftCell="C1">
      <selection activeCell="C3" sqref="C3"/>
      <pageMargins left="0.7" right="0.7" top="0.75" bottom="0.75" header="0.3" footer="0.3"/>
      <pageSetup orientation="portrait" r:id="rId1"/>
    </customSheetView>
    <customSheetView guid="{7378B641-E8D1-4C14-8151-CF4CE159D121}">
      <selection activeCell="B16" sqref="B16"/>
      <pageMargins left="0.7" right="0.7" top="0.75" bottom="0.75" header="0.3" footer="0.3"/>
      <pageSetup orientation="portrait" r:id="rId2"/>
    </customSheetView>
    <customSheetView guid="{6D63B10B-E1E6-452A-80EB-4B2C7D61CF66}" hiddenColumns="1" topLeftCell="C1">
      <selection activeCell="C3" sqref="C3"/>
      <pageMargins left="0.7" right="0.7" top="0.75" bottom="0.75" header="0.3" footer="0.3"/>
      <pageSetup orientation="portrait" r:id="rId3"/>
    </customSheetView>
  </customSheetViews>
  <mergeCells count="3">
    <mergeCell ref="D3:O3"/>
    <mergeCell ref="P4:P31"/>
    <mergeCell ref="D33:O33"/>
  </mergeCells>
  <dataValidations count="1">
    <dataValidation type="list" allowBlank="1" showInputMessage="1" showErrorMessage="1" sqref="B2: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orientation="portrait" r:id="rId4"/>
  <drawing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X16"/>
  <sheetViews>
    <sheetView topLeftCell="C1" zoomScaleNormal="100" workbookViewId="0">
      <pane xSplit="3" ySplit="5" topLeftCell="F6" activePane="bottomRight" state="frozen"/>
      <selection activeCell="C1" sqref="C1"/>
      <selection pane="topRight" activeCell="F1" sqref="F1"/>
      <selection pane="bottomLeft" activeCell="C6" sqref="C6"/>
      <selection pane="bottomRight" activeCell="C3" sqref="C3"/>
    </sheetView>
  </sheetViews>
  <sheetFormatPr defaultRowHeight="15" x14ac:dyDescent="0.25"/>
  <cols>
    <col min="1" max="1" width="11.5703125" hidden="1" customWidth="1"/>
    <col min="2" max="2" width="57.28515625" hidden="1" customWidth="1"/>
    <col min="3" max="3" width="18.7109375" customWidth="1"/>
    <col min="4" max="4" width="49.85546875" bestFit="1" customWidth="1"/>
    <col min="5" max="5" width="64.28515625" customWidth="1"/>
    <col min="6" max="6" width="17.140625" customWidth="1"/>
    <col min="7" max="7" width="63.140625" customWidth="1"/>
    <col min="10" max="10" width="3.5703125" customWidth="1"/>
    <col min="20" max="20" width="3.7109375" customWidth="1"/>
  </cols>
  <sheetData>
    <row r="1" spans="1:24" ht="20.25" customHeight="1" x14ac:dyDescent="0.25">
      <c r="A1" s="3" t="s">
        <v>26</v>
      </c>
      <c r="B1" s="56" t="s">
        <v>2707</v>
      </c>
      <c r="C1" s="535" t="s">
        <v>3058</v>
      </c>
      <c r="D1" s="558" t="str">
        <f>B1</f>
        <v>Marketing Print Collateral Testing Summary (General Population)</v>
      </c>
    </row>
    <row r="2" spans="1:24" x14ac:dyDescent="0.25">
      <c r="A2" t="s">
        <v>20</v>
      </c>
      <c r="B2" s="321" t="s">
        <v>58</v>
      </c>
      <c r="C2" s="536" t="s">
        <v>3059</v>
      </c>
    </row>
    <row r="3" spans="1:24" ht="15.75" thickBot="1" x14ac:dyDescent="0.3">
      <c r="A3" t="s">
        <v>1184</v>
      </c>
      <c r="B3" s="321" t="s">
        <v>3144</v>
      </c>
      <c r="C3" s="536" t="s">
        <v>1193</v>
      </c>
    </row>
    <row r="4" spans="1:24" ht="270.75" customHeight="1" x14ac:dyDescent="0.25">
      <c r="A4" t="s">
        <v>3136</v>
      </c>
      <c r="B4" s="321" t="s">
        <v>2649</v>
      </c>
      <c r="D4" s="788" t="s">
        <v>2708</v>
      </c>
      <c r="E4" s="392"/>
      <c r="F4" s="392"/>
      <c r="G4" s="393"/>
      <c r="H4" s="267"/>
      <c r="I4" s="267"/>
      <c r="J4" s="267"/>
      <c r="K4" s="267"/>
      <c r="L4" s="267"/>
      <c r="M4" s="267"/>
      <c r="N4" s="267"/>
      <c r="O4" s="267"/>
      <c r="P4" s="267"/>
      <c r="Q4" s="267"/>
      <c r="R4" s="267"/>
      <c r="S4" s="267"/>
      <c r="U4" s="267"/>
      <c r="V4" s="267"/>
      <c r="W4" s="267"/>
      <c r="X4" s="267"/>
    </row>
    <row r="5" spans="1:24" ht="77.25" customHeight="1" x14ac:dyDescent="0.25">
      <c r="D5" s="789"/>
      <c r="E5" s="394" t="s">
        <v>2709</v>
      </c>
      <c r="F5" s="394" t="s">
        <v>2710</v>
      </c>
      <c r="G5" s="395" t="s">
        <v>2711</v>
      </c>
      <c r="H5" s="267"/>
      <c r="I5" s="267"/>
      <c r="L5" s="267"/>
      <c r="M5" s="267"/>
      <c r="N5" s="267"/>
      <c r="O5" s="267"/>
      <c r="P5" s="267"/>
      <c r="Q5" s="267"/>
      <c r="R5" s="267"/>
      <c r="S5" s="267"/>
      <c r="V5" s="267"/>
      <c r="W5" s="267"/>
      <c r="X5" s="267"/>
    </row>
    <row r="6" spans="1:24" ht="30" x14ac:dyDescent="0.25">
      <c r="D6" s="396" t="s">
        <v>2712</v>
      </c>
      <c r="E6" s="397">
        <v>0.4</v>
      </c>
      <c r="F6" s="397">
        <v>0.11</v>
      </c>
      <c r="G6" s="398">
        <v>0.34</v>
      </c>
      <c r="H6" s="267"/>
      <c r="I6" s="267"/>
      <c r="K6" s="267"/>
      <c r="L6" s="267"/>
      <c r="M6" s="267"/>
      <c r="N6" s="267"/>
      <c r="O6" s="267"/>
      <c r="P6" s="267"/>
      <c r="Q6" s="267"/>
      <c r="R6" s="267"/>
      <c r="S6" s="267"/>
      <c r="U6" s="267"/>
      <c r="V6" s="267"/>
      <c r="W6" s="267"/>
      <c r="X6" s="267"/>
    </row>
    <row r="7" spans="1:24" ht="30" x14ac:dyDescent="0.25">
      <c r="D7" s="399" t="s">
        <v>2713</v>
      </c>
      <c r="E7" s="400">
        <v>0.3</v>
      </c>
      <c r="F7" s="400">
        <v>0.18</v>
      </c>
      <c r="G7" s="401">
        <v>0.25</v>
      </c>
      <c r="H7" s="267"/>
      <c r="I7" s="267"/>
      <c r="K7" s="267"/>
      <c r="L7" s="267"/>
      <c r="M7" s="267"/>
      <c r="N7" s="267"/>
      <c r="O7" s="267"/>
      <c r="P7" s="267"/>
      <c r="Q7" s="267"/>
      <c r="R7" s="267"/>
      <c r="S7" s="267"/>
      <c r="U7" s="267"/>
      <c r="V7" s="267"/>
      <c r="W7" s="267"/>
      <c r="X7" s="267"/>
    </row>
    <row r="8" spans="1:24" ht="45" x14ac:dyDescent="0.25">
      <c r="D8" s="399" t="s">
        <v>2714</v>
      </c>
      <c r="E8" s="400">
        <v>0.44</v>
      </c>
      <c r="F8" s="402" t="s">
        <v>2331</v>
      </c>
      <c r="G8" s="403" t="s">
        <v>2331</v>
      </c>
      <c r="H8" s="267"/>
      <c r="I8" s="267"/>
    </row>
    <row r="9" spans="1:24" ht="30" x14ac:dyDescent="0.25">
      <c r="D9" s="399" t="s">
        <v>2715</v>
      </c>
      <c r="E9" s="402" t="s">
        <v>2331</v>
      </c>
      <c r="F9" s="400">
        <v>0.59</v>
      </c>
      <c r="G9" s="403" t="s">
        <v>2331</v>
      </c>
      <c r="H9" s="267"/>
      <c r="I9" s="267"/>
    </row>
    <row r="10" spans="1:24" ht="45" x14ac:dyDescent="0.25">
      <c r="D10" s="399" t="s">
        <v>2716</v>
      </c>
      <c r="E10" s="402" t="s">
        <v>2331</v>
      </c>
      <c r="F10" s="400">
        <v>0.51</v>
      </c>
      <c r="G10" s="403" t="s">
        <v>2331</v>
      </c>
      <c r="H10" s="267"/>
      <c r="I10" s="267"/>
    </row>
    <row r="11" spans="1:24" ht="30" x14ac:dyDescent="0.25">
      <c r="D11" s="399" t="s">
        <v>2717</v>
      </c>
      <c r="E11" s="402" t="s">
        <v>2331</v>
      </c>
      <c r="F11" s="402" t="s">
        <v>2331</v>
      </c>
      <c r="G11" s="401">
        <v>0.43</v>
      </c>
      <c r="H11" s="267"/>
      <c r="I11" s="267"/>
    </row>
    <row r="12" spans="1:24" ht="60" x14ac:dyDescent="0.25">
      <c r="D12" s="790" t="s">
        <v>2718</v>
      </c>
      <c r="E12" s="402" t="s">
        <v>2719</v>
      </c>
      <c r="F12" s="402" t="s">
        <v>2720</v>
      </c>
      <c r="G12" s="403" t="s">
        <v>2721</v>
      </c>
      <c r="H12" s="267"/>
      <c r="I12" s="267"/>
    </row>
    <row r="13" spans="1:24" ht="60" x14ac:dyDescent="0.25">
      <c r="D13" s="790"/>
      <c r="E13" s="402" t="s">
        <v>2722</v>
      </c>
      <c r="F13" s="402" t="s">
        <v>2723</v>
      </c>
      <c r="G13" s="403" t="s">
        <v>2724</v>
      </c>
      <c r="H13" s="267"/>
      <c r="I13" s="267"/>
    </row>
    <row r="14" spans="1:24" ht="60" x14ac:dyDescent="0.25">
      <c r="D14" s="791"/>
      <c r="E14" s="404" t="s">
        <v>2725</v>
      </c>
      <c r="F14" s="404" t="s">
        <v>2726</v>
      </c>
      <c r="G14" s="405" t="s">
        <v>2727</v>
      </c>
      <c r="H14" s="267"/>
      <c r="I14" s="267"/>
    </row>
    <row r="15" spans="1:24" ht="30.75" thickBot="1" x14ac:dyDescent="0.3">
      <c r="D15" s="792"/>
      <c r="E15" s="406"/>
      <c r="F15" s="406"/>
      <c r="G15" s="407" t="s">
        <v>2728</v>
      </c>
      <c r="H15" s="267"/>
      <c r="I15" s="267"/>
    </row>
    <row r="16" spans="1:24" ht="16.5" x14ac:dyDescent="0.25">
      <c r="D16" s="408"/>
      <c r="E16" s="409"/>
      <c r="F16" s="409"/>
      <c r="G16" s="409"/>
      <c r="H16" s="267"/>
      <c r="I16" s="267"/>
    </row>
  </sheetData>
  <customSheetViews>
    <customSheetView guid="{679A3195-3DEA-4AC2-A535-82AAF5B552BC}" hiddenColumns="1" topLeftCell="C1">
      <pane xSplit="3" ySplit="4.941747572815534" topLeftCell="F6" activePane="bottomRight" state="frozen"/>
      <selection pane="bottomRight" activeCell="C3" sqref="C3"/>
      <pageMargins left="0.7" right="0.7" top="0.75" bottom="0.75" header="0.3" footer="0.3"/>
      <pageSetup paperSize="256" orientation="portrait" verticalDpi="0" r:id="rId1"/>
    </customSheetView>
    <customSheetView guid="{7378B641-E8D1-4C14-8151-CF4CE159D121}" hiddenColumns="1" topLeftCell="C1">
      <pane xSplit="4" ySplit="5" topLeftCell="G6" activePane="bottomRight" state="frozen"/>
      <selection pane="bottomRight" activeCell="B1" sqref="B1"/>
      <pageMargins left="0.7" right="0.7" top="0.75" bottom="0.75" header="0.3" footer="0.3"/>
      <pageSetup paperSize="256" orientation="portrait" verticalDpi="0" r:id="rId2"/>
    </customSheetView>
    <customSheetView guid="{6D63B10B-E1E6-452A-80EB-4B2C7D61CF66}" hiddenColumns="1" topLeftCell="C1">
      <pane xSplit="3" ySplit="5" topLeftCell="F6" activePane="bottomRight" state="frozen"/>
      <selection pane="bottomRight" activeCell="C3" sqref="C3"/>
      <pageMargins left="0.7" right="0.7" top="0.75" bottom="0.75" header="0.3" footer="0.3"/>
      <pageSetup paperSize="256" orientation="portrait" verticalDpi="0" r:id="rId3"/>
    </customSheetView>
  </customSheetViews>
  <mergeCells count="2">
    <mergeCell ref="D4:D5"/>
    <mergeCell ref="D12:D15"/>
  </mergeCells>
  <dataValidations count="3">
    <dataValidation type="list" allowBlank="1" showInputMessage="1" showErrorMessage="1" sqref="B2">
      <formula1>Scope</formula1>
    </dataValidation>
    <dataValidation type="list" allowBlank="1" showInputMessage="1" showErrorMessage="1" sqref="B4">
      <formula1>DataSource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drawing r:id="rId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J16"/>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36.140625" bestFit="1" customWidth="1"/>
    <col min="5" max="5" width="6.5703125" customWidth="1"/>
    <col min="6" max="6" width="14" customWidth="1"/>
    <col min="7" max="10" width="6.5703125" customWidth="1"/>
    <col min="20" max="20" width="3.7109375" customWidth="1"/>
  </cols>
  <sheetData>
    <row r="1" spans="1:10" x14ac:dyDescent="0.25">
      <c r="A1" s="3" t="s">
        <v>26</v>
      </c>
      <c r="B1" s="4" t="s">
        <v>2729</v>
      </c>
      <c r="C1" s="535" t="s">
        <v>3058</v>
      </c>
      <c r="D1" s="558" t="str">
        <f>B1</f>
        <v>Contractor Program Satisfaction Ratings</v>
      </c>
    </row>
    <row r="2" spans="1:10" x14ac:dyDescent="0.25">
      <c r="A2" t="s">
        <v>20</v>
      </c>
      <c r="B2" s="321" t="s">
        <v>60</v>
      </c>
      <c r="C2" s="536" t="s">
        <v>3059</v>
      </c>
    </row>
    <row r="3" spans="1:10" x14ac:dyDescent="0.25">
      <c r="A3" t="s">
        <v>1184</v>
      </c>
      <c r="B3" s="321" t="s">
        <v>3143</v>
      </c>
      <c r="C3" s="536" t="s">
        <v>1193</v>
      </c>
    </row>
    <row r="4" spans="1:10" ht="28.5" x14ac:dyDescent="0.25">
      <c r="D4" s="410" t="s">
        <v>2730</v>
      </c>
      <c r="E4" s="793" t="s">
        <v>2731</v>
      </c>
      <c r="F4" s="793"/>
      <c r="G4" s="793" t="s">
        <v>59</v>
      </c>
      <c r="H4" s="793"/>
      <c r="I4" s="793" t="s">
        <v>1260</v>
      </c>
      <c r="J4" s="793"/>
    </row>
    <row r="5" spans="1:10" x14ac:dyDescent="0.25">
      <c r="D5" s="411"/>
      <c r="E5" s="412" t="s">
        <v>2732</v>
      </c>
      <c r="F5" s="412" t="s">
        <v>2554</v>
      </c>
      <c r="G5" s="412" t="s">
        <v>2732</v>
      </c>
      <c r="H5" s="412" t="s">
        <v>1371</v>
      </c>
      <c r="I5" s="412" t="s">
        <v>2732</v>
      </c>
      <c r="J5" s="412" t="s">
        <v>1371</v>
      </c>
    </row>
    <row r="6" spans="1:10" x14ac:dyDescent="0.25">
      <c r="D6" s="411" t="s">
        <v>2640</v>
      </c>
      <c r="E6" s="412">
        <v>4</v>
      </c>
      <c r="F6" s="413">
        <v>7.8</v>
      </c>
      <c r="G6" s="412">
        <v>4</v>
      </c>
      <c r="H6" s="413">
        <v>8.3000000000000007</v>
      </c>
      <c r="I6" s="412">
        <v>8</v>
      </c>
      <c r="J6" s="414">
        <v>8</v>
      </c>
    </row>
    <row r="7" spans="1:10" x14ac:dyDescent="0.25">
      <c r="D7" s="411" t="s">
        <v>2561</v>
      </c>
      <c r="E7" s="412">
        <v>4</v>
      </c>
      <c r="F7" s="413">
        <v>6.5</v>
      </c>
      <c r="G7" s="412">
        <v>4</v>
      </c>
      <c r="H7" s="413">
        <v>7.8</v>
      </c>
      <c r="I7" s="412">
        <v>8</v>
      </c>
      <c r="J7" s="414">
        <v>7.1</v>
      </c>
    </row>
    <row r="8" spans="1:10" x14ac:dyDescent="0.25">
      <c r="D8" s="411" t="s">
        <v>2558</v>
      </c>
      <c r="E8" s="412">
        <v>4</v>
      </c>
      <c r="F8" s="413">
        <v>8</v>
      </c>
      <c r="G8" s="412">
        <v>4</v>
      </c>
      <c r="H8" s="413">
        <v>6</v>
      </c>
      <c r="I8" s="412">
        <v>8</v>
      </c>
      <c r="J8" s="414">
        <v>7</v>
      </c>
    </row>
    <row r="9" spans="1:10" x14ac:dyDescent="0.25">
      <c r="D9" s="411" t="s">
        <v>2645</v>
      </c>
      <c r="E9" s="412">
        <v>2</v>
      </c>
      <c r="F9" s="413">
        <v>6</v>
      </c>
      <c r="G9" s="412">
        <v>5</v>
      </c>
      <c r="H9" s="413">
        <v>5.4</v>
      </c>
      <c r="I9" s="412">
        <v>7</v>
      </c>
      <c r="J9" s="414">
        <v>5.6</v>
      </c>
    </row>
    <row r="10" spans="1:10" x14ac:dyDescent="0.25">
      <c r="D10" s="411" t="s">
        <v>1260</v>
      </c>
      <c r="E10" s="412">
        <v>14</v>
      </c>
      <c r="F10" s="413">
        <v>7.2</v>
      </c>
      <c r="G10" s="412">
        <v>17</v>
      </c>
      <c r="H10" s="413">
        <v>6.8</v>
      </c>
      <c r="I10" s="412">
        <v>31</v>
      </c>
      <c r="J10" s="414">
        <v>7</v>
      </c>
    </row>
    <row r="11" spans="1:10" ht="28.5" x14ac:dyDescent="0.25">
      <c r="D11" s="410" t="s">
        <v>2733</v>
      </c>
      <c r="E11" s="415"/>
      <c r="F11" s="415"/>
      <c r="G11" s="415"/>
      <c r="H11" s="415"/>
      <c r="I11" s="415"/>
      <c r="J11" s="415"/>
    </row>
    <row r="12" spans="1:10" x14ac:dyDescent="0.25">
      <c r="D12" s="411" t="s">
        <v>2640</v>
      </c>
      <c r="E12" s="416">
        <v>4</v>
      </c>
      <c r="F12" s="417">
        <v>3.25</v>
      </c>
      <c r="G12" s="416">
        <v>4</v>
      </c>
      <c r="H12" s="417">
        <v>6.25</v>
      </c>
      <c r="I12" s="416">
        <v>8</v>
      </c>
      <c r="J12" s="418">
        <v>4.75</v>
      </c>
    </row>
    <row r="13" spans="1:10" x14ac:dyDescent="0.25">
      <c r="D13" s="411" t="s">
        <v>2561</v>
      </c>
      <c r="E13" s="416">
        <v>4</v>
      </c>
      <c r="F13" s="417">
        <v>3.75</v>
      </c>
      <c r="G13" s="416">
        <v>4</v>
      </c>
      <c r="H13" s="417">
        <v>4</v>
      </c>
      <c r="I13" s="416">
        <v>8</v>
      </c>
      <c r="J13" s="418">
        <v>3.875</v>
      </c>
    </row>
    <row r="14" spans="1:10" x14ac:dyDescent="0.25">
      <c r="D14" s="411" t="s">
        <v>2558</v>
      </c>
      <c r="E14" s="416">
        <v>4</v>
      </c>
      <c r="F14" s="417">
        <v>3.75</v>
      </c>
      <c r="G14" s="416">
        <v>4</v>
      </c>
      <c r="H14" s="419">
        <v>1.75</v>
      </c>
      <c r="I14" s="416">
        <v>8</v>
      </c>
      <c r="J14" s="418">
        <v>2.75</v>
      </c>
    </row>
    <row r="15" spans="1:10" x14ac:dyDescent="0.25">
      <c r="D15" s="411" t="s">
        <v>2645</v>
      </c>
      <c r="E15" s="416">
        <v>2</v>
      </c>
      <c r="F15" s="417">
        <v>4</v>
      </c>
      <c r="G15" s="416">
        <v>5</v>
      </c>
      <c r="H15" s="419">
        <v>2.6</v>
      </c>
      <c r="I15" s="416">
        <v>7</v>
      </c>
      <c r="J15" s="418">
        <v>3</v>
      </c>
    </row>
    <row r="16" spans="1:10" x14ac:dyDescent="0.25">
      <c r="D16" s="411" t="s">
        <v>1260</v>
      </c>
      <c r="E16" s="416">
        <v>14</v>
      </c>
      <c r="F16" s="417">
        <v>3.6428571428571428</v>
      </c>
      <c r="G16" s="416">
        <v>17</v>
      </c>
      <c r="H16" s="417">
        <v>3.5882352941176472</v>
      </c>
      <c r="I16" s="416">
        <v>31</v>
      </c>
      <c r="J16" s="418">
        <v>3.6129032258064515</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3">
    <mergeCell ref="E4:F4"/>
    <mergeCell ref="G4:H4"/>
    <mergeCell ref="I4:J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J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3.28515625" customWidth="1"/>
    <col min="5" max="5" width="5.7109375" customWidth="1"/>
    <col min="6" max="6" width="14" customWidth="1"/>
    <col min="7" max="10" width="5.7109375" customWidth="1"/>
    <col min="20" max="20" width="3.7109375" customWidth="1"/>
  </cols>
  <sheetData>
    <row r="1" spans="1:10" x14ac:dyDescent="0.25">
      <c r="A1" s="3" t="s">
        <v>26</v>
      </c>
      <c r="B1" s="4" t="s">
        <v>2734</v>
      </c>
      <c r="C1" s="535" t="s">
        <v>3058</v>
      </c>
      <c r="D1" s="558" t="str">
        <f>B1</f>
        <v>Contractors Stating Paperwork is Barrier to Participation</v>
      </c>
    </row>
    <row r="2" spans="1:10" x14ac:dyDescent="0.25">
      <c r="A2" t="s">
        <v>20</v>
      </c>
      <c r="B2" s="321" t="s">
        <v>60</v>
      </c>
      <c r="C2" s="536" t="s">
        <v>3059</v>
      </c>
    </row>
    <row r="3" spans="1:10" x14ac:dyDescent="0.25">
      <c r="A3" t="s">
        <v>1184</v>
      </c>
      <c r="B3" s="321" t="s">
        <v>3143</v>
      </c>
      <c r="C3" s="536" t="s">
        <v>1193</v>
      </c>
    </row>
    <row r="4" spans="1:10" ht="42.75" x14ac:dyDescent="0.25">
      <c r="D4" s="410" t="s">
        <v>2735</v>
      </c>
      <c r="E4" s="793" t="s">
        <v>58</v>
      </c>
      <c r="F4" s="793"/>
      <c r="G4" s="793" t="s">
        <v>59</v>
      </c>
      <c r="H4" s="793"/>
      <c r="I4" s="793" t="s">
        <v>1260</v>
      </c>
      <c r="J4" s="793"/>
    </row>
    <row r="5" spans="1:10" x14ac:dyDescent="0.25">
      <c r="D5" s="420" t="s">
        <v>2736</v>
      </c>
      <c r="E5" s="412" t="s">
        <v>2737</v>
      </c>
      <c r="F5" s="412" t="s">
        <v>2738</v>
      </c>
      <c r="G5" s="412" t="s">
        <v>2732</v>
      </c>
      <c r="H5" s="412" t="s">
        <v>2738</v>
      </c>
      <c r="I5" s="412" t="s">
        <v>2732</v>
      </c>
      <c r="J5" s="412" t="s">
        <v>2738</v>
      </c>
    </row>
    <row r="6" spans="1:10" x14ac:dyDescent="0.25">
      <c r="D6" s="420" t="s">
        <v>2739</v>
      </c>
      <c r="E6" s="412">
        <v>4</v>
      </c>
      <c r="F6" s="421">
        <v>0.5</v>
      </c>
      <c r="G6" s="412">
        <v>4</v>
      </c>
      <c r="H6" s="421">
        <v>1</v>
      </c>
      <c r="I6" s="412">
        <v>8</v>
      </c>
      <c r="J6" s="422">
        <v>0.75</v>
      </c>
    </row>
    <row r="7" spans="1:10" x14ac:dyDescent="0.25">
      <c r="D7" s="420" t="s">
        <v>2640</v>
      </c>
      <c r="E7" s="412">
        <v>4</v>
      </c>
      <c r="F7" s="421">
        <v>0.5</v>
      </c>
      <c r="G7" s="412">
        <v>4</v>
      </c>
      <c r="H7" s="421">
        <v>0.25</v>
      </c>
      <c r="I7" s="412">
        <v>8</v>
      </c>
      <c r="J7" s="422">
        <v>0.38</v>
      </c>
    </row>
    <row r="8" spans="1:10" x14ac:dyDescent="0.25">
      <c r="D8" s="420" t="s">
        <v>2561</v>
      </c>
      <c r="E8" s="412">
        <v>4</v>
      </c>
      <c r="F8" s="421">
        <v>0.5</v>
      </c>
      <c r="G8" s="412">
        <v>4</v>
      </c>
      <c r="H8" s="421">
        <v>0.75</v>
      </c>
      <c r="I8" s="412">
        <v>8</v>
      </c>
      <c r="J8" s="422">
        <v>0.63</v>
      </c>
    </row>
    <row r="9" spans="1:10" x14ac:dyDescent="0.25">
      <c r="D9" s="420" t="s">
        <v>1260</v>
      </c>
      <c r="E9" s="412">
        <v>12</v>
      </c>
      <c r="F9" s="421">
        <v>0.5</v>
      </c>
      <c r="G9" s="412">
        <v>12</v>
      </c>
      <c r="H9" s="421">
        <v>0.67</v>
      </c>
      <c r="I9" s="412">
        <v>24</v>
      </c>
      <c r="J9" s="422">
        <v>0.57999999999999996</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3">
    <mergeCell ref="E4:F4"/>
    <mergeCell ref="G4:H4"/>
    <mergeCell ref="I4:J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14"/>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31.85546875" bestFit="1" customWidth="1"/>
    <col min="5" max="5" width="9.140625" customWidth="1"/>
    <col min="6" max="6" width="14" customWidth="1"/>
    <col min="7" max="7" width="9.140625" customWidth="1"/>
    <col min="8" max="8" width="9" customWidth="1"/>
    <col min="10" max="10" width="3.5703125" customWidth="1"/>
    <col min="20" max="20" width="3.7109375" customWidth="1"/>
  </cols>
  <sheetData>
    <row r="1" spans="1:8" x14ac:dyDescent="0.25">
      <c r="A1" s="3" t="s">
        <v>26</v>
      </c>
      <c r="B1" s="4" t="s">
        <v>2740</v>
      </c>
      <c r="C1" s="535" t="s">
        <v>3058</v>
      </c>
      <c r="D1" s="558" t="str">
        <f>B1</f>
        <v>Contractor's Suggested Most Effective Marketing Messages</v>
      </c>
    </row>
    <row r="2" spans="1:8" x14ac:dyDescent="0.25">
      <c r="A2" t="s">
        <v>20</v>
      </c>
      <c r="B2" s="321" t="s">
        <v>60</v>
      </c>
      <c r="C2" s="536" t="s">
        <v>3059</v>
      </c>
    </row>
    <row r="3" spans="1:8" x14ac:dyDescent="0.25">
      <c r="A3" t="s">
        <v>1184</v>
      </c>
      <c r="B3" s="321" t="s">
        <v>3143</v>
      </c>
      <c r="C3" s="536" t="s">
        <v>1193</v>
      </c>
    </row>
    <row r="4" spans="1:8" ht="57" x14ac:dyDescent="0.25">
      <c r="D4" s="410" t="s">
        <v>2741</v>
      </c>
      <c r="E4" s="410" t="s">
        <v>2742</v>
      </c>
      <c r="F4" s="410" t="s">
        <v>2743</v>
      </c>
      <c r="G4" s="410" t="s">
        <v>2744</v>
      </c>
      <c r="H4" s="410" t="s">
        <v>2745</v>
      </c>
    </row>
    <row r="5" spans="1:8" ht="15.75" x14ac:dyDescent="0.25">
      <c r="D5" s="423" t="s">
        <v>2704</v>
      </c>
      <c r="E5" s="424">
        <v>3</v>
      </c>
      <c r="F5" s="424">
        <v>3</v>
      </c>
      <c r="G5" s="424">
        <v>5</v>
      </c>
      <c r="H5" s="425">
        <v>11</v>
      </c>
    </row>
    <row r="6" spans="1:8" ht="15.75" x14ac:dyDescent="0.25">
      <c r="D6" s="423" t="s">
        <v>2746</v>
      </c>
      <c r="E6" s="424">
        <v>0</v>
      </c>
      <c r="F6" s="424">
        <v>3</v>
      </c>
      <c r="G6" s="424">
        <v>5</v>
      </c>
      <c r="H6" s="425">
        <v>8</v>
      </c>
    </row>
    <row r="7" spans="1:8" ht="15.75" x14ac:dyDescent="0.25">
      <c r="D7" s="423" t="s">
        <v>2747</v>
      </c>
      <c r="E7" s="424">
        <v>3</v>
      </c>
      <c r="F7" s="424">
        <v>1</v>
      </c>
      <c r="G7" s="424">
        <v>3</v>
      </c>
      <c r="H7" s="425">
        <v>7</v>
      </c>
    </row>
    <row r="8" spans="1:8" ht="15.75" x14ac:dyDescent="0.25">
      <c r="D8" s="423" t="s">
        <v>2748</v>
      </c>
      <c r="E8" s="424">
        <v>3</v>
      </c>
      <c r="F8" s="424">
        <v>1</v>
      </c>
      <c r="G8" s="424">
        <v>3</v>
      </c>
      <c r="H8" s="424">
        <v>7</v>
      </c>
    </row>
    <row r="9" spans="1:8" ht="15.75" x14ac:dyDescent="0.25">
      <c r="D9" s="423" t="s">
        <v>2749</v>
      </c>
      <c r="E9" s="424">
        <v>2</v>
      </c>
      <c r="F9" s="424">
        <v>0</v>
      </c>
      <c r="G9" s="424">
        <v>2</v>
      </c>
      <c r="H9" s="424">
        <v>4</v>
      </c>
    </row>
    <row r="10" spans="1:8" ht="15.75" x14ac:dyDescent="0.25">
      <c r="D10" s="423" t="s">
        <v>2750</v>
      </c>
      <c r="E10" s="424">
        <v>0</v>
      </c>
      <c r="F10" s="424">
        <v>1</v>
      </c>
      <c r="G10" s="424">
        <v>1</v>
      </c>
      <c r="H10" s="424">
        <v>2</v>
      </c>
    </row>
    <row r="11" spans="1:8" ht="15.75" x14ac:dyDescent="0.25">
      <c r="D11" s="423" t="s">
        <v>2240</v>
      </c>
      <c r="E11" s="424">
        <v>1</v>
      </c>
      <c r="F11" s="424">
        <v>1</v>
      </c>
      <c r="G11" s="424">
        <v>0</v>
      </c>
      <c r="H11" s="424">
        <v>2</v>
      </c>
    </row>
    <row r="12" spans="1:8" ht="15.75" x14ac:dyDescent="0.25">
      <c r="D12" s="423" t="s">
        <v>2751</v>
      </c>
      <c r="E12" s="424">
        <v>1</v>
      </c>
      <c r="F12" s="424">
        <v>0</v>
      </c>
      <c r="G12" s="424">
        <v>0</v>
      </c>
      <c r="H12" s="424">
        <v>1</v>
      </c>
    </row>
    <row r="13" spans="1:8" ht="15.75" x14ac:dyDescent="0.25">
      <c r="D13" s="423" t="s">
        <v>2752</v>
      </c>
      <c r="E13" s="424">
        <v>1</v>
      </c>
      <c r="F13" s="424">
        <v>0</v>
      </c>
      <c r="G13" s="424">
        <v>0</v>
      </c>
      <c r="H13" s="424">
        <v>1</v>
      </c>
    </row>
    <row r="14" spans="1:8" ht="35.25" customHeight="1" x14ac:dyDescent="0.25">
      <c r="D14" s="794" t="s">
        <v>2753</v>
      </c>
      <c r="E14" s="795"/>
      <c r="F14" s="795"/>
      <c r="G14" s="795"/>
      <c r="H14" s="796"/>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C3" sqref="C3"/>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1">
    <mergeCell ref="D14:H1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H14"/>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52.85546875" bestFit="1" customWidth="1"/>
    <col min="5" max="5" width="19.28515625" bestFit="1" customWidth="1"/>
    <col min="6" max="6" width="14" customWidth="1"/>
    <col min="7" max="7" width="17.28515625" customWidth="1"/>
    <col min="8" max="8" width="14" bestFit="1" customWidth="1"/>
    <col min="11" max="11" width="3.5703125" customWidth="1"/>
    <col min="21" max="21" width="3.7109375" customWidth="1"/>
  </cols>
  <sheetData>
    <row r="1" spans="1:8" x14ac:dyDescent="0.25">
      <c r="A1" s="3" t="s">
        <v>26</v>
      </c>
      <c r="B1" s="4" t="s">
        <v>2754</v>
      </c>
      <c r="C1" s="535" t="s">
        <v>3058</v>
      </c>
      <c r="D1" s="558" t="str">
        <f>B1</f>
        <v>Contractor Barriers to Submitting Jobs to the Program</v>
      </c>
    </row>
    <row r="2" spans="1:8" x14ac:dyDescent="0.25">
      <c r="A2" t="s">
        <v>20</v>
      </c>
      <c r="B2" s="321" t="s">
        <v>60</v>
      </c>
      <c r="C2" s="536" t="s">
        <v>3059</v>
      </c>
    </row>
    <row r="3" spans="1:8" x14ac:dyDescent="0.25">
      <c r="A3" t="s">
        <v>1184</v>
      </c>
      <c r="B3" s="321" t="s">
        <v>3143</v>
      </c>
      <c r="C3" s="536" t="s">
        <v>1193</v>
      </c>
    </row>
    <row r="4" spans="1:8" ht="28.5" x14ac:dyDescent="0.25">
      <c r="D4" s="410" t="s">
        <v>2755</v>
      </c>
      <c r="E4" s="410" t="s">
        <v>2756</v>
      </c>
      <c r="F4" s="410" t="s">
        <v>2757</v>
      </c>
      <c r="G4" s="410" t="s">
        <v>2568</v>
      </c>
      <c r="H4" s="410" t="s">
        <v>2758</v>
      </c>
    </row>
    <row r="5" spans="1:8" x14ac:dyDescent="0.25">
      <c r="D5" s="426" t="s">
        <v>2759</v>
      </c>
      <c r="E5" s="427">
        <v>0.63</v>
      </c>
      <c r="F5" s="428" t="s">
        <v>2760</v>
      </c>
      <c r="G5" s="429" t="s">
        <v>2760</v>
      </c>
      <c r="H5" s="430" t="s">
        <v>2761</v>
      </c>
    </row>
    <row r="6" spans="1:8" x14ac:dyDescent="0.25">
      <c r="D6" s="426" t="s">
        <v>2762</v>
      </c>
      <c r="E6" s="431">
        <v>0.75</v>
      </c>
      <c r="F6" s="432">
        <v>0.38</v>
      </c>
      <c r="G6" s="427">
        <v>0.63</v>
      </c>
      <c r="H6" s="431">
        <v>0.57999999999999996</v>
      </c>
    </row>
    <row r="7" spans="1:8" x14ac:dyDescent="0.25">
      <c r="D7" s="426" t="s">
        <v>2763</v>
      </c>
      <c r="E7" s="427">
        <v>0.63</v>
      </c>
      <c r="F7" s="432">
        <v>0.38</v>
      </c>
      <c r="G7" s="431">
        <v>0.75</v>
      </c>
      <c r="H7" s="431">
        <v>0.57999999999999996</v>
      </c>
    </row>
    <row r="8" spans="1:8" x14ac:dyDescent="0.25">
      <c r="D8" s="426" t="s">
        <v>2764</v>
      </c>
      <c r="E8" s="427">
        <v>0.63</v>
      </c>
      <c r="F8" s="427">
        <v>0.5</v>
      </c>
      <c r="G8" s="427">
        <v>0.5</v>
      </c>
      <c r="H8" s="431">
        <v>0.54</v>
      </c>
    </row>
    <row r="9" spans="1:8" x14ac:dyDescent="0.25">
      <c r="D9" s="426" t="s">
        <v>2765</v>
      </c>
      <c r="E9" s="432">
        <v>0.38</v>
      </c>
      <c r="F9" s="431">
        <v>0.63</v>
      </c>
      <c r="G9" s="427">
        <v>0.5</v>
      </c>
      <c r="H9" s="431">
        <v>0.5</v>
      </c>
    </row>
    <row r="10" spans="1:8" x14ac:dyDescent="0.25">
      <c r="D10" s="426" t="s">
        <v>2766</v>
      </c>
      <c r="E10" s="427">
        <v>0.63</v>
      </c>
      <c r="F10" s="427">
        <v>0.5</v>
      </c>
      <c r="G10" s="432">
        <v>0.25</v>
      </c>
      <c r="H10" s="432">
        <v>0.46</v>
      </c>
    </row>
    <row r="11" spans="1:8" x14ac:dyDescent="0.25">
      <c r="D11" s="420" t="s">
        <v>2767</v>
      </c>
      <c r="E11" s="431">
        <v>0.75</v>
      </c>
      <c r="F11" s="432">
        <v>0</v>
      </c>
      <c r="G11" s="432">
        <v>0.38</v>
      </c>
      <c r="H11" s="432">
        <v>0.38</v>
      </c>
    </row>
    <row r="12" spans="1:8" x14ac:dyDescent="0.25">
      <c r="D12" s="420" t="s">
        <v>2768</v>
      </c>
      <c r="E12" s="427">
        <v>0.5</v>
      </c>
      <c r="F12" s="432">
        <v>0.25</v>
      </c>
      <c r="G12" s="432">
        <v>0.38</v>
      </c>
      <c r="H12" s="432">
        <v>0.38</v>
      </c>
    </row>
    <row r="13" spans="1:8" ht="30" x14ac:dyDescent="0.25">
      <c r="D13" s="420" t="s">
        <v>2769</v>
      </c>
      <c r="E13" s="433" t="s">
        <v>2760</v>
      </c>
      <c r="F13" s="427">
        <v>0.5</v>
      </c>
      <c r="G13" s="432">
        <v>0.25</v>
      </c>
      <c r="H13" s="432" t="s">
        <v>2770</v>
      </c>
    </row>
    <row r="14" spans="1:8" x14ac:dyDescent="0.25">
      <c r="D14" s="420" t="s">
        <v>2771</v>
      </c>
      <c r="E14" s="421">
        <v>0</v>
      </c>
      <c r="F14" s="434" t="s">
        <v>2760</v>
      </c>
      <c r="G14" s="434" t="s">
        <v>2760</v>
      </c>
      <c r="H14" s="435"/>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J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0.5703125" customWidth="1"/>
    <col min="5" max="5" width="7.7109375" customWidth="1"/>
    <col min="6" max="6" width="14" customWidth="1"/>
    <col min="7" max="10" width="7.7109375" customWidth="1"/>
    <col min="20" max="20" width="3.7109375" customWidth="1"/>
  </cols>
  <sheetData>
    <row r="1" spans="1:10" x14ac:dyDescent="0.25">
      <c r="A1" s="3" t="s">
        <v>26</v>
      </c>
      <c r="B1" s="4" t="s">
        <v>2772</v>
      </c>
      <c r="C1" s="535" t="s">
        <v>3058</v>
      </c>
      <c r="D1" s="558" t="str">
        <f>B1</f>
        <v>Contractors Completing Jobs Outside of the Program</v>
      </c>
    </row>
    <row r="2" spans="1:10" x14ac:dyDescent="0.25">
      <c r="A2" t="s">
        <v>20</v>
      </c>
      <c r="B2" s="321" t="s">
        <v>60</v>
      </c>
      <c r="C2" s="536" t="s">
        <v>3059</v>
      </c>
    </row>
    <row r="3" spans="1:10" x14ac:dyDescent="0.25">
      <c r="A3" t="s">
        <v>1184</v>
      </c>
      <c r="B3" s="321" t="s">
        <v>3143</v>
      </c>
      <c r="C3" s="536" t="s">
        <v>1193</v>
      </c>
    </row>
    <row r="4" spans="1:10" ht="57" x14ac:dyDescent="0.25">
      <c r="D4" s="410" t="s">
        <v>2773</v>
      </c>
      <c r="E4" s="793" t="s">
        <v>2731</v>
      </c>
      <c r="F4" s="793"/>
      <c r="G4" s="793" t="s">
        <v>59</v>
      </c>
      <c r="H4" s="793"/>
      <c r="I4" s="793" t="s">
        <v>1260</v>
      </c>
      <c r="J4" s="793"/>
    </row>
    <row r="5" spans="1:10" x14ac:dyDescent="0.25">
      <c r="D5" s="420"/>
      <c r="E5" s="601" t="s">
        <v>2732</v>
      </c>
      <c r="F5" s="601" t="s">
        <v>2738</v>
      </c>
      <c r="G5" s="601" t="s">
        <v>2732</v>
      </c>
      <c r="H5" s="601" t="s">
        <v>2738</v>
      </c>
      <c r="I5" s="601" t="s">
        <v>2732</v>
      </c>
      <c r="J5" s="601" t="s">
        <v>2738</v>
      </c>
    </row>
    <row r="6" spans="1:10" x14ac:dyDescent="0.25">
      <c r="D6" s="420" t="s">
        <v>2633</v>
      </c>
      <c r="E6" s="412">
        <v>4</v>
      </c>
      <c r="F6" s="421">
        <v>0.75</v>
      </c>
      <c r="G6" s="412">
        <v>4</v>
      </c>
      <c r="H6" s="421">
        <v>0.5</v>
      </c>
      <c r="I6" s="412">
        <v>8</v>
      </c>
      <c r="J6" s="421">
        <v>0.63</v>
      </c>
    </row>
    <row r="7" spans="1:10" x14ac:dyDescent="0.25">
      <c r="D7" s="420" t="s">
        <v>2640</v>
      </c>
      <c r="E7" s="412">
        <v>4</v>
      </c>
      <c r="F7" s="421">
        <v>1</v>
      </c>
      <c r="G7" s="412">
        <v>4</v>
      </c>
      <c r="H7" s="421">
        <v>0.5</v>
      </c>
      <c r="I7" s="412">
        <v>8</v>
      </c>
      <c r="J7" s="421">
        <v>0.75</v>
      </c>
    </row>
    <row r="8" spans="1:10" x14ac:dyDescent="0.25">
      <c r="D8" s="420" t="s">
        <v>2561</v>
      </c>
      <c r="E8" s="412">
        <v>4</v>
      </c>
      <c r="F8" s="421">
        <v>0.25</v>
      </c>
      <c r="G8" s="412">
        <v>4</v>
      </c>
      <c r="H8" s="421">
        <v>0.75</v>
      </c>
      <c r="I8" s="412">
        <v>8</v>
      </c>
      <c r="J8" s="421">
        <v>0.5</v>
      </c>
    </row>
    <row r="9" spans="1:10" x14ac:dyDescent="0.25">
      <c r="D9" s="420" t="s">
        <v>1260</v>
      </c>
      <c r="E9" s="412">
        <v>12</v>
      </c>
      <c r="F9" s="421">
        <v>0.67</v>
      </c>
      <c r="G9" s="412">
        <v>12</v>
      </c>
      <c r="H9" s="421">
        <v>0.57999999999999996</v>
      </c>
      <c r="I9" s="412">
        <v>24</v>
      </c>
      <c r="J9" s="421">
        <v>0.63</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Q14" sqref="Q14"/>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3">
    <mergeCell ref="E4:F4"/>
    <mergeCell ref="G4:H4"/>
    <mergeCell ref="I4:J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J1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3.28515625" customWidth="1"/>
    <col min="5" max="5" width="6" customWidth="1"/>
    <col min="6" max="6" width="14" customWidth="1"/>
    <col min="7" max="7" width="6.7109375" customWidth="1"/>
    <col min="8" max="8" width="13.42578125" customWidth="1"/>
    <col min="9" max="9" width="7.28515625" customWidth="1"/>
    <col min="10" max="10" width="14.140625" customWidth="1"/>
    <col min="20" max="20" width="3.7109375" customWidth="1"/>
  </cols>
  <sheetData>
    <row r="1" spans="1:10" x14ac:dyDescent="0.25">
      <c r="A1" s="3" t="s">
        <v>26</v>
      </c>
      <c r="B1" s="4" t="s">
        <v>2774</v>
      </c>
      <c r="C1" s="535" t="s">
        <v>3058</v>
      </c>
      <c r="D1" s="558" t="str">
        <f>B1</f>
        <v>EUC Qualified Jobs Not Submitted to Program in 2011</v>
      </c>
    </row>
    <row r="2" spans="1:10" x14ac:dyDescent="0.25">
      <c r="A2" t="s">
        <v>20</v>
      </c>
      <c r="B2" s="321" t="s">
        <v>60</v>
      </c>
      <c r="C2" s="536" t="s">
        <v>3059</v>
      </c>
    </row>
    <row r="3" spans="1:10" x14ac:dyDescent="0.25">
      <c r="A3" t="s">
        <v>1184</v>
      </c>
      <c r="B3" s="321" t="s">
        <v>3143</v>
      </c>
      <c r="C3" s="536" t="s">
        <v>1193</v>
      </c>
    </row>
    <row r="4" spans="1:10" x14ac:dyDescent="0.25">
      <c r="D4" s="410"/>
      <c r="E4" s="793" t="s">
        <v>2731</v>
      </c>
      <c r="F4" s="793"/>
      <c r="G4" s="793" t="s">
        <v>3206</v>
      </c>
      <c r="H4" s="793"/>
      <c r="I4" s="793" t="s">
        <v>1260</v>
      </c>
      <c r="J4" s="793"/>
    </row>
    <row r="5" spans="1:10" ht="86.25" customHeight="1" x14ac:dyDescent="0.25">
      <c r="D5" s="410" t="s">
        <v>2775</v>
      </c>
      <c r="E5" s="410" t="s">
        <v>2732</v>
      </c>
      <c r="F5" s="410" t="s">
        <v>2776</v>
      </c>
      <c r="G5" s="410" t="s">
        <v>2732</v>
      </c>
      <c r="H5" s="410" t="s">
        <v>2776</v>
      </c>
      <c r="I5" s="410" t="s">
        <v>2732</v>
      </c>
      <c r="J5" s="410" t="s">
        <v>2335</v>
      </c>
    </row>
    <row r="6" spans="1:10" x14ac:dyDescent="0.25">
      <c r="D6" s="436" t="s">
        <v>2777</v>
      </c>
      <c r="E6" s="412">
        <v>3</v>
      </c>
      <c r="F6" s="412" t="s">
        <v>2778</v>
      </c>
      <c r="G6" s="412">
        <v>2</v>
      </c>
      <c r="H6" s="412" t="s">
        <v>2779</v>
      </c>
      <c r="I6" s="412">
        <v>5</v>
      </c>
      <c r="J6" s="412">
        <v>152</v>
      </c>
    </row>
    <row r="7" spans="1:10" x14ac:dyDescent="0.25">
      <c r="D7" s="436" t="s">
        <v>2640</v>
      </c>
      <c r="E7" s="412">
        <v>4</v>
      </c>
      <c r="F7" s="412" t="s">
        <v>2778</v>
      </c>
      <c r="G7" s="412">
        <v>2</v>
      </c>
      <c r="H7" s="412" t="s">
        <v>2780</v>
      </c>
      <c r="I7" s="412">
        <v>6</v>
      </c>
      <c r="J7" s="412">
        <v>54</v>
      </c>
    </row>
    <row r="8" spans="1:10" x14ac:dyDescent="0.25">
      <c r="D8" s="436" t="s">
        <v>2561</v>
      </c>
      <c r="E8" s="412">
        <v>1</v>
      </c>
      <c r="F8" s="412" t="s">
        <v>2781</v>
      </c>
      <c r="G8" s="412">
        <v>3</v>
      </c>
      <c r="H8" s="412" t="s">
        <v>2782</v>
      </c>
      <c r="I8" s="412">
        <v>4</v>
      </c>
      <c r="J8" s="412">
        <v>11</v>
      </c>
    </row>
    <row r="9" spans="1:10" x14ac:dyDescent="0.25">
      <c r="D9" s="436" t="s">
        <v>1260</v>
      </c>
      <c r="E9" s="412">
        <v>8</v>
      </c>
      <c r="F9" s="412">
        <v>49</v>
      </c>
      <c r="G9" s="412">
        <v>7</v>
      </c>
      <c r="H9" s="412">
        <v>168</v>
      </c>
      <c r="I9" s="412">
        <v>15</v>
      </c>
      <c r="J9" s="412">
        <v>217</v>
      </c>
    </row>
    <row r="10" spans="1:10" x14ac:dyDescent="0.25">
      <c r="D10" s="436" t="s">
        <v>2783</v>
      </c>
      <c r="E10" s="412"/>
      <c r="F10" s="437">
        <v>6</v>
      </c>
      <c r="G10" s="437"/>
      <c r="H10" s="437">
        <v>24</v>
      </c>
      <c r="I10" s="437"/>
      <c r="J10" s="437">
        <v>14</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G5" sqref="G5"/>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3">
    <mergeCell ref="E4:F4"/>
    <mergeCell ref="G4:H4"/>
    <mergeCell ref="I4:J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J1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4.85546875" customWidth="1"/>
    <col min="5" max="5" width="6.28515625" customWidth="1"/>
    <col min="6" max="6" width="14" customWidth="1"/>
    <col min="7" max="7" width="6.28515625" customWidth="1"/>
    <col min="8" max="8" width="8.7109375" customWidth="1"/>
    <col min="9" max="9" width="6.28515625" customWidth="1"/>
    <col min="10" max="10" width="8" customWidth="1"/>
    <col min="20" max="20" width="3.7109375" customWidth="1"/>
  </cols>
  <sheetData>
    <row r="1" spans="1:10" x14ac:dyDescent="0.25">
      <c r="A1" s="3" t="s">
        <v>26</v>
      </c>
      <c r="B1" s="4" t="s">
        <v>2784</v>
      </c>
      <c r="C1" s="535" t="s">
        <v>3058</v>
      </c>
      <c r="D1" s="558" t="str">
        <f>B1</f>
        <v>Contractor Satisfaction with Program Training</v>
      </c>
    </row>
    <row r="2" spans="1:10" x14ac:dyDescent="0.25">
      <c r="A2" t="s">
        <v>20</v>
      </c>
      <c r="B2" s="321" t="s">
        <v>60</v>
      </c>
      <c r="C2" s="536" t="s">
        <v>3059</v>
      </c>
    </row>
    <row r="3" spans="1:10" x14ac:dyDescent="0.25">
      <c r="A3" t="s">
        <v>1184</v>
      </c>
      <c r="B3" s="321" t="s">
        <v>3143</v>
      </c>
      <c r="C3" s="536" t="s">
        <v>1193</v>
      </c>
    </row>
    <row r="4" spans="1:10" ht="28.5" x14ac:dyDescent="0.25">
      <c r="D4" s="410" t="s">
        <v>2785</v>
      </c>
      <c r="E4" s="793" t="s">
        <v>2731</v>
      </c>
      <c r="F4" s="793"/>
      <c r="G4" s="793" t="s">
        <v>59</v>
      </c>
      <c r="H4" s="793"/>
      <c r="I4" s="793" t="s">
        <v>1260</v>
      </c>
      <c r="J4" s="793"/>
    </row>
    <row r="5" spans="1:10" ht="28.5" x14ac:dyDescent="0.25">
      <c r="D5" s="438"/>
      <c r="E5" s="601" t="s">
        <v>2732</v>
      </c>
      <c r="F5" s="601" t="s">
        <v>2554</v>
      </c>
      <c r="G5" s="601" t="s">
        <v>2732</v>
      </c>
      <c r="H5" s="601" t="s">
        <v>2554</v>
      </c>
      <c r="I5" s="601" t="s">
        <v>2732</v>
      </c>
      <c r="J5" s="601" t="s">
        <v>2554</v>
      </c>
    </row>
    <row r="6" spans="1:10" x14ac:dyDescent="0.25">
      <c r="D6" s="440" t="s">
        <v>2640</v>
      </c>
      <c r="E6" s="439">
        <v>4</v>
      </c>
      <c r="F6" s="439">
        <v>7.5</v>
      </c>
      <c r="G6" s="439">
        <v>4</v>
      </c>
      <c r="H6" s="439">
        <v>9</v>
      </c>
      <c r="I6" s="439">
        <v>8</v>
      </c>
      <c r="J6" s="439">
        <v>8.3000000000000007</v>
      </c>
    </row>
    <row r="7" spans="1:10" x14ac:dyDescent="0.25">
      <c r="D7" s="440" t="s">
        <v>2561</v>
      </c>
      <c r="E7" s="439">
        <v>4</v>
      </c>
      <c r="F7" s="439">
        <v>6.5</v>
      </c>
      <c r="G7" s="439">
        <v>4</v>
      </c>
      <c r="H7" s="439">
        <v>9</v>
      </c>
      <c r="I7" s="439">
        <v>8</v>
      </c>
      <c r="J7" s="439">
        <v>7.8</v>
      </c>
    </row>
    <row r="8" spans="1:10" x14ac:dyDescent="0.25">
      <c r="D8" s="440" t="s">
        <v>2558</v>
      </c>
      <c r="E8" s="439">
        <v>4</v>
      </c>
      <c r="F8" s="439">
        <v>7.3</v>
      </c>
      <c r="G8" s="439">
        <v>4</v>
      </c>
      <c r="H8" s="439">
        <v>6.8</v>
      </c>
      <c r="I8" s="439">
        <v>8</v>
      </c>
      <c r="J8" s="439">
        <v>7</v>
      </c>
    </row>
    <row r="9" spans="1:10" x14ac:dyDescent="0.25">
      <c r="D9" s="440" t="s">
        <v>2645</v>
      </c>
      <c r="E9" s="439">
        <v>2</v>
      </c>
      <c r="F9" s="439">
        <v>7</v>
      </c>
      <c r="G9" s="439">
        <v>5</v>
      </c>
      <c r="H9" s="439">
        <v>5.8</v>
      </c>
      <c r="I9" s="439">
        <v>7</v>
      </c>
      <c r="J9" s="439">
        <v>6.1</v>
      </c>
    </row>
    <row r="10" spans="1:10" x14ac:dyDescent="0.25">
      <c r="D10" s="440" t="s">
        <v>1260</v>
      </c>
      <c r="E10" s="439">
        <v>14</v>
      </c>
      <c r="F10" s="439">
        <v>7.1</v>
      </c>
      <c r="G10" s="439">
        <v>17</v>
      </c>
      <c r="H10" s="439">
        <v>7.5</v>
      </c>
      <c r="I10" s="439">
        <v>31</v>
      </c>
      <c r="J10" s="441">
        <v>7.3</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F23" sqref="F23"/>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3">
    <mergeCell ref="E4:F4"/>
    <mergeCell ref="G4:H4"/>
    <mergeCell ref="I4:J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J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4.140625" bestFit="1" customWidth="1"/>
    <col min="5" max="5" width="6.7109375" customWidth="1"/>
    <col min="6" max="6" width="14" customWidth="1"/>
    <col min="7" max="10" width="6.7109375" customWidth="1"/>
    <col min="20" max="20" width="3.7109375" customWidth="1"/>
  </cols>
  <sheetData>
    <row r="1" spans="1:10" ht="20.25" customHeight="1" x14ac:dyDescent="0.25">
      <c r="A1" s="3" t="s">
        <v>26</v>
      </c>
      <c r="B1" s="4" t="s">
        <v>2786</v>
      </c>
      <c r="C1" s="535" t="s">
        <v>3058</v>
      </c>
      <c r="D1" s="558" t="str">
        <f>B1</f>
        <v>Proportion of Participating Contractors that Learned New Job Skills</v>
      </c>
    </row>
    <row r="2" spans="1:10" x14ac:dyDescent="0.25">
      <c r="A2" t="s">
        <v>20</v>
      </c>
      <c r="B2" s="321" t="s">
        <v>60</v>
      </c>
      <c r="C2" s="536" t="s">
        <v>3059</v>
      </c>
    </row>
    <row r="3" spans="1:10" x14ac:dyDescent="0.25">
      <c r="A3" t="s">
        <v>1184</v>
      </c>
      <c r="B3" s="321" t="s">
        <v>3143</v>
      </c>
      <c r="C3" s="536" t="s">
        <v>1193</v>
      </c>
    </row>
    <row r="4" spans="1:10" ht="28.5" x14ac:dyDescent="0.25">
      <c r="D4" s="410" t="s">
        <v>2787</v>
      </c>
      <c r="E4" s="767" t="s">
        <v>2731</v>
      </c>
      <c r="F4" s="769"/>
      <c r="G4" s="767" t="s">
        <v>59</v>
      </c>
      <c r="H4" s="769"/>
      <c r="I4" s="793" t="s">
        <v>1260</v>
      </c>
      <c r="J4" s="793"/>
    </row>
    <row r="5" spans="1:10" x14ac:dyDescent="0.25">
      <c r="D5" s="436"/>
      <c r="E5" s="439" t="s">
        <v>2732</v>
      </c>
      <c r="F5" s="439" t="s">
        <v>2738</v>
      </c>
      <c r="G5" s="439" t="s">
        <v>2732</v>
      </c>
      <c r="H5" s="439" t="s">
        <v>2738</v>
      </c>
      <c r="I5" s="439" t="s">
        <v>2732</v>
      </c>
      <c r="J5" s="439" t="s">
        <v>2738</v>
      </c>
    </row>
    <row r="6" spans="1:10" x14ac:dyDescent="0.25">
      <c r="D6" s="436" t="s">
        <v>2561</v>
      </c>
      <c r="E6" s="439">
        <v>4</v>
      </c>
      <c r="F6" s="442">
        <v>0.75</v>
      </c>
      <c r="G6" s="439">
        <v>3</v>
      </c>
      <c r="H6" s="442">
        <v>0.67</v>
      </c>
      <c r="I6" s="436">
        <v>7</v>
      </c>
      <c r="J6" s="443">
        <v>0.71</v>
      </c>
    </row>
    <row r="7" spans="1:10" x14ac:dyDescent="0.25">
      <c r="D7" s="436" t="s">
        <v>2558</v>
      </c>
      <c r="E7" s="439">
        <v>3</v>
      </c>
      <c r="F7" s="442">
        <v>1</v>
      </c>
      <c r="G7" s="439">
        <v>4</v>
      </c>
      <c r="H7" s="442">
        <v>0.75</v>
      </c>
      <c r="I7" s="436">
        <v>7</v>
      </c>
      <c r="J7" s="443">
        <v>0.86</v>
      </c>
    </row>
    <row r="8" spans="1:10" x14ac:dyDescent="0.25">
      <c r="D8" s="436" t="s">
        <v>2645</v>
      </c>
      <c r="E8" s="439">
        <v>2</v>
      </c>
      <c r="F8" s="442">
        <v>1</v>
      </c>
      <c r="G8" s="439">
        <v>4</v>
      </c>
      <c r="H8" s="442">
        <v>0.5</v>
      </c>
      <c r="I8" s="436">
        <v>6</v>
      </c>
      <c r="J8" s="444">
        <v>0.67</v>
      </c>
    </row>
    <row r="9" spans="1:10" x14ac:dyDescent="0.25">
      <c r="D9" s="436" t="s">
        <v>1260</v>
      </c>
      <c r="E9" s="439">
        <v>9</v>
      </c>
      <c r="F9" s="442">
        <v>0.89</v>
      </c>
      <c r="G9" s="439">
        <v>11</v>
      </c>
      <c r="H9" s="442">
        <v>0.64</v>
      </c>
      <c r="I9" s="436">
        <v>20</v>
      </c>
      <c r="J9" s="443">
        <v>0.75</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3">
    <mergeCell ref="E4:F4"/>
    <mergeCell ref="G4:H4"/>
    <mergeCell ref="I4:J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J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19" bestFit="1" customWidth="1"/>
    <col min="5" max="5" width="6.7109375" customWidth="1"/>
    <col min="6" max="6" width="14" customWidth="1"/>
    <col min="7" max="10" width="6.7109375" customWidth="1"/>
    <col min="20" max="20" width="3.7109375" customWidth="1"/>
  </cols>
  <sheetData>
    <row r="1" spans="1:10" ht="21" customHeight="1" x14ac:dyDescent="0.25">
      <c r="A1" s="3" t="s">
        <v>26</v>
      </c>
      <c r="B1" s="4" t="s">
        <v>2788</v>
      </c>
      <c r="C1" s="535" t="s">
        <v>3058</v>
      </c>
      <c r="D1" s="558" t="str">
        <f>B1</f>
        <v>Proportion of Contractors that Have Added Staff due to EUC Program</v>
      </c>
    </row>
    <row r="2" spans="1:10" x14ac:dyDescent="0.25">
      <c r="A2" t="s">
        <v>20</v>
      </c>
      <c r="B2" s="321" t="s">
        <v>60</v>
      </c>
      <c r="C2" s="536" t="s">
        <v>3059</v>
      </c>
    </row>
    <row r="3" spans="1:10" x14ac:dyDescent="0.25">
      <c r="A3" t="s">
        <v>1184</v>
      </c>
      <c r="B3" s="321" t="s">
        <v>3143</v>
      </c>
      <c r="C3" s="536" t="s">
        <v>1193</v>
      </c>
    </row>
    <row r="4" spans="1:10" x14ac:dyDescent="0.25">
      <c r="D4" s="797"/>
      <c r="E4" s="793" t="s">
        <v>2731</v>
      </c>
      <c r="F4" s="793"/>
      <c r="G4" s="793" t="s">
        <v>59</v>
      </c>
      <c r="H4" s="793"/>
      <c r="I4" s="793" t="s">
        <v>1260</v>
      </c>
      <c r="J4" s="793"/>
    </row>
    <row r="5" spans="1:10" x14ac:dyDescent="0.25">
      <c r="D5" s="798"/>
      <c r="E5" s="601" t="s">
        <v>2732</v>
      </c>
      <c r="F5" s="601" t="s">
        <v>2738</v>
      </c>
      <c r="G5" s="601" t="s">
        <v>2732</v>
      </c>
      <c r="H5" s="601" t="s">
        <v>2738</v>
      </c>
      <c r="I5" s="601" t="s">
        <v>2732</v>
      </c>
      <c r="J5" s="601" t="s">
        <v>2738</v>
      </c>
    </row>
    <row r="6" spans="1:10" x14ac:dyDescent="0.25">
      <c r="D6" s="420" t="s">
        <v>2561</v>
      </c>
      <c r="E6" s="412">
        <v>4</v>
      </c>
      <c r="F6" s="421">
        <v>0.5</v>
      </c>
      <c r="G6" s="412">
        <v>4</v>
      </c>
      <c r="H6" s="421">
        <v>0.5</v>
      </c>
      <c r="I6" s="412">
        <v>8</v>
      </c>
      <c r="J6" s="421">
        <v>0.5</v>
      </c>
    </row>
    <row r="7" spans="1:10" x14ac:dyDescent="0.25">
      <c r="D7" s="420" t="s">
        <v>2558</v>
      </c>
      <c r="E7" s="412">
        <v>4</v>
      </c>
      <c r="F7" s="422">
        <v>0.75</v>
      </c>
      <c r="G7" s="412">
        <v>4</v>
      </c>
      <c r="H7" s="421">
        <v>0.25</v>
      </c>
      <c r="I7" s="412">
        <v>8</v>
      </c>
      <c r="J7" s="422">
        <v>0.5</v>
      </c>
    </row>
    <row r="8" spans="1:10" x14ac:dyDescent="0.25">
      <c r="D8" s="420" t="s">
        <v>2645</v>
      </c>
      <c r="E8" s="412">
        <v>2</v>
      </c>
      <c r="F8" s="421">
        <v>1</v>
      </c>
      <c r="G8" s="412">
        <v>5</v>
      </c>
      <c r="H8" s="421">
        <v>0.8</v>
      </c>
      <c r="I8" s="412">
        <v>7</v>
      </c>
      <c r="J8" s="421">
        <v>0.86</v>
      </c>
    </row>
    <row r="9" spans="1:10" x14ac:dyDescent="0.25">
      <c r="D9" s="420" t="s">
        <v>1260</v>
      </c>
      <c r="E9" s="412">
        <v>10</v>
      </c>
      <c r="F9" s="421">
        <v>0.7</v>
      </c>
      <c r="G9" s="412">
        <v>13</v>
      </c>
      <c r="H9" s="421">
        <v>0.54</v>
      </c>
      <c r="I9" s="412">
        <v>23</v>
      </c>
      <c r="J9" s="422">
        <v>0.61</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C3" sqref="C3"/>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4">
    <mergeCell ref="D4:D5"/>
    <mergeCell ref="E4:F4"/>
    <mergeCell ref="G4:H4"/>
    <mergeCell ref="I4:J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33"/>
  <sheetViews>
    <sheetView workbookViewId="0">
      <selection activeCell="O16" sqref="O16"/>
    </sheetView>
  </sheetViews>
  <sheetFormatPr defaultRowHeight="15" x14ac:dyDescent="0.25"/>
  <cols>
    <col min="1" max="1" width="15.85546875" style="3" customWidth="1"/>
    <col min="2" max="7" width="10.7109375" style="3" customWidth="1"/>
    <col min="8" max="8" width="9.140625" style="3"/>
    <col min="9" max="19" width="16.7109375" style="3" customWidth="1"/>
    <col min="20" max="16384" width="9.140625" style="3"/>
  </cols>
  <sheetData>
    <row r="1" spans="1:19" s="74" customFormat="1" x14ac:dyDescent="0.25">
      <c r="A1" s="74" t="s">
        <v>1378</v>
      </c>
      <c r="B1" s="74" t="s">
        <v>1360</v>
      </c>
      <c r="C1" s="74" t="s">
        <v>1375</v>
      </c>
      <c r="D1" s="74" t="s">
        <v>1361</v>
      </c>
      <c r="E1" s="74" t="s">
        <v>1362</v>
      </c>
      <c r="F1" s="74" t="s">
        <v>1376</v>
      </c>
      <c r="G1" s="74" t="s">
        <v>1371</v>
      </c>
      <c r="I1" s="77" t="s">
        <v>1374</v>
      </c>
      <c r="J1" s="78"/>
      <c r="K1" s="78"/>
      <c r="L1" s="78"/>
      <c r="M1" s="78"/>
      <c r="N1" s="78"/>
    </row>
    <row r="2" spans="1:19" s="37" customFormat="1" x14ac:dyDescent="0.25">
      <c r="A2" s="75"/>
      <c r="B2" s="74" t="str">
        <f>B1</f>
        <v>Median</v>
      </c>
      <c r="C2" s="74"/>
      <c r="D2" s="74"/>
      <c r="E2" s="74"/>
      <c r="F2" s="74"/>
      <c r="G2" s="74" t="str">
        <f>G1</f>
        <v>Mean</v>
      </c>
      <c r="I2" s="77" t="s">
        <v>1373</v>
      </c>
      <c r="J2" s="79"/>
      <c r="K2" s="79"/>
      <c r="L2" s="79"/>
      <c r="M2" s="79"/>
      <c r="N2" s="79"/>
    </row>
    <row r="3" spans="1:19" ht="45" x14ac:dyDescent="0.25">
      <c r="A3" s="74" t="s">
        <v>3322</v>
      </c>
      <c r="B3" s="51">
        <f>MEDIAN($R$4:$R$16)</f>
        <v>0.48194367752622858</v>
      </c>
      <c r="C3" s="51">
        <f>QUARTILE($R$4:$R$16,1)</f>
        <v>0.25009248982611915</v>
      </c>
      <c r="D3" s="51">
        <f>MIN($R$4:$R$16)</f>
        <v>-0.46393210749646391</v>
      </c>
      <c r="E3" s="51">
        <f>MAX($R$4:$R$16)</f>
        <v>2.9325250395361095</v>
      </c>
      <c r="F3" s="51">
        <f>QUARTILE($R$4:$R$16,3)</f>
        <v>0.87691466083150982</v>
      </c>
      <c r="G3" s="51">
        <f>AVERAGE($R$4:$R$16)</f>
        <v>0.68470353575374143</v>
      </c>
      <c r="I3" s="4" t="str">
        <f>FileReviewW12!A1</f>
        <v>Trkg_IOU</v>
      </c>
      <c r="J3" s="4" t="str">
        <f>FileReviewW12!O1</f>
        <v>Trkg_UpgradeType</v>
      </c>
      <c r="K3" s="4" t="str">
        <f>FileReviewW12!CL1</f>
        <v>JRT_Pre_Billing_AnnualkWh</v>
      </c>
      <c r="L3" s="4" t="str">
        <f>FileReviewW12!CM1</f>
        <v>JRT_Pre_Billing_AnnualTherms</v>
      </c>
      <c r="M3" s="4" t="str">
        <f>FileReviewW12!CY1</f>
        <v>JRT_Post_Epro_AnnualkWhUsage</v>
      </c>
      <c r="N3" s="4" t="str">
        <f>FileReviewW12!DB1</f>
        <v>JRT_Post_Epro_AnnualThermsUsage</v>
      </c>
      <c r="O3" s="4" t="s">
        <v>1912</v>
      </c>
      <c r="P3" s="4" t="s">
        <v>1913</v>
      </c>
      <c r="Q3" s="4" t="s">
        <v>1914</v>
      </c>
      <c r="R3" s="4" t="s">
        <v>1915</v>
      </c>
      <c r="S3" s="4" t="s">
        <v>1916</v>
      </c>
    </row>
    <row r="4" spans="1:19" x14ac:dyDescent="0.25">
      <c r="A4" s="74" t="s">
        <v>3323</v>
      </c>
      <c r="B4" s="51">
        <f>MEDIAN($R$17:$R$33)</f>
        <v>0.42382170259408108</v>
      </c>
      <c r="C4" s="51">
        <f>QUARTILE($R$17:$R$33,1)</f>
        <v>-1.9271948608137045E-2</v>
      </c>
      <c r="D4" s="51">
        <f>MIN($R$17:$R$33)</f>
        <v>-0.78386428386428386</v>
      </c>
      <c r="E4" s="51">
        <f>MAX($R$17:$R$33)</f>
        <v>1.9015352038115405</v>
      </c>
      <c r="F4" s="51">
        <f>QUARTILE($R$17:$R$33,3)</f>
        <v>1.2204753199268739</v>
      </c>
      <c r="G4" s="51">
        <f>AVERAGE($R$17:$R$33)</f>
        <v>0.56052220341403858</v>
      </c>
      <c r="I4" s="3" t="str">
        <f>FileReviewW12!A2</f>
        <v>SCE</v>
      </c>
      <c r="J4" s="3" t="str">
        <f>FileReviewW12!O2</f>
        <v>Advanced</v>
      </c>
      <c r="K4" s="3">
        <f>FileReviewW12!CL2</f>
        <v>9055</v>
      </c>
      <c r="L4" s="3">
        <f>FileReviewW12!CM2</f>
        <v>339</v>
      </c>
      <c r="M4" s="3">
        <f>FileReviewW12!CY2</f>
        <v>13419</v>
      </c>
      <c r="N4" s="3">
        <f>FileReviewW12!DB2</f>
        <v>674</v>
      </c>
      <c r="O4" s="3">
        <f>K4+L4*29.3</f>
        <v>18987.7</v>
      </c>
      <c r="P4" s="3">
        <f>M4+29.3*N4</f>
        <v>33167.199999999997</v>
      </c>
      <c r="Q4" s="3">
        <f>(P4-O4)/O4</f>
        <v>0.74677291088441444</v>
      </c>
      <c r="R4" s="3">
        <f>(M4-K4)/K4</f>
        <v>0.48194367752622858</v>
      </c>
      <c r="S4" s="3">
        <f>(N4-L4)/L4</f>
        <v>0.98820058997050142</v>
      </c>
    </row>
    <row r="5" spans="1:19" x14ac:dyDescent="0.25">
      <c r="A5" s="74" t="s">
        <v>3324</v>
      </c>
      <c r="B5" s="51">
        <f>MEDIAN($S$4:$S$16)</f>
        <v>7.2222222222222215E-2</v>
      </c>
      <c r="C5" s="51">
        <f>QUARTILE($S$4:$S$16,1)</f>
        <v>-6.9306930693069313E-2</v>
      </c>
      <c r="D5" s="51">
        <f>MIN($S$4:$S$16)</f>
        <v>-0.45165238678090575</v>
      </c>
      <c r="E5" s="51">
        <f>MAX($S$4:$S$16)</f>
        <v>1.9753086419753085</v>
      </c>
      <c r="F5" s="51">
        <f>QUARTILE($S$4:$S$16,3)</f>
        <v>0.45348837209302323</v>
      </c>
      <c r="G5" s="51">
        <f>AVERAGE($S$4:$S$16)</f>
        <v>0.38825968546116663</v>
      </c>
      <c r="I5" s="3" t="str">
        <f>FileReviewW12!A3</f>
        <v>SCE</v>
      </c>
      <c r="J5" s="3" t="str">
        <f>FileReviewW12!O3</f>
        <v>Advanced</v>
      </c>
      <c r="K5" s="3">
        <f>FileReviewW12!CL3</f>
        <v>7444</v>
      </c>
      <c r="L5" s="3">
        <f>FileReviewW12!CM3</f>
        <v>520</v>
      </c>
      <c r="M5" s="3">
        <f>FileReviewW12!CY3</f>
        <v>13616</v>
      </c>
      <c r="N5" s="3">
        <f>FileReviewW12!DB3</f>
        <v>715</v>
      </c>
      <c r="O5" s="3">
        <f t="shared" ref="O5:O33" si="0">K5+L5*29.3</f>
        <v>22680</v>
      </c>
      <c r="P5" s="3">
        <f t="shared" ref="P5:P33" si="1">M5+29.3*N5</f>
        <v>34565.5</v>
      </c>
      <c r="Q5" s="3">
        <f t="shared" ref="Q5:Q33" si="2">(P5-O5)/O5</f>
        <v>0.5240520282186949</v>
      </c>
      <c r="R5" s="3">
        <f t="shared" ref="R5:R33" si="3">(M5-K5)/K5</f>
        <v>0.82912412681354108</v>
      </c>
      <c r="S5" s="3">
        <f t="shared" ref="S5:S33" si="4">(N5-L5)/L5</f>
        <v>0.375</v>
      </c>
    </row>
    <row r="6" spans="1:19" x14ac:dyDescent="0.25">
      <c r="A6" s="74" t="s">
        <v>3325</v>
      </c>
      <c r="B6" s="51">
        <f>MEDIAN($S$17:$S$33)</f>
        <v>0.31337579617834393</v>
      </c>
      <c r="C6" s="51">
        <f>QUARTILE($S$17:$S$33,1)</f>
        <v>0.18255250403877221</v>
      </c>
      <c r="D6" s="51">
        <f>MIN($S$17:$S$33)</f>
        <v>-0.36208178438661709</v>
      </c>
      <c r="E6" s="51">
        <f>MAX($S$17:$S$33)</f>
        <v>1.6083916083916083</v>
      </c>
      <c r="F6" s="51">
        <f>QUARTILE($S$17:$S$33,3)</f>
        <v>0.59885386819484243</v>
      </c>
      <c r="G6" s="51">
        <f>AVERAGE($S$17:$S$33)</f>
        <v>0.43391258473731664</v>
      </c>
      <c r="I6" s="3" t="str">
        <f>FileReviewW12!A4</f>
        <v>SCE</v>
      </c>
      <c r="J6" s="3" t="str">
        <f>FileReviewW12!O4</f>
        <v>Advanced</v>
      </c>
      <c r="K6" s="3">
        <f>FileReviewW12!CL4</f>
        <v>6253</v>
      </c>
      <c r="L6" s="3">
        <f>FileReviewW12!CM4</f>
        <v>559</v>
      </c>
      <c r="M6" s="3">
        <f>FileReviewW12!CY4</f>
        <v>8915</v>
      </c>
      <c r="N6" s="3">
        <f>FileReviewW12!DB4</f>
        <v>559</v>
      </c>
      <c r="O6" s="3">
        <f t="shared" si="0"/>
        <v>22631.7</v>
      </c>
      <c r="P6" s="3">
        <f t="shared" si="1"/>
        <v>25293.7</v>
      </c>
      <c r="Q6" s="3">
        <f t="shared" si="2"/>
        <v>0.1176226266696713</v>
      </c>
      <c r="R6" s="3">
        <f t="shared" si="3"/>
        <v>0.42571565648488724</v>
      </c>
      <c r="S6" s="3">
        <f t="shared" si="4"/>
        <v>0</v>
      </c>
    </row>
    <row r="7" spans="1:19" x14ac:dyDescent="0.25">
      <c r="A7" s="74" t="s">
        <v>3326</v>
      </c>
      <c r="B7" s="51">
        <f>MEDIAN($Q$4:$Q$16)</f>
        <v>0.25804748441598258</v>
      </c>
      <c r="C7" s="51">
        <f>QUARTILE($Q$4:$Q$16,1)</f>
        <v>3.3661810047760289E-2</v>
      </c>
      <c r="D7" s="51">
        <f>MIN($Q$4:$Q$16)</f>
        <v>-0.39943380008464091</v>
      </c>
      <c r="E7" s="51">
        <f>MAX($Q$4:$Q$16)</f>
        <v>1.8312593628283236</v>
      </c>
      <c r="F7" s="51">
        <f>QUARTILE($Q$4:$Q$16,3)</f>
        <v>0.658466601617411</v>
      </c>
      <c r="G7" s="51">
        <f>AVERAGE($Q$4:$Q$16)</f>
        <v>0.39763045578563538</v>
      </c>
      <c r="I7" s="3" t="str">
        <f>FileReviewW12!A5</f>
        <v>SCE</v>
      </c>
      <c r="J7" s="3" t="str">
        <f>FileReviewW12!O5</f>
        <v>Advanced</v>
      </c>
      <c r="K7" s="3">
        <f>FileReviewW12!CL5</f>
        <v>1897</v>
      </c>
      <c r="L7" s="3">
        <f>FileReviewW12!CM5</f>
        <v>611</v>
      </c>
      <c r="M7" s="3">
        <f>FileReviewW12!CY5</f>
        <v>7460</v>
      </c>
      <c r="N7" s="3">
        <f>FileReviewW12!DB5</f>
        <v>476</v>
      </c>
      <c r="O7" s="3">
        <f t="shared" si="0"/>
        <v>19799.3</v>
      </c>
      <c r="P7" s="3">
        <f t="shared" si="1"/>
        <v>21406.800000000003</v>
      </c>
      <c r="Q7" s="3">
        <f t="shared" si="2"/>
        <v>8.1189739031178057E-2</v>
      </c>
      <c r="R7" s="3">
        <f t="shared" si="3"/>
        <v>2.9325250395361095</v>
      </c>
      <c r="S7" s="3">
        <f t="shared" si="4"/>
        <v>-0.220949263502455</v>
      </c>
    </row>
    <row r="8" spans="1:19" x14ac:dyDescent="0.25">
      <c r="A8" s="74" t="s">
        <v>3327</v>
      </c>
      <c r="B8" s="51">
        <f>MEDIAN($Q$17:$Q$33)</f>
        <v>0.3316950084343972</v>
      </c>
      <c r="C8" s="51">
        <f>QUARTILE($Q$17:$Q$33,1)</f>
        <v>0.17977438345416014</v>
      </c>
      <c r="D8" s="51">
        <f>MIN($Q$17:$Q$33)</f>
        <v>-0.33071261989673223</v>
      </c>
      <c r="E8" s="51">
        <f>MAX($Q$17:$Q$33)</f>
        <v>1.6994851042129333</v>
      </c>
      <c r="F8" s="51">
        <f>QUARTILE($Q$17:$Q$33,3)</f>
        <v>0.37366667417659838</v>
      </c>
      <c r="G8" s="51">
        <f>AVERAGE($Q$17:$Q$33)</f>
        <v>0.39900783461817024</v>
      </c>
      <c r="I8" s="3" t="str">
        <f>FileReviewW12!A8</f>
        <v>SCE</v>
      </c>
      <c r="J8" s="3" t="str">
        <f>FileReviewW12!O8</f>
        <v>Advanced</v>
      </c>
      <c r="K8" s="3">
        <f>FileReviewW12!CL8</f>
        <v>14105</v>
      </c>
      <c r="L8" s="3">
        <f>FileReviewW12!CM8</f>
        <v>817</v>
      </c>
      <c r="M8" s="3">
        <f>FileReviewW12!CY8</f>
        <v>9721</v>
      </c>
      <c r="N8" s="3">
        <f>FileReviewW12!DB8</f>
        <v>448</v>
      </c>
      <c r="O8" s="3">
        <f t="shared" si="0"/>
        <v>38043.100000000006</v>
      </c>
      <c r="P8" s="3">
        <f t="shared" si="1"/>
        <v>22847.4</v>
      </c>
      <c r="Q8" s="3">
        <f t="shared" si="2"/>
        <v>-0.39943380008464091</v>
      </c>
      <c r="R8" s="3">
        <f t="shared" si="3"/>
        <v>-0.31081176887628503</v>
      </c>
      <c r="S8" s="3">
        <f t="shared" si="4"/>
        <v>-0.45165238678090575</v>
      </c>
    </row>
    <row r="9" spans="1:19" x14ac:dyDescent="0.25">
      <c r="I9" s="3" t="str">
        <f>FileReviewW12!A9</f>
        <v>SCE</v>
      </c>
      <c r="J9" s="3" t="str">
        <f>FileReviewW12!O9</f>
        <v>Advanced</v>
      </c>
      <c r="K9" s="3">
        <f>FileReviewW12!CL9</f>
        <v>5736</v>
      </c>
      <c r="L9" s="3">
        <f>FileReviewW12!CM9</f>
        <v>162</v>
      </c>
      <c r="M9" s="3">
        <f>FileReviewW12!CY9</f>
        <v>9556</v>
      </c>
      <c r="N9" s="3">
        <f>FileReviewW12!DB9</f>
        <v>482</v>
      </c>
      <c r="O9" s="3">
        <f t="shared" si="0"/>
        <v>10482.6</v>
      </c>
      <c r="P9" s="3">
        <f t="shared" si="1"/>
        <v>23678.6</v>
      </c>
      <c r="Q9" s="3">
        <f t="shared" si="2"/>
        <v>1.2588479957262508</v>
      </c>
      <c r="R9" s="3">
        <f t="shared" si="3"/>
        <v>0.6659693165969317</v>
      </c>
      <c r="S9" s="3">
        <f t="shared" si="4"/>
        <v>1.9753086419753085</v>
      </c>
    </row>
    <row r="10" spans="1:19" x14ac:dyDescent="0.25">
      <c r="B10" s="732" t="s">
        <v>1372</v>
      </c>
      <c r="C10" s="732"/>
      <c r="D10" s="732"/>
      <c r="E10" s="732"/>
      <c r="F10" s="732"/>
      <c r="G10" s="732"/>
      <c r="I10" s="3" t="str">
        <f>FileReviewW12!A14</f>
        <v>SCE</v>
      </c>
      <c r="J10" s="3" t="str">
        <f>FileReviewW12!O14</f>
        <v>Advanced</v>
      </c>
      <c r="K10" s="3">
        <f>FileReviewW12!CL14</f>
        <v>7070</v>
      </c>
      <c r="L10" s="3">
        <f>FileReviewW12!CM14</f>
        <v>402</v>
      </c>
      <c r="M10" s="3">
        <f>FileReviewW12!CY14</f>
        <v>3790</v>
      </c>
      <c r="N10" s="3">
        <f>FileReviewW12!DB14</f>
        <v>351</v>
      </c>
      <c r="O10" s="3">
        <f t="shared" si="0"/>
        <v>18848.599999999999</v>
      </c>
      <c r="P10" s="3">
        <f t="shared" si="1"/>
        <v>14074.300000000001</v>
      </c>
      <c r="Q10" s="3">
        <f t="shared" si="2"/>
        <v>-0.25329732712243869</v>
      </c>
      <c r="R10" s="3">
        <f t="shared" si="3"/>
        <v>-0.46393210749646391</v>
      </c>
      <c r="S10" s="3">
        <f t="shared" si="4"/>
        <v>-0.12686567164179105</v>
      </c>
    </row>
    <row r="11" spans="1:19" x14ac:dyDescent="0.25">
      <c r="B11" s="732" t="s">
        <v>1377</v>
      </c>
      <c r="C11" s="732"/>
      <c r="D11" s="732"/>
      <c r="E11" s="732"/>
      <c r="F11" s="732"/>
      <c r="G11" s="732"/>
      <c r="I11" s="3" t="str">
        <f>FileReviewW12!A15</f>
        <v>SCE</v>
      </c>
      <c r="J11" s="3" t="str">
        <f>FileReviewW12!O15</f>
        <v>Advanced</v>
      </c>
      <c r="K11" s="3">
        <f>FileReviewW12!CL15</f>
        <v>9140</v>
      </c>
      <c r="L11" s="3">
        <f>FileReviewW12!CM15</f>
        <v>690</v>
      </c>
      <c r="M11" s="3">
        <f>FileReviewW12!CY15</f>
        <v>17155</v>
      </c>
      <c r="N11" s="3">
        <f>FileReviewW12!DB15</f>
        <v>675</v>
      </c>
      <c r="O11" s="3">
        <f t="shared" si="0"/>
        <v>29357</v>
      </c>
      <c r="P11" s="3">
        <f t="shared" si="1"/>
        <v>36932.5</v>
      </c>
      <c r="Q11" s="3">
        <f t="shared" si="2"/>
        <v>0.25804748441598258</v>
      </c>
      <c r="R11" s="3">
        <f t="shared" si="3"/>
        <v>0.87691466083150982</v>
      </c>
      <c r="S11" s="3">
        <f t="shared" si="4"/>
        <v>-2.1739130434782608E-2</v>
      </c>
    </row>
    <row r="12" spans="1:19" ht="35.1" customHeight="1" x14ac:dyDescent="0.25">
      <c r="I12" s="3" t="str">
        <f>FileReviewW12!A16</f>
        <v>SCE</v>
      </c>
      <c r="J12" s="3" t="str">
        <f>FileReviewW12!O16</f>
        <v>Advanced</v>
      </c>
      <c r="K12" s="3">
        <f>FileReviewW12!CL16</f>
        <v>5993</v>
      </c>
      <c r="L12" s="3">
        <f>FileReviewW12!CM16</f>
        <v>360</v>
      </c>
      <c r="M12" s="3">
        <f>FileReviewW12!CY16</f>
        <v>5788</v>
      </c>
      <c r="N12" s="3">
        <f>FileReviewW12!DB16</f>
        <v>386</v>
      </c>
      <c r="O12" s="3">
        <f t="shared" si="0"/>
        <v>16541</v>
      </c>
      <c r="P12" s="3">
        <f t="shared" si="1"/>
        <v>17097.800000000003</v>
      </c>
      <c r="Q12" s="3">
        <f t="shared" si="2"/>
        <v>3.3661810047760289E-2</v>
      </c>
      <c r="R12" s="3">
        <f t="shared" si="3"/>
        <v>-3.4206574336726178E-2</v>
      </c>
      <c r="S12" s="3">
        <f t="shared" si="4"/>
        <v>7.2222222222222215E-2</v>
      </c>
    </row>
    <row r="13" spans="1:19" ht="35.1" customHeight="1" x14ac:dyDescent="0.25">
      <c r="I13" s="3" t="str">
        <f>FileReviewW12!A17</f>
        <v>SCE</v>
      </c>
      <c r="J13" s="3" t="str">
        <f>FileReviewW12!O17</f>
        <v>Advanced</v>
      </c>
      <c r="K13" s="3">
        <f>FileReviewW12!CL17</f>
        <v>4534</v>
      </c>
      <c r="L13" s="3">
        <f>FileReviewW12!CM17</f>
        <v>258</v>
      </c>
      <c r="M13" s="3">
        <f>FileReviewW12!CY17</f>
        <v>9069</v>
      </c>
      <c r="N13" s="3">
        <f>FileReviewW12!DB17</f>
        <v>375</v>
      </c>
      <c r="O13" s="3">
        <f t="shared" si="0"/>
        <v>12093.400000000001</v>
      </c>
      <c r="P13" s="3">
        <f t="shared" si="1"/>
        <v>20056.5</v>
      </c>
      <c r="Q13" s="3">
        <f t="shared" si="2"/>
        <v>0.658466601617411</v>
      </c>
      <c r="R13" s="3">
        <f t="shared" si="3"/>
        <v>1.0002205558006176</v>
      </c>
      <c r="S13" s="3">
        <f t="shared" si="4"/>
        <v>0.45348837209302323</v>
      </c>
    </row>
    <row r="14" spans="1:19" x14ac:dyDescent="0.25">
      <c r="I14" s="3" t="str">
        <f>FileReviewW12!A20</f>
        <v>SCE</v>
      </c>
      <c r="J14" s="3" t="str">
        <f>FileReviewW12!O20</f>
        <v>Advanced</v>
      </c>
      <c r="K14" s="3">
        <f>FileReviewW12!CL20</f>
        <v>8109</v>
      </c>
      <c r="L14" s="3">
        <f>FileReviewW12!CM20</f>
        <v>476</v>
      </c>
      <c r="M14" s="3">
        <f>FileReviewW12!CY20</f>
        <v>10137</v>
      </c>
      <c r="N14" s="3">
        <f>FileReviewW12!DB20</f>
        <v>638</v>
      </c>
      <c r="O14" s="3">
        <f t="shared" si="0"/>
        <v>22055.800000000003</v>
      </c>
      <c r="P14" s="3">
        <f t="shared" si="1"/>
        <v>28830.400000000001</v>
      </c>
      <c r="Q14" s="3">
        <f t="shared" si="2"/>
        <v>0.30715730102739403</v>
      </c>
      <c r="R14" s="3">
        <f t="shared" si="3"/>
        <v>0.25009248982611915</v>
      </c>
      <c r="S14" s="3">
        <f t="shared" si="4"/>
        <v>0.34033613445378152</v>
      </c>
    </row>
    <row r="15" spans="1:19" x14ac:dyDescent="0.25">
      <c r="I15" s="3" t="str">
        <f>FileReviewW12!A22</f>
        <v>SCE</v>
      </c>
      <c r="J15" s="3" t="str">
        <f>FileReviewW12!O22</f>
        <v>Advanced</v>
      </c>
      <c r="K15" s="3">
        <f>FileReviewW12!CL22</f>
        <v>4186</v>
      </c>
      <c r="L15" s="3">
        <f>FileReviewW12!CM22</f>
        <v>606</v>
      </c>
      <c r="M15" s="3">
        <f>FileReviewW12!CY22</f>
        <v>5523</v>
      </c>
      <c r="N15" s="3">
        <f>FileReviewW12!DB22</f>
        <v>564</v>
      </c>
      <c r="O15" s="3">
        <f t="shared" si="0"/>
        <v>21941.8</v>
      </c>
      <c r="P15" s="3">
        <f t="shared" si="1"/>
        <v>22048.2</v>
      </c>
      <c r="Q15" s="3">
        <f t="shared" si="2"/>
        <v>4.8491919532582311E-3</v>
      </c>
      <c r="R15" s="3">
        <f t="shared" si="3"/>
        <v>0.3193979933110368</v>
      </c>
      <c r="S15" s="3">
        <f t="shared" si="4"/>
        <v>-6.9306930693069313E-2</v>
      </c>
    </row>
    <row r="16" spans="1:19" x14ac:dyDescent="0.25">
      <c r="I16" s="3" t="str">
        <f>FileReviewW12!A23</f>
        <v>SCE</v>
      </c>
      <c r="J16" s="3" t="str">
        <f>FileReviewW12!O23</f>
        <v>Advanced</v>
      </c>
      <c r="K16" s="3">
        <f>FileReviewW12!CL23</f>
        <v>7548</v>
      </c>
      <c r="L16" s="3">
        <f>FileReviewW12!CM23</f>
        <v>255</v>
      </c>
      <c r="M16" s="3">
        <f>FileReviewW12!CY23</f>
        <v>22102</v>
      </c>
      <c r="N16" s="3">
        <f>FileReviewW12!DB23</f>
        <v>697</v>
      </c>
      <c r="O16" s="3">
        <f t="shared" si="0"/>
        <v>15019.5</v>
      </c>
      <c r="P16" s="3">
        <f t="shared" si="1"/>
        <v>42524.100000000006</v>
      </c>
      <c r="Q16" s="3">
        <f t="shared" si="2"/>
        <v>1.8312593628283236</v>
      </c>
      <c r="R16" s="3">
        <f t="shared" si="3"/>
        <v>1.9281928987811341</v>
      </c>
      <c r="S16" s="3">
        <f t="shared" si="4"/>
        <v>1.7333333333333334</v>
      </c>
    </row>
    <row r="17" spans="9:19" x14ac:dyDescent="0.25">
      <c r="I17" s="190" t="str">
        <f>FileReviewW12!A24</f>
        <v>PG&amp;E</v>
      </c>
      <c r="J17" s="190" t="str">
        <f>FileReviewW12!O24</f>
        <v>Advanced</v>
      </c>
      <c r="K17" s="190">
        <f>FileReviewW12!CL24</f>
        <v>2735</v>
      </c>
      <c r="L17" s="190">
        <f>FileReviewW12!CM24</f>
        <v>633</v>
      </c>
      <c r="M17" s="191">
        <f>FileReviewW12!BY24</f>
        <v>6073</v>
      </c>
      <c r="N17" s="191">
        <f>FileReviewW12!CA24</f>
        <v>760</v>
      </c>
      <c r="O17" s="190">
        <f t="shared" si="0"/>
        <v>21281.9</v>
      </c>
      <c r="P17" s="190">
        <f t="shared" si="1"/>
        <v>28341</v>
      </c>
      <c r="Q17" s="190">
        <f t="shared" si="2"/>
        <v>0.3316950084343972</v>
      </c>
      <c r="R17" s="190">
        <f t="shared" si="3"/>
        <v>1.2204753199268739</v>
      </c>
      <c r="S17" s="190">
        <f t="shared" si="4"/>
        <v>0.20063191153238547</v>
      </c>
    </row>
    <row r="18" spans="9:19" x14ac:dyDescent="0.25">
      <c r="I18" s="3" t="str">
        <f>FileReviewW12!A26</f>
        <v>PG&amp;E</v>
      </c>
      <c r="J18" s="3" t="str">
        <f>FileReviewW12!O26</f>
        <v>Advanced</v>
      </c>
      <c r="K18" s="3">
        <f>FileReviewW12!CL26</f>
        <v>15186</v>
      </c>
      <c r="L18" s="3">
        <f>FileReviewW12!CM26</f>
        <v>369</v>
      </c>
      <c r="M18" s="189">
        <f>FileReviewW12!BY26</f>
        <v>16284</v>
      </c>
      <c r="N18" s="189">
        <f>FileReviewW12!CA26</f>
        <v>620</v>
      </c>
      <c r="O18" s="3">
        <f t="shared" si="0"/>
        <v>25997.7</v>
      </c>
      <c r="P18" s="3">
        <f t="shared" si="1"/>
        <v>34450</v>
      </c>
      <c r="Q18" s="3">
        <f t="shared" si="2"/>
        <v>0.32511722190809184</v>
      </c>
      <c r="R18" s="3">
        <f t="shared" si="3"/>
        <v>7.2303437376531013E-2</v>
      </c>
      <c r="S18" s="3">
        <f t="shared" si="4"/>
        <v>0.68021680216802172</v>
      </c>
    </row>
    <row r="19" spans="9:19" x14ac:dyDescent="0.25">
      <c r="I19" s="3" t="str">
        <f>FileReviewW12!A33</f>
        <v>PG&amp;E</v>
      </c>
      <c r="J19" s="3" t="str">
        <f>FileReviewW12!O33</f>
        <v>Advanced</v>
      </c>
      <c r="K19" s="3">
        <f>FileReviewW12!CL33</f>
        <v>5667</v>
      </c>
      <c r="L19" s="3">
        <f>FileReviewW12!CM33</f>
        <v>429</v>
      </c>
      <c r="M19" s="189">
        <f>FileReviewW12!BY33</f>
        <v>16443</v>
      </c>
      <c r="N19" s="189">
        <f>FileReviewW12!CA33</f>
        <v>1119</v>
      </c>
      <c r="O19" s="3">
        <f t="shared" si="0"/>
        <v>18236.7</v>
      </c>
      <c r="P19" s="3">
        <f t="shared" si="1"/>
        <v>49229.700000000004</v>
      </c>
      <c r="Q19" s="3">
        <f t="shared" si="2"/>
        <v>1.6994851042129333</v>
      </c>
      <c r="R19" s="3">
        <f t="shared" si="3"/>
        <v>1.9015352038115405</v>
      </c>
      <c r="S19" s="3">
        <f t="shared" si="4"/>
        <v>1.6083916083916083</v>
      </c>
    </row>
    <row r="20" spans="9:19" x14ac:dyDescent="0.25">
      <c r="I20" s="3" t="str">
        <f>FileReviewW12!A41</f>
        <v>PG&amp;E</v>
      </c>
      <c r="J20" s="3" t="str">
        <f>FileReviewW12!O41</f>
        <v>Advanced</v>
      </c>
      <c r="K20" s="3">
        <f>FileReviewW12!CL41</f>
        <v>7722</v>
      </c>
      <c r="L20" s="3">
        <f>FileReviewW12!CM41</f>
        <v>281</v>
      </c>
      <c r="M20" s="189">
        <f>FileReviewW12!BY41</f>
        <v>1669</v>
      </c>
      <c r="N20" s="189">
        <f>FileReviewW12!CA41</f>
        <v>527</v>
      </c>
      <c r="O20" s="3">
        <f t="shared" si="0"/>
        <v>15955.300000000001</v>
      </c>
      <c r="P20" s="3">
        <f t="shared" si="1"/>
        <v>17110.099999999999</v>
      </c>
      <c r="Q20" s="3">
        <f t="shared" si="2"/>
        <v>7.2377203813152838E-2</v>
      </c>
      <c r="R20" s="3">
        <f t="shared" si="3"/>
        <v>-0.78386428386428386</v>
      </c>
      <c r="S20" s="3">
        <f t="shared" si="4"/>
        <v>0.8754448398576512</v>
      </c>
    </row>
    <row r="21" spans="9:19" x14ac:dyDescent="0.25">
      <c r="I21" s="3" t="str">
        <f>FileReviewW12!A42</f>
        <v>PG&amp;E</v>
      </c>
      <c r="J21" s="3" t="str">
        <f>FileReviewW12!O42</f>
        <v>Advanced</v>
      </c>
      <c r="K21" s="3">
        <f>FileReviewW12!CL42</f>
        <v>2735</v>
      </c>
      <c r="L21" s="3">
        <f>FileReviewW12!CM42</f>
        <v>633</v>
      </c>
      <c r="M21" s="189">
        <f>FileReviewW12!BY42</f>
        <v>6073</v>
      </c>
      <c r="N21" s="189">
        <f>FileReviewW12!CA42</f>
        <v>760</v>
      </c>
      <c r="O21" s="3">
        <f t="shared" si="0"/>
        <v>21281.9</v>
      </c>
      <c r="P21" s="3">
        <f t="shared" si="1"/>
        <v>28341</v>
      </c>
      <c r="Q21" s="3">
        <f t="shared" si="2"/>
        <v>0.3316950084343972</v>
      </c>
      <c r="R21" s="3">
        <f t="shared" si="3"/>
        <v>1.2204753199268739</v>
      </c>
      <c r="S21" s="3">
        <f t="shared" si="4"/>
        <v>0.20063191153238547</v>
      </c>
    </row>
    <row r="22" spans="9:19" x14ac:dyDescent="0.25">
      <c r="I22" s="3" t="str">
        <f>FileReviewW12!A44</f>
        <v>PG&amp;E</v>
      </c>
      <c r="J22" s="3" t="str">
        <f>FileReviewW12!O44</f>
        <v>Advanced</v>
      </c>
      <c r="K22" s="3">
        <f>FileReviewW12!CL44</f>
        <v>6538</v>
      </c>
      <c r="L22" s="3">
        <f>FileReviewW12!CM44</f>
        <v>619</v>
      </c>
      <c r="M22" s="189">
        <f>FileReviewW12!BY44</f>
        <v>6412</v>
      </c>
      <c r="N22" s="189">
        <f>FileReviewW12!CA44</f>
        <v>732</v>
      </c>
      <c r="O22" s="3">
        <f t="shared" si="0"/>
        <v>24674.7</v>
      </c>
      <c r="P22" s="3">
        <f t="shared" si="1"/>
        <v>27859.600000000002</v>
      </c>
      <c r="Q22" s="3">
        <f t="shared" si="2"/>
        <v>0.12907553080685891</v>
      </c>
      <c r="R22" s="3">
        <f t="shared" si="3"/>
        <v>-1.9271948608137045E-2</v>
      </c>
      <c r="S22" s="3">
        <f t="shared" si="4"/>
        <v>0.18255250403877221</v>
      </c>
    </row>
    <row r="23" spans="9:19" x14ac:dyDescent="0.25">
      <c r="I23" s="3" t="str">
        <f>FileReviewW12!A46</f>
        <v>PG&amp;E</v>
      </c>
      <c r="J23" s="3" t="str">
        <f>FileReviewW12!O46</f>
        <v>Advanced</v>
      </c>
      <c r="K23" s="3">
        <f>FileReviewW12!CL46</f>
        <v>11900</v>
      </c>
      <c r="L23" s="3">
        <f>FileReviewW12!CM46</f>
        <v>554</v>
      </c>
      <c r="M23" s="189">
        <f>FileReviewW12!BY46</f>
        <v>12275</v>
      </c>
      <c r="N23" s="189">
        <f>FileReviewW12!CA46</f>
        <v>753</v>
      </c>
      <c r="O23" s="3">
        <f t="shared" si="0"/>
        <v>28132.2</v>
      </c>
      <c r="P23" s="3">
        <f t="shared" si="1"/>
        <v>34337.9</v>
      </c>
      <c r="Q23" s="3">
        <f t="shared" si="2"/>
        <v>0.22059063990729486</v>
      </c>
      <c r="R23" s="3">
        <f t="shared" si="3"/>
        <v>3.1512605042016806E-2</v>
      </c>
      <c r="S23" s="3">
        <f t="shared" si="4"/>
        <v>0.3592057761732852</v>
      </c>
    </row>
    <row r="24" spans="9:19" x14ac:dyDescent="0.25">
      <c r="I24" s="3" t="str">
        <f>FileReviewW12!A49</f>
        <v>PG&amp;E</v>
      </c>
      <c r="J24" s="3" t="str">
        <f>FileReviewW12!O49</f>
        <v>Advanced</v>
      </c>
      <c r="K24" s="3">
        <f>FileReviewW12!CL49</f>
        <v>9856</v>
      </c>
      <c r="L24" s="3">
        <f>FileReviewW12!CM49</f>
        <v>1027</v>
      </c>
      <c r="M24" s="189">
        <f>FileReviewW12!BY49</f>
        <v>25574</v>
      </c>
      <c r="N24" s="189">
        <f>FileReviewW12!CA49</f>
        <v>1000</v>
      </c>
      <c r="O24" s="3">
        <f t="shared" si="0"/>
        <v>39947.100000000006</v>
      </c>
      <c r="P24" s="3">
        <f t="shared" si="1"/>
        <v>54874</v>
      </c>
      <c r="Q24" s="3">
        <f t="shared" si="2"/>
        <v>0.37366667417659838</v>
      </c>
      <c r="R24" s="3">
        <f t="shared" si="3"/>
        <v>1.5947646103896105</v>
      </c>
      <c r="S24" s="3">
        <f t="shared" si="4"/>
        <v>-2.6290165530671861E-2</v>
      </c>
    </row>
    <row r="25" spans="9:19" x14ac:dyDescent="0.25">
      <c r="I25" s="3" t="str">
        <f>FileReviewW12!A50</f>
        <v>PG&amp;E</v>
      </c>
      <c r="J25" s="3" t="str">
        <f>FileReviewW12!O50</f>
        <v>Advanced</v>
      </c>
      <c r="K25" s="3">
        <f>FileReviewW12!CL50</f>
        <v>2737</v>
      </c>
      <c r="L25" s="3">
        <f>FileReviewW12!CM50</f>
        <v>633</v>
      </c>
      <c r="M25" s="189">
        <f>FileReviewW12!BY50</f>
        <v>3897</v>
      </c>
      <c r="N25" s="189">
        <f>FileReviewW12!CA50</f>
        <v>724</v>
      </c>
      <c r="O25" s="3">
        <f t="shared" si="0"/>
        <v>21283.9</v>
      </c>
      <c r="P25" s="3">
        <f t="shared" si="1"/>
        <v>25110.2</v>
      </c>
      <c r="Q25" s="3">
        <f t="shared" si="2"/>
        <v>0.17977438345416014</v>
      </c>
      <c r="R25" s="3">
        <f t="shared" si="3"/>
        <v>0.42382170259408108</v>
      </c>
      <c r="S25" s="3">
        <f t="shared" si="4"/>
        <v>0.14375987361769352</v>
      </c>
    </row>
    <row r="26" spans="9:19" x14ac:dyDescent="0.25">
      <c r="I26" s="3" t="str">
        <f>FileReviewW12!A51</f>
        <v>PG&amp;E</v>
      </c>
      <c r="J26" s="3" t="str">
        <f>FileReviewW12!O51</f>
        <v>Advanced</v>
      </c>
      <c r="K26" s="3">
        <f>FileReviewW12!CL51</f>
        <v>8268</v>
      </c>
      <c r="L26" s="3">
        <f>FileReviewW12!CM51</f>
        <v>785</v>
      </c>
      <c r="M26" s="189">
        <f>FileReviewW12!BY51</f>
        <v>6342</v>
      </c>
      <c r="N26" s="189">
        <f>FileReviewW12!CA51</f>
        <v>1031</v>
      </c>
      <c r="O26" s="3">
        <f t="shared" si="0"/>
        <v>31268.5</v>
      </c>
      <c r="P26" s="3">
        <f t="shared" si="1"/>
        <v>36550.300000000003</v>
      </c>
      <c r="Q26" s="3">
        <f t="shared" si="2"/>
        <v>0.16891760078033813</v>
      </c>
      <c r="R26" s="3">
        <f t="shared" si="3"/>
        <v>-0.23294629898403482</v>
      </c>
      <c r="S26" s="3">
        <f t="shared" si="4"/>
        <v>0.31337579617834393</v>
      </c>
    </row>
    <row r="27" spans="9:19" x14ac:dyDescent="0.25">
      <c r="I27" s="3" t="str">
        <f>FileReviewW12!A52</f>
        <v>PG&amp;E</v>
      </c>
      <c r="J27" s="3" t="str">
        <f>FileReviewW12!O52</f>
        <v>Advanced</v>
      </c>
      <c r="K27" s="3">
        <f>FileReviewW12!CL52</f>
        <v>4031</v>
      </c>
      <c r="L27" s="3">
        <f>FileReviewW12!CM52</f>
        <v>349</v>
      </c>
      <c r="M27" s="189">
        <f>FileReviewW12!BY52</f>
        <v>4415</v>
      </c>
      <c r="N27" s="189">
        <f>FileReviewW12!CA52</f>
        <v>558</v>
      </c>
      <c r="O27" s="3">
        <f t="shared" si="0"/>
        <v>14256.7</v>
      </c>
      <c r="P27" s="3">
        <f t="shared" si="1"/>
        <v>20764.400000000001</v>
      </c>
      <c r="Q27" s="3">
        <f t="shared" si="2"/>
        <v>0.45646608261378863</v>
      </c>
      <c r="R27" s="3">
        <f t="shared" si="3"/>
        <v>9.5261721657157031E-2</v>
      </c>
      <c r="S27" s="3">
        <f t="shared" si="4"/>
        <v>0.59885386819484243</v>
      </c>
    </row>
    <row r="28" spans="9:19" x14ac:dyDescent="0.25">
      <c r="I28" s="3" t="str">
        <f>FileReviewW12!A55</f>
        <v>PG&amp;E</v>
      </c>
      <c r="J28" s="3" t="str">
        <f>FileReviewW12!O55</f>
        <v>Advanced</v>
      </c>
      <c r="K28" s="3">
        <f>FileReviewW12!CL55</f>
        <v>4512</v>
      </c>
      <c r="L28" s="3">
        <f>FileReviewW12!CM55</f>
        <v>501</v>
      </c>
      <c r="M28" s="189">
        <f>FileReviewW12!BY55</f>
        <v>12622</v>
      </c>
      <c r="N28" s="189">
        <f>FileReviewW12!CA55</f>
        <v>1222</v>
      </c>
      <c r="O28" s="3">
        <f t="shared" si="0"/>
        <v>19191.300000000003</v>
      </c>
      <c r="P28" s="3">
        <f t="shared" si="1"/>
        <v>48426.6</v>
      </c>
      <c r="Q28" s="3">
        <f t="shared" si="2"/>
        <v>1.5233621484735267</v>
      </c>
      <c r="R28" s="3">
        <f t="shared" si="3"/>
        <v>1.7974290780141844</v>
      </c>
      <c r="S28" s="3">
        <f t="shared" si="4"/>
        <v>1.439121756487026</v>
      </c>
    </row>
    <row r="29" spans="9:19" x14ac:dyDescent="0.25">
      <c r="I29" s="3" t="str">
        <f>FileReviewW12!A58</f>
        <v>PG&amp;E</v>
      </c>
      <c r="J29" s="3" t="str">
        <f>FileReviewW12!O58</f>
        <v>Advanced</v>
      </c>
      <c r="K29" s="3">
        <f>FileReviewW12!CL58</f>
        <v>2735</v>
      </c>
      <c r="L29" s="3">
        <f>FileReviewW12!CM58</f>
        <v>633</v>
      </c>
      <c r="M29" s="189">
        <f>FileReviewW12!BY58</f>
        <v>5774</v>
      </c>
      <c r="N29" s="189">
        <f>FileReviewW12!CA58</f>
        <v>783</v>
      </c>
      <c r="O29" s="3">
        <f t="shared" si="0"/>
        <v>21281.9</v>
      </c>
      <c r="P29" s="3">
        <f t="shared" si="1"/>
        <v>28715.9</v>
      </c>
      <c r="Q29" s="3">
        <f t="shared" si="2"/>
        <v>0.34931091678844461</v>
      </c>
      <c r="R29" s="3">
        <f t="shared" si="3"/>
        <v>1.1111517367458867</v>
      </c>
      <c r="S29" s="3">
        <f t="shared" si="4"/>
        <v>0.23696682464454977</v>
      </c>
    </row>
    <row r="30" spans="9:19" x14ac:dyDescent="0.25">
      <c r="I30" s="3" t="str">
        <f>FileReviewW12!A60</f>
        <v>PG&amp;E</v>
      </c>
      <c r="J30" s="3" t="str">
        <f>FileReviewW12!O60</f>
        <v>Advanced</v>
      </c>
      <c r="K30" s="3">
        <f>FileReviewW12!CL60</f>
        <v>8613</v>
      </c>
      <c r="L30" s="3">
        <f>FileReviewW12!CM60</f>
        <v>1072</v>
      </c>
      <c r="M30" s="189">
        <f>FileReviewW12!BY60</f>
        <v>8068</v>
      </c>
      <c r="N30" s="189">
        <f>FileReviewW12!CA60</f>
        <v>1560</v>
      </c>
      <c r="O30" s="3">
        <f t="shared" si="0"/>
        <v>40022.600000000006</v>
      </c>
      <c r="P30" s="3">
        <f t="shared" si="1"/>
        <v>53776</v>
      </c>
      <c r="Q30" s="3">
        <f t="shared" si="2"/>
        <v>0.34364084292374791</v>
      </c>
      <c r="R30" s="3">
        <f t="shared" si="3"/>
        <v>-6.3276442586787413E-2</v>
      </c>
      <c r="S30" s="3">
        <f t="shared" si="4"/>
        <v>0.45522388059701491</v>
      </c>
    </row>
    <row r="31" spans="9:19" x14ac:dyDescent="0.25">
      <c r="I31" s="3" t="str">
        <f>FileReviewW12!A64</f>
        <v>PG&amp;E</v>
      </c>
      <c r="J31" s="3" t="str">
        <f>FileReviewW12!O64</f>
        <v>Advanced</v>
      </c>
      <c r="K31" s="3">
        <f>FileReviewW12!CL64</f>
        <v>15691</v>
      </c>
      <c r="L31" s="3">
        <f>FileReviewW12!CM64</f>
        <v>1345</v>
      </c>
      <c r="M31" s="189">
        <f>FileReviewW12!BY64</f>
        <v>11738</v>
      </c>
      <c r="N31" s="189">
        <f>FileReviewW12!CA64</f>
        <v>858</v>
      </c>
      <c r="O31" s="3">
        <f t="shared" si="0"/>
        <v>55099.5</v>
      </c>
      <c r="P31" s="3">
        <f t="shared" si="1"/>
        <v>36877.4</v>
      </c>
      <c r="Q31" s="3">
        <f t="shared" si="2"/>
        <v>-0.33071261989673223</v>
      </c>
      <c r="R31" s="3">
        <f t="shared" si="3"/>
        <v>-0.25192785673315915</v>
      </c>
      <c r="S31" s="3">
        <f t="shared" si="4"/>
        <v>-0.36208178438661709</v>
      </c>
    </row>
    <row r="32" spans="9:19" x14ac:dyDescent="0.25">
      <c r="I32" s="3" t="str">
        <f>FileReviewW12!A72</f>
        <v>PG&amp;E</v>
      </c>
      <c r="J32" s="3" t="str">
        <f>FileReviewW12!O72</f>
        <v>Advanced</v>
      </c>
      <c r="K32" s="3">
        <f>FileReviewW12!CL72</f>
        <v>2735</v>
      </c>
      <c r="L32" s="3">
        <f>FileReviewW12!CM72</f>
        <v>633</v>
      </c>
      <c r="M32" s="189">
        <f>FileReviewW12!BY72</f>
        <v>5170</v>
      </c>
      <c r="N32" s="189">
        <f>FileReviewW12!CA72</f>
        <v>857</v>
      </c>
      <c r="O32" s="3">
        <f t="shared" si="0"/>
        <v>21281.9</v>
      </c>
      <c r="P32" s="3">
        <f t="shared" si="1"/>
        <v>30280.100000000002</v>
      </c>
      <c r="Q32" s="3">
        <f t="shared" si="2"/>
        <v>0.4228099934686283</v>
      </c>
      <c r="R32" s="3">
        <f t="shared" si="3"/>
        <v>0.89031078610603287</v>
      </c>
      <c r="S32" s="3">
        <f t="shared" si="4"/>
        <v>0.35387045813586099</v>
      </c>
    </row>
    <row r="33" spans="9:19" x14ac:dyDescent="0.25">
      <c r="I33" s="3" t="str">
        <f>FileReviewW12!A75</f>
        <v>PG&amp;E</v>
      </c>
      <c r="J33" s="3" t="str">
        <f>FileReviewW12!O75</f>
        <v>Advanced</v>
      </c>
      <c r="K33" s="3">
        <f>FileReviewW12!CL75</f>
        <v>3527</v>
      </c>
      <c r="L33" s="3">
        <f>FileReviewW12!CM75</f>
        <v>583</v>
      </c>
      <c r="M33" s="189">
        <f>FileReviewW12!BY75</f>
        <v>5365</v>
      </c>
      <c r="N33" s="189">
        <f>FileReviewW12!CA75</f>
        <v>651</v>
      </c>
      <c r="O33" s="3">
        <f t="shared" si="0"/>
        <v>20608.900000000001</v>
      </c>
      <c r="P33" s="3">
        <f t="shared" si="1"/>
        <v>24439.3</v>
      </c>
      <c r="Q33" s="3">
        <f t="shared" si="2"/>
        <v>0.1858614482092687</v>
      </c>
      <c r="R33" s="3">
        <f t="shared" si="3"/>
        <v>0.52112276722426987</v>
      </c>
      <c r="S33" s="3">
        <f t="shared" si="4"/>
        <v>0.11663807890222985</v>
      </c>
    </row>
  </sheetData>
  <customSheetViews>
    <customSheetView guid="{679A3195-3DEA-4AC2-A535-82AAF5B552BC}" state="hidden">
      <selection activeCell="O16" sqref="O16"/>
      <pageMargins left="0.7" right="0.7" top="0.75" bottom="0.75" header="0.3" footer="0.3"/>
      <pageSetup orientation="landscape" horizontalDpi="4294967293" verticalDpi="4294967293" r:id="rId1"/>
    </customSheetView>
    <customSheetView guid="{7378B641-E8D1-4C14-8151-CF4CE159D121}">
      <selection activeCell="A3" sqref="A3"/>
      <pageMargins left="0.7" right="0.7" top="0.75" bottom="0.75" header="0.3" footer="0.3"/>
      <pageSetup orientation="landscape" horizontalDpi="4294967293" verticalDpi="4294967293" r:id="rId2"/>
    </customSheetView>
    <customSheetView guid="{6D63B10B-E1E6-452A-80EB-4B2C7D61CF66}" state="hidden">
      <selection activeCell="O16" sqref="O16"/>
      <pageMargins left="0.7" right="0.7" top="0.75" bottom="0.75" header="0.3" footer="0.3"/>
      <pageSetup orientation="landscape" horizontalDpi="4294967293" verticalDpi="4294967293" r:id="rId3"/>
    </customSheetView>
  </customSheetViews>
  <mergeCells count="2">
    <mergeCell ref="B10:G10"/>
    <mergeCell ref="B11:G11"/>
  </mergeCells>
  <pageMargins left="0.7" right="0.7" top="0.75" bottom="0.75" header="0.3" footer="0.3"/>
  <pageSetup orientation="landscape" horizontalDpi="4294967293" verticalDpi="4294967293" r:id="rId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J10"/>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3.140625" customWidth="1"/>
    <col min="5" max="5" width="8.7109375" customWidth="1"/>
    <col min="6" max="6" width="14" customWidth="1"/>
    <col min="7" max="7" width="8.7109375" customWidth="1"/>
    <col min="8" max="8" width="12.140625" customWidth="1"/>
    <col min="9" max="9" width="8.7109375" customWidth="1"/>
    <col min="10" max="10" width="12" customWidth="1"/>
    <col min="20" max="20" width="3.7109375" customWidth="1"/>
  </cols>
  <sheetData>
    <row r="1" spans="1:10" x14ac:dyDescent="0.25">
      <c r="A1" s="3" t="s">
        <v>26</v>
      </c>
      <c r="B1" s="4" t="s">
        <v>2789</v>
      </c>
      <c r="C1" s="535" t="s">
        <v>3058</v>
      </c>
      <c r="D1" s="558" t="str">
        <f>B1</f>
        <v>Amount of Contractor Staff Hired Because of EUC Program</v>
      </c>
    </row>
    <row r="2" spans="1:10" x14ac:dyDescent="0.25">
      <c r="A2" t="s">
        <v>20</v>
      </c>
      <c r="B2" s="321" t="s">
        <v>60</v>
      </c>
      <c r="C2" s="536" t="s">
        <v>3059</v>
      </c>
    </row>
    <row r="3" spans="1:10" x14ac:dyDescent="0.25">
      <c r="A3" t="s">
        <v>1184</v>
      </c>
      <c r="B3" s="321" t="s">
        <v>3143</v>
      </c>
      <c r="C3" s="536" t="s">
        <v>1193</v>
      </c>
    </row>
    <row r="4" spans="1:10" x14ac:dyDescent="0.25">
      <c r="D4" s="799"/>
      <c r="E4" s="793" t="s">
        <v>2731</v>
      </c>
      <c r="F4" s="793"/>
      <c r="G4" s="793" t="s">
        <v>59</v>
      </c>
      <c r="H4" s="793"/>
      <c r="I4" s="793" t="s">
        <v>1260</v>
      </c>
      <c r="J4" s="793"/>
    </row>
    <row r="5" spans="1:10" ht="28.5" x14ac:dyDescent="0.25">
      <c r="D5" s="800"/>
      <c r="E5" s="410" t="s">
        <v>2732</v>
      </c>
      <c r="F5" s="410" t="s">
        <v>2790</v>
      </c>
      <c r="G5" s="410" t="s">
        <v>2732</v>
      </c>
      <c r="H5" s="410" t="s">
        <v>2790</v>
      </c>
      <c r="I5" s="410" t="s">
        <v>2732</v>
      </c>
      <c r="J5" s="410" t="s">
        <v>2790</v>
      </c>
    </row>
    <row r="6" spans="1:10" x14ac:dyDescent="0.25">
      <c r="D6" s="420" t="s">
        <v>2561</v>
      </c>
      <c r="E6" s="439">
        <v>4</v>
      </c>
      <c r="F6" s="439">
        <v>4</v>
      </c>
      <c r="G6" s="439">
        <v>4</v>
      </c>
      <c r="H6" s="439">
        <v>40</v>
      </c>
      <c r="I6" s="439">
        <v>8</v>
      </c>
      <c r="J6" s="439">
        <v>44</v>
      </c>
    </row>
    <row r="7" spans="1:10" x14ac:dyDescent="0.25">
      <c r="D7" s="420" t="s">
        <v>2558</v>
      </c>
      <c r="E7" s="439">
        <v>4</v>
      </c>
      <c r="F7" s="439">
        <v>28</v>
      </c>
      <c r="G7" s="439">
        <v>4</v>
      </c>
      <c r="H7" s="439">
        <v>48</v>
      </c>
      <c r="I7" s="439">
        <v>8</v>
      </c>
      <c r="J7" s="439">
        <v>76</v>
      </c>
    </row>
    <row r="8" spans="1:10" x14ac:dyDescent="0.25">
      <c r="D8" s="420" t="s">
        <v>2645</v>
      </c>
      <c r="E8" s="439">
        <v>2</v>
      </c>
      <c r="F8" s="439">
        <v>14</v>
      </c>
      <c r="G8" s="439">
        <v>5</v>
      </c>
      <c r="H8" s="439">
        <v>22</v>
      </c>
      <c r="I8" s="439">
        <v>7</v>
      </c>
      <c r="J8" s="439">
        <v>36</v>
      </c>
    </row>
    <row r="9" spans="1:10" x14ac:dyDescent="0.25">
      <c r="D9" s="436" t="s">
        <v>1260</v>
      </c>
      <c r="E9" s="439">
        <f>SUM(E6:E8)</f>
        <v>10</v>
      </c>
      <c r="F9" s="439">
        <v>46</v>
      </c>
      <c r="G9" s="439">
        <f>SUM(G6:G8)</f>
        <v>13</v>
      </c>
      <c r="H9" s="439">
        <v>110</v>
      </c>
      <c r="I9" s="441">
        <f>SUM(I6:I8)</f>
        <v>23</v>
      </c>
      <c r="J9" s="439">
        <v>156</v>
      </c>
    </row>
    <row r="10" spans="1:10" x14ac:dyDescent="0.25">
      <c r="D10" s="445" t="s">
        <v>2791</v>
      </c>
      <c r="E10" s="446" t="s">
        <v>2331</v>
      </c>
      <c r="F10" s="447">
        <f>F9/E9</f>
        <v>4.5999999999999996</v>
      </c>
      <c r="G10" s="446" t="s">
        <v>2331</v>
      </c>
      <c r="H10" s="447">
        <f>H9/G9</f>
        <v>8.4615384615384617</v>
      </c>
      <c r="I10" s="446" t="s">
        <v>2331</v>
      </c>
      <c r="J10" s="447">
        <f>J9/I9</f>
        <v>6.7826086956521738</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4">
    <mergeCell ref="D4:D5"/>
    <mergeCell ref="E4:F4"/>
    <mergeCell ref="G4:H4"/>
    <mergeCell ref="I4:J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J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3.140625" customWidth="1"/>
    <col min="5" max="5" width="8" customWidth="1"/>
    <col min="6" max="6" width="14" customWidth="1"/>
    <col min="7" max="10" width="8" customWidth="1"/>
    <col min="20" max="20" width="3.7109375" customWidth="1"/>
  </cols>
  <sheetData>
    <row r="1" spans="1:10" x14ac:dyDescent="0.25">
      <c r="A1" s="3" t="s">
        <v>26</v>
      </c>
      <c r="B1" s="4" t="s">
        <v>2792</v>
      </c>
      <c r="C1" s="535" t="s">
        <v>3058</v>
      </c>
      <c r="D1" s="558" t="str">
        <f>B1</f>
        <v>Proportion of Active Contractors that Plan to Add Staff</v>
      </c>
    </row>
    <row r="2" spans="1:10" x14ac:dyDescent="0.25">
      <c r="A2" t="s">
        <v>20</v>
      </c>
      <c r="B2" s="321" t="s">
        <v>60</v>
      </c>
      <c r="C2" s="536" t="s">
        <v>3059</v>
      </c>
    </row>
    <row r="3" spans="1:10" x14ac:dyDescent="0.25">
      <c r="A3" t="s">
        <v>1184</v>
      </c>
      <c r="B3" s="321" t="s">
        <v>3143</v>
      </c>
      <c r="C3" s="536" t="s">
        <v>1193</v>
      </c>
    </row>
    <row r="4" spans="1:10" x14ac:dyDescent="0.25">
      <c r="D4" s="410"/>
      <c r="E4" s="793" t="s">
        <v>2731</v>
      </c>
      <c r="F4" s="793"/>
      <c r="G4" s="793" t="s">
        <v>59</v>
      </c>
      <c r="H4" s="793"/>
      <c r="I4" s="793" t="s">
        <v>1260</v>
      </c>
      <c r="J4" s="793"/>
    </row>
    <row r="5" spans="1:10" x14ac:dyDescent="0.25">
      <c r="D5" s="410"/>
      <c r="E5" s="410" t="s">
        <v>2732</v>
      </c>
      <c r="F5" s="410" t="s">
        <v>2738</v>
      </c>
      <c r="G5" s="410" t="s">
        <v>2732</v>
      </c>
      <c r="H5" s="410" t="s">
        <v>2738</v>
      </c>
      <c r="I5" s="410" t="s">
        <v>2732</v>
      </c>
      <c r="J5" s="410" t="s">
        <v>2738</v>
      </c>
    </row>
    <row r="6" spans="1:10" x14ac:dyDescent="0.25">
      <c r="D6" s="420" t="s">
        <v>2561</v>
      </c>
      <c r="E6" s="436">
        <v>4</v>
      </c>
      <c r="F6" s="444">
        <v>0.25</v>
      </c>
      <c r="G6" s="436">
        <v>4</v>
      </c>
      <c r="H6" s="444">
        <v>1</v>
      </c>
      <c r="I6" s="436">
        <v>8</v>
      </c>
      <c r="J6" s="444">
        <v>0.63</v>
      </c>
    </row>
    <row r="7" spans="1:10" x14ac:dyDescent="0.25">
      <c r="D7" s="420" t="s">
        <v>2558</v>
      </c>
      <c r="E7" s="436">
        <v>4</v>
      </c>
      <c r="F7" s="444">
        <v>0</v>
      </c>
      <c r="G7" s="436">
        <v>4</v>
      </c>
      <c r="H7" s="444">
        <v>0.5</v>
      </c>
      <c r="I7" s="436">
        <v>8</v>
      </c>
      <c r="J7" s="444">
        <v>0.25</v>
      </c>
    </row>
    <row r="8" spans="1:10" x14ac:dyDescent="0.25">
      <c r="D8" s="420" t="s">
        <v>2645</v>
      </c>
      <c r="E8" s="436">
        <v>2</v>
      </c>
      <c r="F8" s="444">
        <v>0.5</v>
      </c>
      <c r="G8" s="436">
        <v>5</v>
      </c>
      <c r="H8" s="444">
        <v>0.4</v>
      </c>
      <c r="I8" s="436">
        <v>7</v>
      </c>
      <c r="J8" s="444">
        <v>0.43</v>
      </c>
    </row>
    <row r="9" spans="1:10" x14ac:dyDescent="0.25">
      <c r="D9" s="436" t="s">
        <v>1260</v>
      </c>
      <c r="E9" s="436">
        <v>10</v>
      </c>
      <c r="F9" s="444">
        <v>0.2</v>
      </c>
      <c r="G9" s="436">
        <v>13</v>
      </c>
      <c r="H9" s="444">
        <v>0.62</v>
      </c>
      <c r="I9" s="436">
        <v>23</v>
      </c>
      <c r="J9" s="443">
        <v>0.43</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3">
    <mergeCell ref="E4:F4"/>
    <mergeCell ref="G4:H4"/>
    <mergeCell ref="I4:J4"/>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G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7.42578125" customWidth="1"/>
    <col min="6" max="6" width="14" customWidth="1"/>
    <col min="7" max="7" width="12.7109375" customWidth="1"/>
  </cols>
  <sheetData>
    <row r="1" spans="1:7" ht="18.75" customHeight="1" x14ac:dyDescent="0.25">
      <c r="A1" s="3" t="s">
        <v>26</v>
      </c>
      <c r="B1" s="4" t="s">
        <v>2793</v>
      </c>
      <c r="C1" s="535" t="s">
        <v>3058</v>
      </c>
      <c r="D1" s="558" t="str">
        <f>B1</f>
        <v>How Participants First Heard about the Program</v>
      </c>
    </row>
    <row r="2" spans="1:7" x14ac:dyDescent="0.25">
      <c r="A2" t="s">
        <v>20</v>
      </c>
      <c r="B2" s="2" t="s">
        <v>60</v>
      </c>
      <c r="C2" s="536" t="s">
        <v>3059</v>
      </c>
    </row>
    <row r="3" spans="1:7" x14ac:dyDescent="0.25">
      <c r="A3" t="s">
        <v>1184</v>
      </c>
      <c r="B3" s="2" t="s">
        <v>2794</v>
      </c>
      <c r="C3" s="536" t="s">
        <v>1193</v>
      </c>
    </row>
    <row r="4" spans="1:7" ht="28.5" x14ac:dyDescent="0.25">
      <c r="D4" s="644"/>
      <c r="E4" s="599" t="s">
        <v>2608</v>
      </c>
      <c r="F4" s="599" t="s">
        <v>2609</v>
      </c>
      <c r="G4" s="600" t="s">
        <v>3172</v>
      </c>
    </row>
    <row r="5" spans="1:7" x14ac:dyDescent="0.25">
      <c r="B5" s="2"/>
      <c r="C5" s="2"/>
      <c r="D5" s="449" t="s">
        <v>46</v>
      </c>
      <c r="E5" s="450">
        <v>0.32051282051282048</v>
      </c>
      <c r="F5" s="451">
        <v>0.33870967741935482</v>
      </c>
      <c r="G5" s="452">
        <v>0.25</v>
      </c>
    </row>
    <row r="6" spans="1:7" ht="15.75" customHeight="1" x14ac:dyDescent="0.25">
      <c r="D6" s="449" t="s">
        <v>2795</v>
      </c>
      <c r="E6" s="450">
        <v>0.15384615384615385</v>
      </c>
      <c r="F6" s="451">
        <v>0.16129032258064516</v>
      </c>
      <c r="G6" s="452">
        <v>0.125</v>
      </c>
    </row>
    <row r="7" spans="1:7" ht="18" customHeight="1" x14ac:dyDescent="0.25">
      <c r="D7" s="449" t="s">
        <v>2796</v>
      </c>
      <c r="E7" s="450">
        <v>8.9743589743589744E-2</v>
      </c>
      <c r="F7" s="451">
        <v>4.8387096774193547E-2</v>
      </c>
      <c r="G7" s="452">
        <v>0.25</v>
      </c>
    </row>
    <row r="8" spans="1:7" ht="31.5" customHeight="1" x14ac:dyDescent="0.25">
      <c r="D8" s="449" t="s">
        <v>2797</v>
      </c>
      <c r="E8" s="450">
        <v>8.9743589743589744E-2</v>
      </c>
      <c r="F8" s="451">
        <v>0.11290322580645162</v>
      </c>
      <c r="G8" s="452" t="s">
        <v>2331</v>
      </c>
    </row>
    <row r="9" spans="1:7" x14ac:dyDescent="0.25">
      <c r="D9" s="453" t="s">
        <v>2798</v>
      </c>
      <c r="E9" s="454">
        <v>1.2820512820512822E-2</v>
      </c>
      <c r="F9" s="455">
        <v>1.6129032258064516E-2</v>
      </c>
      <c r="G9" s="456" t="s">
        <v>2331</v>
      </c>
    </row>
  </sheetData>
  <customSheetViews>
    <customSheetView guid="{679A3195-3DEA-4AC2-A535-82AAF5B552BC}" hiddenColumns="1" topLeftCell="C1">
      <selection activeCell="C3" sqref="C3"/>
      <pageMargins left="0.7" right="0.7" top="0.75" bottom="0.75" header="0.3" footer="0.3"/>
      <pageSetup orientation="portrait" verticalDpi="0" r:id="rId1"/>
    </customSheetView>
    <customSheetView guid="{7378B641-E8D1-4C14-8151-CF4CE159D121}" hiddenColumns="1" topLeftCell="C1">
      <selection activeCell="C3" sqref="C3"/>
      <pageMargins left="0.7" right="0.7" top="0.75" bottom="0.75" header="0.3" footer="0.3"/>
      <pageSetup orientation="portrait" verticalDpi="0" r:id="rId2"/>
    </customSheetView>
    <customSheetView guid="{6D63B10B-E1E6-452A-80EB-4B2C7D61CF66}" hiddenColumns="1" topLeftCell="C1">
      <selection activeCell="C3" sqref="C3"/>
      <pageMargins left="0.7" right="0.7" top="0.75" bottom="0.75" header="0.3" footer="0.3"/>
      <pageSetup orientation="portrait" verticalDpi="0" r:id="rId3"/>
    </customSheetView>
  </customSheetViews>
  <dataValidations count="3">
    <dataValidation type="list" allowBlank="1" showInputMessage="1" showErrorMessage="1" sqref="B3">
      <formula1>DataSource</formula1>
    </dataValidation>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orientation="portrait" verticalDpi="0"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G9"/>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22.7109375" customWidth="1"/>
    <col min="6" max="6" width="10.5703125" customWidth="1"/>
    <col min="7" max="7" width="12.28515625" customWidth="1"/>
  </cols>
  <sheetData>
    <row r="1" spans="1:7" ht="20.25" customHeight="1" x14ac:dyDescent="0.25">
      <c r="A1" s="3" t="s">
        <v>26</v>
      </c>
      <c r="B1" s="4" t="s">
        <v>3094</v>
      </c>
      <c r="C1" s="535" t="s">
        <v>3058</v>
      </c>
      <c r="D1" s="558" t="str">
        <f>B1</f>
        <v>Participants EUC Website Visitation and Feedback</v>
      </c>
    </row>
    <row r="2" spans="1:7" x14ac:dyDescent="0.25">
      <c r="A2" t="s">
        <v>20</v>
      </c>
      <c r="B2" s="2" t="s">
        <v>60</v>
      </c>
      <c r="C2" s="536" t="s">
        <v>3059</v>
      </c>
    </row>
    <row r="3" spans="1:7" x14ac:dyDescent="0.25">
      <c r="A3" t="s">
        <v>1184</v>
      </c>
      <c r="B3" s="2" t="s">
        <v>2794</v>
      </c>
      <c r="C3" s="536" t="s">
        <v>1193</v>
      </c>
    </row>
    <row r="4" spans="1:7" ht="28.5" x14ac:dyDescent="0.25">
      <c r="D4" s="448"/>
      <c r="E4" s="312" t="s">
        <v>2608</v>
      </c>
      <c r="F4" s="312" t="s">
        <v>2609</v>
      </c>
      <c r="G4" s="332" t="s">
        <v>3172</v>
      </c>
    </row>
    <row r="5" spans="1:7" x14ac:dyDescent="0.25">
      <c r="B5" s="2"/>
      <c r="C5" s="2"/>
      <c r="D5" s="35" t="s">
        <v>2799</v>
      </c>
      <c r="E5" s="454">
        <v>0.52631578947368418</v>
      </c>
      <c r="F5" s="455">
        <v>0.51666666666666661</v>
      </c>
      <c r="G5" s="456">
        <v>0.5625</v>
      </c>
    </row>
    <row r="6" spans="1:7" ht="30" x14ac:dyDescent="0.25">
      <c r="D6" s="449" t="s">
        <v>2800</v>
      </c>
      <c r="E6" s="457">
        <v>8.3000000000000007</v>
      </c>
      <c r="F6" s="458">
        <v>8.4838709677419359</v>
      </c>
      <c r="G6" s="459">
        <v>7.666666666666667</v>
      </c>
    </row>
    <row r="7" spans="1:7" ht="45" x14ac:dyDescent="0.25">
      <c r="D7" s="449" t="s">
        <v>2801</v>
      </c>
      <c r="E7" s="457">
        <v>8.1794871794871788</v>
      </c>
      <c r="F7" s="458">
        <v>8.1666666666666661</v>
      </c>
      <c r="G7" s="459">
        <v>8.2222222222222214</v>
      </c>
    </row>
    <row r="8" spans="1:7" ht="30" x14ac:dyDescent="0.25">
      <c r="D8" s="449" t="s">
        <v>2802</v>
      </c>
      <c r="E8" s="457">
        <v>7.8974358974358978</v>
      </c>
      <c r="F8" s="458">
        <v>8.1612903225806459</v>
      </c>
      <c r="G8" s="459">
        <v>6.875</v>
      </c>
    </row>
    <row r="9" spans="1:7" ht="49.5" customHeight="1" x14ac:dyDescent="0.25">
      <c r="D9" s="801" t="s">
        <v>3234</v>
      </c>
      <c r="E9" s="802"/>
      <c r="F9" s="802"/>
      <c r="G9" s="803"/>
    </row>
  </sheetData>
  <customSheetViews>
    <customSheetView guid="{679A3195-3DEA-4AC2-A535-82AAF5B552BC}" hiddenColumns="1" topLeftCell="C1">
      <selection activeCell="C3" sqref="C3"/>
      <pageMargins left="0.7" right="0.7" top="0.75" bottom="0.75" header="0.3" footer="0.3"/>
    </customSheetView>
    <customSheetView guid="{7378B641-E8D1-4C14-8151-CF4CE159D121}" hiddenColumns="1" topLeftCell="C1">
      <selection activeCell="C2" sqref="C2"/>
      <pageMargins left="0.7" right="0.7" top="0.75" bottom="0.75" header="0.3" footer="0.3"/>
    </customSheetView>
    <customSheetView guid="{6D63B10B-E1E6-452A-80EB-4B2C7D61CF66}" hiddenColumns="1" topLeftCell="C1">
      <selection activeCell="C3" sqref="C3"/>
      <pageMargins left="0.7" right="0.7" top="0.75" bottom="0.75" header="0.3" footer="0.3"/>
    </customSheetView>
  </customSheetViews>
  <mergeCells count="1">
    <mergeCell ref="D9:G9"/>
  </mergeCells>
  <dataValidations count="3">
    <dataValidation type="list" allowBlank="1" showInputMessage="1" showErrorMessage="1" sqref="B3">
      <formula1>DataSource</formula1>
    </dataValidation>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G90"/>
  <sheetViews>
    <sheetView topLeftCell="C1" zoomScaleNormal="100" workbookViewId="0">
      <pane xSplit="4" ySplit="4" topLeftCell="G5" activePane="bottomRight" state="frozen"/>
      <selection activeCell="C1" sqref="C1"/>
      <selection pane="topRight" activeCell="G1" sqref="G1"/>
      <selection pane="bottomLeft" activeCell="C5" sqref="C5"/>
      <selection pane="bottomRight" activeCell="C3" sqref="C3"/>
    </sheetView>
  </sheetViews>
  <sheetFormatPr defaultRowHeight="15" x14ac:dyDescent="0.25"/>
  <cols>
    <col min="1" max="1" width="11.5703125" hidden="1" customWidth="1"/>
    <col min="2" max="2" width="57.28515625" hidden="1" customWidth="1"/>
    <col min="3" max="3" width="18.7109375" customWidth="1"/>
    <col min="4" max="4" width="40" customWidth="1"/>
    <col min="5" max="5" width="7" bestFit="1" customWidth="1"/>
    <col min="6" max="6" width="14" customWidth="1"/>
    <col min="7" max="7" width="11.42578125" customWidth="1"/>
    <col min="10" max="10" width="3.5703125" customWidth="1"/>
    <col min="20" max="20" width="3.7109375" customWidth="1"/>
  </cols>
  <sheetData>
    <row r="1" spans="1:7" x14ac:dyDescent="0.25">
      <c r="A1" s="3" t="s">
        <v>26</v>
      </c>
      <c r="B1" s="4" t="s">
        <v>2803</v>
      </c>
      <c r="C1" s="535" t="s">
        <v>3058</v>
      </c>
      <c r="D1" s="558" t="str">
        <f>B1</f>
        <v xml:space="preserve">Participant Characteristics </v>
      </c>
    </row>
    <row r="2" spans="1:7" x14ac:dyDescent="0.25">
      <c r="A2" t="s">
        <v>20</v>
      </c>
      <c r="B2" s="321" t="s">
        <v>60</v>
      </c>
      <c r="C2" s="536" t="s">
        <v>3059</v>
      </c>
    </row>
    <row r="3" spans="1:7" x14ac:dyDescent="0.25">
      <c r="A3" t="s">
        <v>1184</v>
      </c>
      <c r="B3" s="321" t="s">
        <v>2794</v>
      </c>
      <c r="C3" s="536" t="s">
        <v>1193</v>
      </c>
    </row>
    <row r="4" spans="1:7" ht="28.5" x14ac:dyDescent="0.25">
      <c r="D4" s="460"/>
      <c r="E4" s="461" t="s">
        <v>1260</v>
      </c>
      <c r="F4" s="461" t="s">
        <v>2731</v>
      </c>
      <c r="G4" s="462" t="s">
        <v>3206</v>
      </c>
    </row>
    <row r="5" spans="1:7" x14ac:dyDescent="0.25">
      <c r="D5" s="582"/>
      <c r="E5" s="583"/>
      <c r="F5" s="583"/>
      <c r="G5" s="584"/>
    </row>
    <row r="6" spans="1:7" x14ac:dyDescent="0.25">
      <c r="D6" s="463" t="s">
        <v>2804</v>
      </c>
      <c r="E6" s="464" t="s">
        <v>2805</v>
      </c>
      <c r="F6" s="464" t="s">
        <v>2806</v>
      </c>
      <c r="G6" s="465" t="s">
        <v>2807</v>
      </c>
    </row>
    <row r="7" spans="1:7" x14ac:dyDescent="0.25">
      <c r="D7" s="466" t="s">
        <v>2808</v>
      </c>
      <c r="E7" s="467">
        <v>0.9</v>
      </c>
      <c r="F7" s="345">
        <v>0.9</v>
      </c>
      <c r="G7" s="468">
        <v>0.88</v>
      </c>
    </row>
    <row r="8" spans="1:7" x14ac:dyDescent="0.25">
      <c r="D8" s="466" t="s">
        <v>2809</v>
      </c>
      <c r="E8" s="467">
        <v>0.1</v>
      </c>
      <c r="F8" s="345">
        <v>0.1</v>
      </c>
      <c r="G8" s="468">
        <v>0.13</v>
      </c>
    </row>
    <row r="9" spans="1:7" x14ac:dyDescent="0.25">
      <c r="D9" s="804"/>
      <c r="E9" s="807"/>
      <c r="F9" s="807"/>
      <c r="G9" s="808"/>
    </row>
    <row r="10" spans="1:7" x14ac:dyDescent="0.25">
      <c r="D10" s="463" t="s">
        <v>2810</v>
      </c>
      <c r="E10" s="464" t="s">
        <v>2805</v>
      </c>
      <c r="F10" s="464" t="s">
        <v>2806</v>
      </c>
      <c r="G10" s="465" t="s">
        <v>2807</v>
      </c>
    </row>
    <row r="11" spans="1:7" x14ac:dyDescent="0.25">
      <c r="D11" s="466" t="s">
        <v>2811</v>
      </c>
      <c r="E11" s="467">
        <v>0.15</v>
      </c>
      <c r="F11" s="345">
        <v>0.19</v>
      </c>
      <c r="G11" s="468" t="s">
        <v>2331</v>
      </c>
    </row>
    <row r="12" spans="1:7" x14ac:dyDescent="0.25">
      <c r="D12" s="466" t="s">
        <v>2812</v>
      </c>
      <c r="E12" s="467">
        <v>0.28000000000000003</v>
      </c>
      <c r="F12" s="345">
        <v>0.32</v>
      </c>
      <c r="G12" s="468">
        <v>0.13</v>
      </c>
    </row>
    <row r="13" spans="1:7" x14ac:dyDescent="0.25">
      <c r="D13" s="804"/>
      <c r="E13" s="807"/>
      <c r="F13" s="807"/>
      <c r="G13" s="808"/>
    </row>
    <row r="14" spans="1:7" x14ac:dyDescent="0.25">
      <c r="D14" s="463" t="s">
        <v>2813</v>
      </c>
      <c r="E14" s="464" t="s">
        <v>2805</v>
      </c>
      <c r="F14" s="464" t="s">
        <v>2806</v>
      </c>
      <c r="G14" s="465" t="s">
        <v>2807</v>
      </c>
    </row>
    <row r="15" spans="1:7" x14ac:dyDescent="0.25">
      <c r="D15" s="466" t="s">
        <v>2814</v>
      </c>
      <c r="E15" s="467">
        <v>0.42</v>
      </c>
      <c r="F15" s="345">
        <v>0.44</v>
      </c>
      <c r="G15" s="468">
        <v>0.31</v>
      </c>
    </row>
    <row r="16" spans="1:7" x14ac:dyDescent="0.25">
      <c r="D16" s="804"/>
      <c r="E16" s="807"/>
      <c r="F16" s="807"/>
      <c r="G16" s="808"/>
    </row>
    <row r="17" spans="4:7" x14ac:dyDescent="0.25">
      <c r="D17" s="463" t="s">
        <v>2815</v>
      </c>
      <c r="E17" s="464" t="s">
        <v>2805</v>
      </c>
      <c r="F17" s="464" t="s">
        <v>2806</v>
      </c>
      <c r="G17" s="465" t="s">
        <v>2807</v>
      </c>
    </row>
    <row r="18" spans="4:7" x14ac:dyDescent="0.25">
      <c r="D18" s="466" t="s">
        <v>2816</v>
      </c>
      <c r="E18" s="467">
        <v>0.77</v>
      </c>
      <c r="F18" s="345">
        <v>0.74</v>
      </c>
      <c r="G18" s="468">
        <v>0.88</v>
      </c>
    </row>
    <row r="19" spans="4:7" x14ac:dyDescent="0.25">
      <c r="D19" s="469" t="s">
        <v>2817</v>
      </c>
      <c r="E19" s="467">
        <v>0.45</v>
      </c>
      <c r="F19" s="345">
        <v>0.5</v>
      </c>
      <c r="G19" s="468">
        <v>0.46</v>
      </c>
    </row>
    <row r="20" spans="4:7" x14ac:dyDescent="0.25">
      <c r="D20" s="804"/>
      <c r="E20" s="807"/>
      <c r="F20" s="807"/>
      <c r="G20" s="808"/>
    </row>
    <row r="21" spans="4:7" x14ac:dyDescent="0.25">
      <c r="D21" s="463" t="s">
        <v>2818</v>
      </c>
      <c r="E21" s="464" t="s">
        <v>2819</v>
      </c>
      <c r="F21" s="464" t="s">
        <v>2820</v>
      </c>
      <c r="G21" s="465" t="s">
        <v>2821</v>
      </c>
    </row>
    <row r="22" spans="4:7" x14ac:dyDescent="0.25">
      <c r="D22" s="466" t="s">
        <v>2822</v>
      </c>
      <c r="E22" s="467">
        <v>0.31</v>
      </c>
      <c r="F22" s="345">
        <v>0.34</v>
      </c>
      <c r="G22" s="468">
        <v>0.14000000000000001</v>
      </c>
    </row>
    <row r="23" spans="4:7" x14ac:dyDescent="0.25">
      <c r="D23" s="466" t="s">
        <v>2823</v>
      </c>
      <c r="E23" s="467">
        <v>0.23</v>
      </c>
      <c r="F23" s="345">
        <v>0.18</v>
      </c>
      <c r="G23" s="468">
        <v>0.43</v>
      </c>
    </row>
    <row r="24" spans="4:7" x14ac:dyDescent="0.25">
      <c r="D24" s="466" t="s">
        <v>2824</v>
      </c>
      <c r="E24" s="467">
        <v>0.08</v>
      </c>
      <c r="F24" s="345">
        <v>0.08</v>
      </c>
      <c r="G24" s="468">
        <v>7.0000000000000007E-2</v>
      </c>
    </row>
    <row r="25" spans="4:7" x14ac:dyDescent="0.25">
      <c r="D25" s="466" t="s">
        <v>2825</v>
      </c>
      <c r="E25" s="467">
        <v>0.19</v>
      </c>
      <c r="F25" s="345">
        <v>0.18</v>
      </c>
      <c r="G25" s="468">
        <v>0.21</v>
      </c>
    </row>
    <row r="26" spans="4:7" x14ac:dyDescent="0.25">
      <c r="D26" s="466" t="s">
        <v>2826</v>
      </c>
      <c r="E26" s="467">
        <v>0.12</v>
      </c>
      <c r="F26" s="345">
        <v>0.11</v>
      </c>
      <c r="G26" s="468">
        <v>0.14000000000000001</v>
      </c>
    </row>
    <row r="27" spans="4:7" x14ac:dyDescent="0.25">
      <c r="D27" s="466" t="s">
        <v>2827</v>
      </c>
      <c r="E27" s="467">
        <v>0.08</v>
      </c>
      <c r="F27" s="345">
        <v>0.1</v>
      </c>
      <c r="G27" s="468" t="s">
        <v>2331</v>
      </c>
    </row>
    <row r="28" spans="4:7" x14ac:dyDescent="0.25">
      <c r="D28" s="804"/>
      <c r="E28" s="807"/>
      <c r="F28" s="807"/>
      <c r="G28" s="808"/>
    </row>
    <row r="29" spans="4:7" ht="30" x14ac:dyDescent="0.25">
      <c r="D29" s="463" t="s">
        <v>2828</v>
      </c>
      <c r="E29" s="470" t="s">
        <v>2805</v>
      </c>
      <c r="F29" s="470" t="s">
        <v>2806</v>
      </c>
      <c r="G29" s="471" t="s">
        <v>2807</v>
      </c>
    </row>
    <row r="30" spans="4:7" x14ac:dyDescent="0.25">
      <c r="D30" s="469">
        <v>1</v>
      </c>
      <c r="E30" s="467">
        <v>0.06</v>
      </c>
      <c r="F30" s="345">
        <v>0.08</v>
      </c>
      <c r="G30" s="468" t="s">
        <v>2331</v>
      </c>
    </row>
    <row r="31" spans="4:7" x14ac:dyDescent="0.25">
      <c r="D31" s="469">
        <v>2</v>
      </c>
      <c r="E31" s="467">
        <v>0.49</v>
      </c>
      <c r="F31" s="345">
        <v>0.52</v>
      </c>
      <c r="G31" s="468">
        <v>0.38</v>
      </c>
    </row>
    <row r="32" spans="4:7" x14ac:dyDescent="0.25">
      <c r="D32" s="469">
        <v>3</v>
      </c>
      <c r="E32" s="467">
        <v>0.24</v>
      </c>
      <c r="F32" s="345">
        <v>0.19</v>
      </c>
      <c r="G32" s="468">
        <v>0.44</v>
      </c>
    </row>
    <row r="33" spans="4:7" x14ac:dyDescent="0.25">
      <c r="D33" s="469">
        <v>4</v>
      </c>
      <c r="E33" s="467">
        <v>0.14000000000000001</v>
      </c>
      <c r="F33" s="345">
        <v>0.15</v>
      </c>
      <c r="G33" s="468">
        <v>0.13</v>
      </c>
    </row>
    <row r="34" spans="4:7" x14ac:dyDescent="0.25">
      <c r="D34" s="469" t="s">
        <v>2829</v>
      </c>
      <c r="E34" s="467">
        <v>0.06</v>
      </c>
      <c r="F34" s="345">
        <v>0.06</v>
      </c>
      <c r="G34" s="468">
        <v>0.06</v>
      </c>
    </row>
    <row r="35" spans="4:7" x14ac:dyDescent="0.25">
      <c r="D35" s="463" t="s">
        <v>2830</v>
      </c>
      <c r="E35" s="464" t="s">
        <v>2831</v>
      </c>
      <c r="F35" s="464" t="s">
        <v>2832</v>
      </c>
      <c r="G35" s="465" t="s">
        <v>2807</v>
      </c>
    </row>
    <row r="36" spans="4:7" x14ac:dyDescent="0.25">
      <c r="D36" s="364">
        <v>0</v>
      </c>
      <c r="E36" s="467">
        <v>0.59</v>
      </c>
      <c r="F36" s="345">
        <v>0.63</v>
      </c>
      <c r="G36" s="468">
        <v>0.44</v>
      </c>
    </row>
    <row r="37" spans="4:7" x14ac:dyDescent="0.25">
      <c r="D37" s="364">
        <v>1</v>
      </c>
      <c r="E37" s="467">
        <v>0.23</v>
      </c>
      <c r="F37" s="345">
        <v>0.19</v>
      </c>
      <c r="G37" s="468">
        <v>0.38</v>
      </c>
    </row>
    <row r="38" spans="4:7" x14ac:dyDescent="0.25">
      <c r="D38" s="364">
        <v>2</v>
      </c>
      <c r="E38" s="467">
        <v>0.14000000000000001</v>
      </c>
      <c r="F38" s="345">
        <v>0.14000000000000001</v>
      </c>
      <c r="G38" s="468">
        <v>0.13</v>
      </c>
    </row>
    <row r="39" spans="4:7" x14ac:dyDescent="0.25">
      <c r="D39" s="364">
        <v>3</v>
      </c>
      <c r="E39" s="467">
        <v>0.03</v>
      </c>
      <c r="F39" s="345">
        <v>0.02</v>
      </c>
      <c r="G39" s="468">
        <v>0.06</v>
      </c>
    </row>
    <row r="40" spans="4:7" x14ac:dyDescent="0.25">
      <c r="D40" s="364">
        <v>4</v>
      </c>
      <c r="E40" s="467">
        <v>0.01</v>
      </c>
      <c r="F40" s="345">
        <v>0.02</v>
      </c>
      <c r="G40" s="468" t="s">
        <v>2331</v>
      </c>
    </row>
    <row r="41" spans="4:7" x14ac:dyDescent="0.25">
      <c r="D41" s="804"/>
      <c r="E41" s="805"/>
      <c r="F41" s="805"/>
      <c r="G41" s="806"/>
    </row>
    <row r="42" spans="4:7" x14ac:dyDescent="0.25">
      <c r="D42" s="463" t="s">
        <v>2833</v>
      </c>
      <c r="E42" s="464" t="s">
        <v>2805</v>
      </c>
      <c r="F42" s="464" t="s">
        <v>2806</v>
      </c>
      <c r="G42" s="465" t="s">
        <v>2821</v>
      </c>
    </row>
    <row r="43" spans="4:7" x14ac:dyDescent="0.25">
      <c r="D43" s="469" t="s">
        <v>2834</v>
      </c>
      <c r="E43" s="467">
        <v>0.03</v>
      </c>
      <c r="F43" s="345">
        <v>0.03</v>
      </c>
      <c r="G43" s="468" t="s">
        <v>2331</v>
      </c>
    </row>
    <row r="44" spans="4:7" x14ac:dyDescent="0.25">
      <c r="D44" s="469" t="s">
        <v>2835</v>
      </c>
      <c r="E44" s="467">
        <v>0.13</v>
      </c>
      <c r="F44" s="345">
        <v>0.15</v>
      </c>
      <c r="G44" s="468">
        <v>7.0000000000000007E-2</v>
      </c>
    </row>
    <row r="45" spans="4:7" x14ac:dyDescent="0.25">
      <c r="D45" s="469" t="s">
        <v>2836</v>
      </c>
      <c r="E45" s="467">
        <v>0.18</v>
      </c>
      <c r="F45" s="345">
        <v>0.19</v>
      </c>
      <c r="G45" s="468">
        <v>0.14000000000000001</v>
      </c>
    </row>
    <row r="46" spans="4:7" x14ac:dyDescent="0.25">
      <c r="D46" s="469" t="s">
        <v>2837</v>
      </c>
      <c r="E46" s="467">
        <v>0.25</v>
      </c>
      <c r="F46" s="345">
        <v>0.23</v>
      </c>
      <c r="G46" s="468">
        <v>0.36</v>
      </c>
    </row>
    <row r="47" spans="4:7" x14ac:dyDescent="0.25">
      <c r="D47" s="469" t="s">
        <v>2838</v>
      </c>
      <c r="E47" s="467">
        <v>0.2</v>
      </c>
      <c r="F47" s="345">
        <v>0.15</v>
      </c>
      <c r="G47" s="468">
        <v>0.43</v>
      </c>
    </row>
    <row r="48" spans="4:7" x14ac:dyDescent="0.25">
      <c r="D48" s="469" t="s">
        <v>2839</v>
      </c>
      <c r="E48" s="467">
        <v>0.16</v>
      </c>
      <c r="F48" s="345">
        <v>0.19</v>
      </c>
      <c r="G48" s="468" t="s">
        <v>2331</v>
      </c>
    </row>
    <row r="49" spans="4:7" x14ac:dyDescent="0.25">
      <c r="D49" s="469" t="s">
        <v>2840</v>
      </c>
      <c r="E49" s="467">
        <v>0.05</v>
      </c>
      <c r="F49" s="345">
        <v>0.06</v>
      </c>
      <c r="G49" s="468" t="s">
        <v>2331</v>
      </c>
    </row>
    <row r="50" spans="4:7" x14ac:dyDescent="0.25">
      <c r="D50" s="804"/>
      <c r="E50" s="805"/>
      <c r="F50" s="805"/>
      <c r="G50" s="806"/>
    </row>
    <row r="51" spans="4:7" x14ac:dyDescent="0.25">
      <c r="D51" s="463" t="s">
        <v>2841</v>
      </c>
      <c r="E51" s="464" t="s">
        <v>2805</v>
      </c>
      <c r="F51" s="464" t="s">
        <v>2806</v>
      </c>
      <c r="G51" s="465" t="s">
        <v>2821</v>
      </c>
    </row>
    <row r="52" spans="4:7" x14ac:dyDescent="0.25">
      <c r="D52" s="469" t="s">
        <v>2842</v>
      </c>
      <c r="E52" s="345" t="s">
        <v>2331</v>
      </c>
      <c r="F52" s="345" t="s">
        <v>2331</v>
      </c>
      <c r="G52" s="468" t="s">
        <v>2331</v>
      </c>
    </row>
    <row r="53" spans="4:7" x14ac:dyDescent="0.25">
      <c r="D53" s="469" t="s">
        <v>2843</v>
      </c>
      <c r="E53" s="472">
        <v>0.1</v>
      </c>
      <c r="F53" s="346">
        <v>0.11</v>
      </c>
      <c r="G53" s="473">
        <v>0.06</v>
      </c>
    </row>
    <row r="54" spans="4:7" x14ac:dyDescent="0.25">
      <c r="D54" s="469" t="s">
        <v>2844</v>
      </c>
      <c r="E54" s="472">
        <v>0.13</v>
      </c>
      <c r="F54" s="346">
        <v>0.11</v>
      </c>
      <c r="G54" s="473">
        <v>0.19</v>
      </c>
    </row>
    <row r="55" spans="4:7" x14ac:dyDescent="0.25">
      <c r="D55" s="469" t="s">
        <v>2845</v>
      </c>
      <c r="E55" s="472">
        <v>0.13</v>
      </c>
      <c r="F55" s="346">
        <v>0.11</v>
      </c>
      <c r="G55" s="473">
        <v>0.19</v>
      </c>
    </row>
    <row r="56" spans="4:7" x14ac:dyDescent="0.25">
      <c r="D56" s="469" t="s">
        <v>2846</v>
      </c>
      <c r="E56" s="472">
        <v>0.14000000000000001</v>
      </c>
      <c r="F56" s="346">
        <v>0.11</v>
      </c>
      <c r="G56" s="473">
        <v>0.25</v>
      </c>
    </row>
    <row r="57" spans="4:7" x14ac:dyDescent="0.25">
      <c r="D57" s="469" t="s">
        <v>2847</v>
      </c>
      <c r="E57" s="472">
        <v>0.18</v>
      </c>
      <c r="F57" s="346">
        <v>0.18</v>
      </c>
      <c r="G57" s="473">
        <v>0.19</v>
      </c>
    </row>
    <row r="58" spans="4:7" x14ac:dyDescent="0.25">
      <c r="D58" s="469" t="s">
        <v>2848</v>
      </c>
      <c r="E58" s="472">
        <v>0.15</v>
      </c>
      <c r="F58" s="346">
        <v>0.19</v>
      </c>
      <c r="G58" s="473" t="s">
        <v>2331</v>
      </c>
    </row>
    <row r="59" spans="4:7" x14ac:dyDescent="0.25">
      <c r="D59" s="469" t="s">
        <v>2849</v>
      </c>
      <c r="E59" s="472">
        <v>0.17</v>
      </c>
      <c r="F59" s="346">
        <v>0.18</v>
      </c>
      <c r="G59" s="473">
        <v>0.13</v>
      </c>
    </row>
    <row r="60" spans="4:7" x14ac:dyDescent="0.25">
      <c r="D60" s="804"/>
      <c r="E60" s="805"/>
      <c r="F60" s="805"/>
      <c r="G60" s="806"/>
    </row>
    <row r="61" spans="4:7" x14ac:dyDescent="0.25">
      <c r="D61" s="474" t="s">
        <v>2850</v>
      </c>
      <c r="E61" s="475" t="s">
        <v>2805</v>
      </c>
      <c r="F61" s="475" t="s">
        <v>2806</v>
      </c>
      <c r="G61" s="476" t="s">
        <v>2807</v>
      </c>
    </row>
    <row r="62" spans="4:7" x14ac:dyDescent="0.25">
      <c r="D62" s="469" t="s">
        <v>2851</v>
      </c>
      <c r="E62" s="472">
        <v>0.44</v>
      </c>
      <c r="F62" s="346">
        <v>0.48</v>
      </c>
      <c r="G62" s="473">
        <v>0.25</v>
      </c>
    </row>
    <row r="63" spans="4:7" x14ac:dyDescent="0.25">
      <c r="D63" s="469" t="s">
        <v>2852</v>
      </c>
      <c r="E63" s="472">
        <v>0.14000000000000001</v>
      </c>
      <c r="F63" s="346">
        <v>0.13</v>
      </c>
      <c r="G63" s="473">
        <v>0.19</v>
      </c>
    </row>
    <row r="64" spans="4:7" x14ac:dyDescent="0.25">
      <c r="D64" s="469" t="s">
        <v>2853</v>
      </c>
      <c r="E64" s="472">
        <v>0.08</v>
      </c>
      <c r="F64" s="346">
        <v>0.06</v>
      </c>
      <c r="G64" s="473">
        <v>0.13</v>
      </c>
    </row>
    <row r="65" spans="4:7" x14ac:dyDescent="0.25">
      <c r="D65" s="469" t="s">
        <v>2854</v>
      </c>
      <c r="E65" s="472">
        <v>0.1</v>
      </c>
      <c r="F65" s="346">
        <v>0.08</v>
      </c>
      <c r="G65" s="473">
        <v>0.19</v>
      </c>
    </row>
    <row r="66" spans="4:7" x14ac:dyDescent="0.25">
      <c r="D66" s="469" t="s">
        <v>2855</v>
      </c>
      <c r="E66" s="472">
        <v>0.04</v>
      </c>
      <c r="F66" s="346">
        <v>0.02</v>
      </c>
      <c r="G66" s="473">
        <v>0.13</v>
      </c>
    </row>
    <row r="67" spans="4:7" x14ac:dyDescent="0.25">
      <c r="D67" s="469" t="s">
        <v>2856</v>
      </c>
      <c r="E67" s="472">
        <v>0.06</v>
      </c>
      <c r="F67" s="346">
        <v>0.08</v>
      </c>
      <c r="G67" s="473" t="s">
        <v>2331</v>
      </c>
    </row>
    <row r="68" spans="4:7" x14ac:dyDescent="0.25">
      <c r="D68" s="469" t="s">
        <v>2857</v>
      </c>
      <c r="E68" s="472">
        <v>0.14000000000000001</v>
      </c>
      <c r="F68" s="346">
        <v>0.15</v>
      </c>
      <c r="G68" s="473">
        <v>0.13</v>
      </c>
    </row>
    <row r="69" spans="4:7" x14ac:dyDescent="0.25">
      <c r="D69" s="804"/>
      <c r="E69" s="805"/>
      <c r="F69" s="805"/>
      <c r="G69" s="806"/>
    </row>
    <row r="70" spans="4:7" x14ac:dyDescent="0.25">
      <c r="D70" s="474" t="s">
        <v>2858</v>
      </c>
      <c r="E70" s="475" t="s">
        <v>2859</v>
      </c>
      <c r="F70" s="475" t="s">
        <v>2860</v>
      </c>
      <c r="G70" s="476" t="s">
        <v>2807</v>
      </c>
    </row>
    <row r="71" spans="4:7" x14ac:dyDescent="0.25">
      <c r="D71" s="469" t="s">
        <v>2861</v>
      </c>
      <c r="E71" s="472">
        <v>0.04</v>
      </c>
      <c r="F71" s="346">
        <v>0.06</v>
      </c>
      <c r="G71" s="473" t="s">
        <v>2331</v>
      </c>
    </row>
    <row r="72" spans="4:7" x14ac:dyDescent="0.25">
      <c r="D72" s="469" t="s">
        <v>2852</v>
      </c>
      <c r="E72" s="472">
        <v>0.21</v>
      </c>
      <c r="F72" s="346">
        <v>0.23</v>
      </c>
      <c r="G72" s="473">
        <v>0.13</v>
      </c>
    </row>
    <row r="73" spans="4:7" x14ac:dyDescent="0.25">
      <c r="D73" s="469" t="s">
        <v>2853</v>
      </c>
      <c r="E73" s="472">
        <v>7.0000000000000007E-2</v>
      </c>
      <c r="F73" s="346">
        <v>0.1</v>
      </c>
      <c r="G73" s="473" t="s">
        <v>2331</v>
      </c>
    </row>
    <row r="74" spans="4:7" x14ac:dyDescent="0.25">
      <c r="D74" s="469" t="s">
        <v>2854</v>
      </c>
      <c r="E74" s="472">
        <v>0.12</v>
      </c>
      <c r="F74" s="346">
        <v>0.12</v>
      </c>
      <c r="G74" s="473">
        <v>0.13</v>
      </c>
    </row>
    <row r="75" spans="4:7" x14ac:dyDescent="0.25">
      <c r="D75" s="469" t="s">
        <v>2862</v>
      </c>
      <c r="E75" s="472">
        <v>0.56000000000000005</v>
      </c>
      <c r="F75" s="346">
        <v>0.5</v>
      </c>
      <c r="G75" s="473">
        <v>0.75</v>
      </c>
    </row>
    <row r="76" spans="4:7" x14ac:dyDescent="0.25">
      <c r="D76" s="804"/>
      <c r="E76" s="805"/>
      <c r="F76" s="805"/>
      <c r="G76" s="806"/>
    </row>
    <row r="77" spans="4:7" x14ac:dyDescent="0.25">
      <c r="D77" s="474" t="s">
        <v>2863</v>
      </c>
      <c r="E77" s="475" t="s">
        <v>2864</v>
      </c>
      <c r="F77" s="475" t="s">
        <v>2820</v>
      </c>
      <c r="G77" s="476" t="s">
        <v>2807</v>
      </c>
    </row>
    <row r="78" spans="4:7" x14ac:dyDescent="0.25">
      <c r="D78" s="469" t="s">
        <v>2865</v>
      </c>
      <c r="E78" s="472" t="s">
        <v>2331</v>
      </c>
      <c r="F78" s="346" t="s">
        <v>2331</v>
      </c>
      <c r="G78" s="473" t="s">
        <v>2331</v>
      </c>
    </row>
    <row r="79" spans="4:7" x14ac:dyDescent="0.25">
      <c r="D79" s="469" t="s">
        <v>2866</v>
      </c>
      <c r="E79" s="472">
        <v>0.06</v>
      </c>
      <c r="F79" s="346">
        <v>0.05</v>
      </c>
      <c r="G79" s="473">
        <v>0.13</v>
      </c>
    </row>
    <row r="80" spans="4:7" ht="30" x14ac:dyDescent="0.25">
      <c r="D80" s="469" t="s">
        <v>2867</v>
      </c>
      <c r="E80" s="472">
        <v>0.22</v>
      </c>
      <c r="F80" s="346">
        <v>0.2</v>
      </c>
      <c r="G80" s="473">
        <v>0.31</v>
      </c>
    </row>
    <row r="81" spans="4:7" x14ac:dyDescent="0.25">
      <c r="D81" s="469" t="s">
        <v>2868</v>
      </c>
      <c r="E81" s="472">
        <v>0.42</v>
      </c>
      <c r="F81" s="346">
        <v>0.49</v>
      </c>
      <c r="G81" s="473">
        <v>0.13</v>
      </c>
    </row>
    <row r="82" spans="4:7" x14ac:dyDescent="0.25">
      <c r="D82" s="469" t="s">
        <v>2869</v>
      </c>
      <c r="E82" s="472">
        <v>0.3</v>
      </c>
      <c r="F82" s="346">
        <v>0.26</v>
      </c>
      <c r="G82" s="473">
        <v>0.44</v>
      </c>
    </row>
    <row r="83" spans="4:7" x14ac:dyDescent="0.25">
      <c r="D83" s="804"/>
      <c r="E83" s="805"/>
      <c r="F83" s="805"/>
      <c r="G83" s="806"/>
    </row>
    <row r="84" spans="4:7" x14ac:dyDescent="0.25">
      <c r="D84" s="474" t="s">
        <v>2870</v>
      </c>
      <c r="E84" s="475" t="s">
        <v>2871</v>
      </c>
      <c r="F84" s="475" t="s">
        <v>2806</v>
      </c>
      <c r="G84" s="476" t="s">
        <v>2821</v>
      </c>
    </row>
    <row r="85" spans="4:7" x14ac:dyDescent="0.25">
      <c r="D85" s="469" t="s">
        <v>2872</v>
      </c>
      <c r="E85" s="472">
        <v>0.72</v>
      </c>
      <c r="F85" s="346">
        <v>0.77</v>
      </c>
      <c r="G85" s="473">
        <v>0.5</v>
      </c>
    </row>
    <row r="86" spans="4:7" ht="30" x14ac:dyDescent="0.25">
      <c r="D86" s="469" t="s">
        <v>2873</v>
      </c>
      <c r="E86" s="472">
        <v>0.09</v>
      </c>
      <c r="F86" s="346">
        <v>0.05</v>
      </c>
      <c r="G86" s="473">
        <v>0.28999999999999998</v>
      </c>
    </row>
    <row r="87" spans="4:7" x14ac:dyDescent="0.25">
      <c r="D87" s="469" t="s">
        <v>2874</v>
      </c>
      <c r="E87" s="472">
        <v>0.09</v>
      </c>
      <c r="F87" s="346">
        <v>0.1</v>
      </c>
      <c r="G87" s="473">
        <v>7.0000000000000007E-2</v>
      </c>
    </row>
    <row r="88" spans="4:7" x14ac:dyDescent="0.25">
      <c r="D88" s="469" t="s">
        <v>2875</v>
      </c>
      <c r="E88" s="472">
        <v>0.05</v>
      </c>
      <c r="F88" s="346">
        <v>0.03</v>
      </c>
      <c r="G88" s="473">
        <v>0.14000000000000001</v>
      </c>
    </row>
    <row r="89" spans="4:7" x14ac:dyDescent="0.25">
      <c r="D89" s="469" t="s">
        <v>2876</v>
      </c>
      <c r="E89" s="472">
        <v>0.03</v>
      </c>
      <c r="F89" s="346">
        <v>0.03</v>
      </c>
      <c r="G89" s="473" t="s">
        <v>2331</v>
      </c>
    </row>
    <row r="90" spans="4:7" x14ac:dyDescent="0.25">
      <c r="D90" s="477" t="s">
        <v>2877</v>
      </c>
      <c r="E90" s="478">
        <v>0.01</v>
      </c>
      <c r="F90" s="479">
        <v>0.02</v>
      </c>
      <c r="G90" s="480" t="s">
        <v>2331</v>
      </c>
    </row>
  </sheetData>
  <customSheetViews>
    <customSheetView guid="{679A3195-3DEA-4AC2-A535-82AAF5B552BC}" hiddenColumns="1" topLeftCell="C1">
      <pane xSplit="4" ySplit="4" topLeftCell="G5" activePane="bottomRight" state="frozen"/>
      <selection pane="bottomRight" activeCell="C3" sqref="C3"/>
      <pageMargins left="0.7" right="0.7" top="0.75" bottom="0.75" header="0.3" footer="0.3"/>
      <pageSetup paperSize="256" orientation="portrait" verticalDpi="0" r:id="rId1"/>
    </customSheetView>
    <customSheetView guid="{7378B641-E8D1-4C14-8151-CF4CE159D121}" hiddenColumns="1" topLeftCell="C1">
      <pane xSplit="4" ySplit="4" topLeftCell="G5" activePane="bottomRight" state="frozen"/>
      <selection pane="bottomRight" activeCell="C3" sqref="C3"/>
      <pageMargins left="0.7" right="0.7" top="0.75" bottom="0.75" header="0.3" footer="0.3"/>
      <pageSetup paperSize="256" orientation="portrait" verticalDpi="0" r:id="rId2"/>
    </customSheetView>
    <customSheetView guid="{6D63B10B-E1E6-452A-80EB-4B2C7D61CF66}" hiddenColumns="1" topLeftCell="C1">
      <pane xSplit="4" ySplit="4" topLeftCell="G5" activePane="bottomRight" state="frozen"/>
      <selection pane="bottomRight" activeCell="C3" sqref="C3"/>
      <pageMargins left="0.7" right="0.7" top="0.75" bottom="0.75" header="0.3" footer="0.3"/>
      <pageSetup paperSize="256" orientation="portrait" verticalDpi="0" r:id="rId3"/>
    </customSheetView>
  </customSheetViews>
  <mergeCells count="11">
    <mergeCell ref="D83:G83"/>
    <mergeCell ref="D9:G9"/>
    <mergeCell ref="D13:G13"/>
    <mergeCell ref="D16:G16"/>
    <mergeCell ref="D20:G20"/>
    <mergeCell ref="D28:G28"/>
    <mergeCell ref="D41:G41"/>
    <mergeCell ref="D50:G50"/>
    <mergeCell ref="D60:G60"/>
    <mergeCell ref="D69:G69"/>
    <mergeCell ref="D76:G76"/>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G18"/>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9.85546875" bestFit="1" customWidth="1"/>
    <col min="5" max="5" width="9.28515625" bestFit="1" customWidth="1"/>
    <col min="6" max="6" width="14" customWidth="1"/>
    <col min="7" max="7" width="12.5703125" customWidth="1"/>
    <col min="10" max="10" width="3.5703125" customWidth="1"/>
    <col min="20" max="20" width="3.7109375" customWidth="1"/>
  </cols>
  <sheetData>
    <row r="1" spans="1:7" x14ac:dyDescent="0.25">
      <c r="A1" s="3" t="s">
        <v>26</v>
      </c>
      <c r="B1" s="4" t="s">
        <v>2878</v>
      </c>
      <c r="C1" s="535" t="s">
        <v>3058</v>
      </c>
      <c r="D1" s="558" t="str">
        <f>B1</f>
        <v>Participant Satisfaction with Contractors</v>
      </c>
    </row>
    <row r="2" spans="1:7" x14ac:dyDescent="0.25">
      <c r="A2" t="s">
        <v>20</v>
      </c>
      <c r="B2" s="321" t="s">
        <v>60</v>
      </c>
      <c r="C2" s="536" t="s">
        <v>3059</v>
      </c>
    </row>
    <row r="3" spans="1:7" x14ac:dyDescent="0.25">
      <c r="A3" t="s">
        <v>1184</v>
      </c>
      <c r="B3" s="321" t="s">
        <v>2794</v>
      </c>
      <c r="C3" s="536" t="s">
        <v>1193</v>
      </c>
    </row>
    <row r="4" spans="1:7" x14ac:dyDescent="0.25">
      <c r="D4" s="460"/>
      <c r="E4" s="461" t="s">
        <v>2879</v>
      </c>
      <c r="F4" s="461" t="s">
        <v>2731</v>
      </c>
      <c r="G4" s="462" t="s">
        <v>3171</v>
      </c>
    </row>
    <row r="5" spans="1:7" x14ac:dyDescent="0.25">
      <c r="D5" s="474" t="s">
        <v>2880</v>
      </c>
      <c r="E5" s="481" t="s">
        <v>2881</v>
      </c>
      <c r="F5" s="481" t="s">
        <v>2882</v>
      </c>
      <c r="G5" s="482" t="s">
        <v>2807</v>
      </c>
    </row>
    <row r="6" spans="1:7" x14ac:dyDescent="0.25">
      <c r="D6" s="466" t="s">
        <v>2883</v>
      </c>
      <c r="E6" s="483">
        <v>4.58</v>
      </c>
      <c r="F6" s="347">
        <v>4.5599999999999996</v>
      </c>
      <c r="G6" s="348">
        <v>4.63</v>
      </c>
    </row>
    <row r="7" spans="1:7" x14ac:dyDescent="0.25">
      <c r="D7" s="466" t="s">
        <v>2884</v>
      </c>
      <c r="E7" s="483">
        <v>4.54</v>
      </c>
      <c r="F7" s="347">
        <v>4.5999999999999996</v>
      </c>
      <c r="G7" s="348">
        <v>4.3099999999999996</v>
      </c>
    </row>
    <row r="8" spans="1:7" x14ac:dyDescent="0.25">
      <c r="D8" s="466" t="s">
        <v>2885</v>
      </c>
      <c r="E8" s="483">
        <v>4.49</v>
      </c>
      <c r="F8" s="347">
        <v>4.45</v>
      </c>
      <c r="G8" s="348">
        <v>4.63</v>
      </c>
    </row>
    <row r="9" spans="1:7" x14ac:dyDescent="0.25">
      <c r="D9" s="466" t="s">
        <v>2886</v>
      </c>
      <c r="E9" s="483">
        <v>4.47</v>
      </c>
      <c r="F9" s="347">
        <v>4.53</v>
      </c>
      <c r="G9" s="348">
        <v>4.25</v>
      </c>
    </row>
    <row r="10" spans="1:7" x14ac:dyDescent="0.25">
      <c r="D10" s="466" t="s">
        <v>2887</v>
      </c>
      <c r="E10" s="483">
        <v>4.45</v>
      </c>
      <c r="F10" s="347">
        <v>4.4800000000000004</v>
      </c>
      <c r="G10" s="348">
        <v>4.33</v>
      </c>
    </row>
    <row r="11" spans="1:7" x14ac:dyDescent="0.25">
      <c r="D11" s="466" t="s">
        <v>2888</v>
      </c>
      <c r="E11" s="483">
        <v>4.1399999999999997</v>
      </c>
      <c r="F11" s="347">
        <v>4.2</v>
      </c>
      <c r="G11" s="348">
        <v>3.9</v>
      </c>
    </row>
    <row r="12" spans="1:7" x14ac:dyDescent="0.25">
      <c r="D12" s="809"/>
      <c r="E12" s="810"/>
      <c r="F12" s="810"/>
      <c r="G12" s="811"/>
    </row>
    <row r="13" spans="1:7" x14ac:dyDescent="0.25">
      <c r="D13" s="474" t="s">
        <v>2889</v>
      </c>
      <c r="E13" s="467">
        <v>0.92</v>
      </c>
      <c r="F13" s="345">
        <v>0.93</v>
      </c>
      <c r="G13" s="468">
        <v>0.88</v>
      </c>
    </row>
    <row r="14" spans="1:7" x14ac:dyDescent="0.25">
      <c r="D14" s="812"/>
      <c r="E14" s="807"/>
      <c r="F14" s="807"/>
      <c r="G14" s="808"/>
    </row>
    <row r="15" spans="1:7" ht="30" x14ac:dyDescent="0.25">
      <c r="D15" s="474" t="s">
        <v>2890</v>
      </c>
      <c r="E15" s="484"/>
      <c r="F15" s="484"/>
      <c r="G15" s="485"/>
    </row>
    <row r="16" spans="1:7" ht="30" x14ac:dyDescent="0.25">
      <c r="D16" s="469" t="s">
        <v>2891</v>
      </c>
      <c r="E16" s="483">
        <v>4.7</v>
      </c>
      <c r="F16" s="347">
        <v>4.7</v>
      </c>
      <c r="G16" s="348">
        <v>4.5</v>
      </c>
    </row>
    <row r="17" spans="4:7" ht="30" x14ac:dyDescent="0.25">
      <c r="D17" s="469" t="s">
        <v>2892</v>
      </c>
      <c r="E17" s="483">
        <v>4.4000000000000004</v>
      </c>
      <c r="F17" s="347">
        <v>4.4000000000000004</v>
      </c>
      <c r="G17" s="348">
        <v>4.5</v>
      </c>
    </row>
    <row r="18" spans="4:7" ht="66.75" customHeight="1" x14ac:dyDescent="0.25">
      <c r="D18" s="813" t="s">
        <v>2893</v>
      </c>
      <c r="E18" s="814"/>
      <c r="F18" s="814"/>
      <c r="G18" s="815"/>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3">
    <mergeCell ref="D12:G12"/>
    <mergeCell ref="D14:G14"/>
    <mergeCell ref="D18:G18"/>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G7"/>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32.42578125" bestFit="1" customWidth="1"/>
    <col min="5" max="5" width="18.28515625" bestFit="1" customWidth="1"/>
    <col min="6" max="6" width="14" customWidth="1"/>
    <col min="7" max="7" width="15.7109375" customWidth="1"/>
    <col min="10" max="10" width="3.5703125" customWidth="1"/>
    <col min="20" max="20" width="3.7109375" customWidth="1"/>
  </cols>
  <sheetData>
    <row r="1" spans="1:7" ht="20.25" customHeight="1" x14ac:dyDescent="0.25">
      <c r="A1" s="3" t="s">
        <v>26</v>
      </c>
      <c r="B1" s="4" t="s">
        <v>2894</v>
      </c>
      <c r="C1" s="535" t="s">
        <v>3058</v>
      </c>
      <c r="D1" s="558" t="str">
        <f>B1</f>
        <v>Participant Reaction to Assessment Report (among those receiving a report)</v>
      </c>
    </row>
    <row r="2" spans="1:7" x14ac:dyDescent="0.25">
      <c r="A2" t="s">
        <v>20</v>
      </c>
      <c r="B2" s="321" t="s">
        <v>60</v>
      </c>
      <c r="C2" s="536" t="s">
        <v>3059</v>
      </c>
    </row>
    <row r="3" spans="1:7" x14ac:dyDescent="0.25">
      <c r="A3" t="s">
        <v>1184</v>
      </c>
      <c r="B3" s="321" t="s">
        <v>2794</v>
      </c>
      <c r="C3" s="536" t="s">
        <v>1193</v>
      </c>
    </row>
    <row r="4" spans="1:7" ht="28.5" customHeight="1" x14ac:dyDescent="0.25">
      <c r="D4" s="460"/>
      <c r="E4" s="461" t="s">
        <v>2895</v>
      </c>
      <c r="F4" s="461" t="s">
        <v>2896</v>
      </c>
      <c r="G4" s="462" t="s">
        <v>3173</v>
      </c>
    </row>
    <row r="5" spans="1:7" x14ac:dyDescent="0.25">
      <c r="D5" s="486" t="s">
        <v>2897</v>
      </c>
      <c r="E5" s="483">
        <v>4.57</v>
      </c>
      <c r="F5" s="347">
        <v>4.57</v>
      </c>
      <c r="G5" s="348">
        <v>4.5599999999999996</v>
      </c>
    </row>
    <row r="6" spans="1:7" x14ac:dyDescent="0.25">
      <c r="D6" s="486" t="s">
        <v>2898</v>
      </c>
      <c r="E6" s="483">
        <v>4.41</v>
      </c>
      <c r="F6" s="347">
        <v>4.37</v>
      </c>
      <c r="G6" s="348">
        <v>4.63</v>
      </c>
    </row>
    <row r="7" spans="1:7" ht="66.75" customHeight="1" x14ac:dyDescent="0.25">
      <c r="D7" s="813" t="s">
        <v>2899</v>
      </c>
      <c r="E7" s="814"/>
      <c r="F7" s="814"/>
      <c r="G7" s="815"/>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1">
    <mergeCell ref="D7:G7"/>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G17"/>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9.85546875" bestFit="1" customWidth="1"/>
    <col min="5" max="5" width="6.5703125" bestFit="1" customWidth="1"/>
    <col min="6" max="6" width="14" customWidth="1"/>
    <col min="7" max="7" width="10.5703125" customWidth="1"/>
    <col min="10" max="10" width="3.5703125" customWidth="1"/>
    <col min="20" max="20" width="3.7109375" customWidth="1"/>
  </cols>
  <sheetData>
    <row r="1" spans="1:7" ht="20.25" customHeight="1" x14ac:dyDescent="0.25">
      <c r="A1" s="3" t="s">
        <v>26</v>
      </c>
      <c r="B1" s="4" t="s">
        <v>2900</v>
      </c>
      <c r="C1" s="535" t="s">
        <v>3058</v>
      </c>
      <c r="D1" s="558" t="str">
        <f>B1</f>
        <v>Portions of Recommendations Completed and Reasons for Not Completing Them</v>
      </c>
    </row>
    <row r="2" spans="1:7" x14ac:dyDescent="0.25">
      <c r="A2" t="s">
        <v>20</v>
      </c>
      <c r="B2" s="321" t="s">
        <v>60</v>
      </c>
      <c r="C2" s="536" t="s">
        <v>3059</v>
      </c>
    </row>
    <row r="3" spans="1:7" x14ac:dyDescent="0.25">
      <c r="A3" t="s">
        <v>1184</v>
      </c>
      <c r="B3" s="321" t="s">
        <v>2794</v>
      </c>
      <c r="C3" s="536" t="s">
        <v>1193</v>
      </c>
    </row>
    <row r="4" spans="1:7" x14ac:dyDescent="0.25">
      <c r="D4" s="460"/>
      <c r="E4" s="461" t="s">
        <v>2879</v>
      </c>
      <c r="F4" s="461" t="s">
        <v>2731</v>
      </c>
      <c r="G4" s="462" t="s">
        <v>3171</v>
      </c>
    </row>
    <row r="5" spans="1:7" x14ac:dyDescent="0.25">
      <c r="D5" s="816"/>
      <c r="E5" s="817"/>
      <c r="F5" s="817"/>
      <c r="G5" s="818"/>
    </row>
    <row r="6" spans="1:7" x14ac:dyDescent="0.25">
      <c r="D6" s="487" t="s">
        <v>2901</v>
      </c>
      <c r="E6" s="484" t="s">
        <v>2902</v>
      </c>
      <c r="F6" s="484" t="s">
        <v>2832</v>
      </c>
      <c r="G6" s="485" t="s">
        <v>2903</v>
      </c>
    </row>
    <row r="7" spans="1:7" x14ac:dyDescent="0.25">
      <c r="D7" s="469" t="s">
        <v>2904</v>
      </c>
      <c r="E7" s="467">
        <v>0.59719999999999995</v>
      </c>
      <c r="F7" s="345">
        <v>0.61399999999999999</v>
      </c>
      <c r="G7" s="468">
        <v>0.5333</v>
      </c>
    </row>
    <row r="8" spans="1:7" x14ac:dyDescent="0.25">
      <c r="D8" s="469" t="s">
        <v>2905</v>
      </c>
      <c r="E8" s="467">
        <v>0.4027</v>
      </c>
      <c r="F8" s="345">
        <v>0.38590000000000002</v>
      </c>
      <c r="G8" s="468">
        <v>0.46660000000000001</v>
      </c>
    </row>
    <row r="9" spans="1:7" x14ac:dyDescent="0.25">
      <c r="D9" s="816"/>
      <c r="E9" s="817"/>
      <c r="F9" s="817"/>
      <c r="G9" s="818"/>
    </row>
    <row r="10" spans="1:7" x14ac:dyDescent="0.25">
      <c r="D10" s="487" t="s">
        <v>2906</v>
      </c>
      <c r="E10" s="484" t="s">
        <v>2907</v>
      </c>
      <c r="F10" s="484" t="s">
        <v>2908</v>
      </c>
      <c r="G10" s="485" t="s">
        <v>2909</v>
      </c>
    </row>
    <row r="11" spans="1:7" ht="30" x14ac:dyDescent="0.25">
      <c r="D11" s="469" t="s">
        <v>2910</v>
      </c>
      <c r="E11" s="467">
        <v>0.6428571428571429</v>
      </c>
      <c r="F11" s="345">
        <v>0.61904761904761907</v>
      </c>
      <c r="G11" s="468">
        <v>0.7142857142857143</v>
      </c>
    </row>
    <row r="12" spans="1:7" x14ac:dyDescent="0.25">
      <c r="D12" s="469" t="s">
        <v>2911</v>
      </c>
      <c r="E12" s="467">
        <v>0.21428571428571427</v>
      </c>
      <c r="F12" s="345">
        <v>0.23809523809523811</v>
      </c>
      <c r="G12" s="468">
        <v>0.14285714285714288</v>
      </c>
    </row>
    <row r="13" spans="1:7" ht="30" x14ac:dyDescent="0.25">
      <c r="D13" s="469" t="s">
        <v>2912</v>
      </c>
      <c r="E13" s="467">
        <v>0.17857142857142858</v>
      </c>
      <c r="F13" s="345">
        <v>0.19047619047619047</v>
      </c>
      <c r="G13" s="468">
        <v>0.14285714285714288</v>
      </c>
    </row>
    <row r="14" spans="1:7" x14ac:dyDescent="0.25">
      <c r="D14" s="469" t="s">
        <v>2913</v>
      </c>
      <c r="E14" s="467">
        <v>7.1428571428571438E-2</v>
      </c>
      <c r="F14" s="345">
        <v>9.5238095238095233E-2</v>
      </c>
      <c r="G14" s="468" t="s">
        <v>2331</v>
      </c>
    </row>
    <row r="15" spans="1:7" x14ac:dyDescent="0.25">
      <c r="D15" s="469" t="s">
        <v>2914</v>
      </c>
      <c r="E15" s="467">
        <v>7.1428571428571438E-2</v>
      </c>
      <c r="F15" s="345">
        <v>4.7619047619047616E-2</v>
      </c>
      <c r="G15" s="468">
        <v>0.14285714285714288</v>
      </c>
    </row>
    <row r="16" spans="1:7" ht="30" x14ac:dyDescent="0.25">
      <c r="D16" s="469" t="s">
        <v>2915</v>
      </c>
      <c r="E16" s="467">
        <v>3.5714285714285719E-2</v>
      </c>
      <c r="F16" s="345" t="s">
        <v>2331</v>
      </c>
      <c r="G16" s="468">
        <v>0.14285714285714288</v>
      </c>
    </row>
    <row r="17" spans="4:7" ht="30" x14ac:dyDescent="0.25">
      <c r="D17" s="477" t="s">
        <v>2916</v>
      </c>
      <c r="E17" s="488">
        <v>3.5714285714285719E-2</v>
      </c>
      <c r="F17" s="489">
        <v>4.7619047619047616E-2</v>
      </c>
      <c r="G17" s="490" t="s">
        <v>2331</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2">
    <mergeCell ref="D5:G5"/>
    <mergeCell ref="D9:G9"/>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G12"/>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9.85546875" bestFit="1" customWidth="1"/>
    <col min="5" max="5" width="6.5703125" bestFit="1" customWidth="1"/>
    <col min="6" max="6" width="14" customWidth="1"/>
    <col min="7" max="7" width="12.42578125" customWidth="1"/>
    <col min="10" max="10" width="3.5703125" customWidth="1"/>
    <col min="20" max="20" width="3.7109375" customWidth="1"/>
  </cols>
  <sheetData>
    <row r="1" spans="1:7" ht="19.5" customHeight="1" x14ac:dyDescent="0.25">
      <c r="A1" s="3" t="s">
        <v>26</v>
      </c>
      <c r="B1" s="4" t="s">
        <v>2917</v>
      </c>
      <c r="C1" s="535" t="s">
        <v>3058</v>
      </c>
      <c r="D1" s="558" t="str">
        <f>B1</f>
        <v>IOU Incentive Received Versus Expectation &amp; Proportion Receiving Premium Incentives</v>
      </c>
    </row>
    <row r="2" spans="1:7" x14ac:dyDescent="0.25">
      <c r="A2" t="s">
        <v>20</v>
      </c>
      <c r="B2" s="321" t="s">
        <v>60</v>
      </c>
      <c r="C2" s="536" t="s">
        <v>3059</v>
      </c>
    </row>
    <row r="3" spans="1:7" x14ac:dyDescent="0.25">
      <c r="A3" t="s">
        <v>1184</v>
      </c>
      <c r="B3" s="321" t="s">
        <v>2794</v>
      </c>
      <c r="C3" s="536" t="s">
        <v>1193</v>
      </c>
    </row>
    <row r="4" spans="1:7" x14ac:dyDescent="0.25">
      <c r="D4" s="448"/>
      <c r="E4" s="312" t="s">
        <v>2879</v>
      </c>
      <c r="F4" s="312" t="s">
        <v>2731</v>
      </c>
      <c r="G4" s="332" t="s">
        <v>3171</v>
      </c>
    </row>
    <row r="5" spans="1:7" x14ac:dyDescent="0.25">
      <c r="D5" s="819"/>
      <c r="E5" s="820"/>
      <c r="F5" s="820"/>
      <c r="G5" s="821"/>
    </row>
    <row r="6" spans="1:7" ht="30" x14ac:dyDescent="0.25">
      <c r="D6" s="491" t="s">
        <v>2918</v>
      </c>
      <c r="E6" s="492" t="s">
        <v>2919</v>
      </c>
      <c r="F6" s="492" t="s">
        <v>2820</v>
      </c>
      <c r="G6" s="493" t="s">
        <v>2920</v>
      </c>
    </row>
    <row r="7" spans="1:7" x14ac:dyDescent="0.25">
      <c r="D7" s="494" t="s">
        <v>2921</v>
      </c>
      <c r="E7" s="450">
        <v>0.76</v>
      </c>
      <c r="F7" s="451">
        <v>0.79</v>
      </c>
      <c r="G7" s="452">
        <v>0.6</v>
      </c>
    </row>
    <row r="8" spans="1:7" x14ac:dyDescent="0.25">
      <c r="D8" s="494" t="s">
        <v>2922</v>
      </c>
      <c r="E8" s="450">
        <v>0.13</v>
      </c>
      <c r="F8" s="451">
        <v>0.1</v>
      </c>
      <c r="G8" s="452">
        <v>0.3</v>
      </c>
    </row>
    <row r="9" spans="1:7" x14ac:dyDescent="0.25">
      <c r="D9" s="494" t="s">
        <v>2923</v>
      </c>
      <c r="E9" s="450">
        <v>0.11</v>
      </c>
      <c r="F9" s="451">
        <v>0.11</v>
      </c>
      <c r="G9" s="452">
        <v>0.1</v>
      </c>
    </row>
    <row r="10" spans="1:7" x14ac:dyDescent="0.25">
      <c r="D10" s="819"/>
      <c r="E10" s="820"/>
      <c r="F10" s="820"/>
      <c r="G10" s="821"/>
    </row>
    <row r="11" spans="1:7" x14ac:dyDescent="0.25">
      <c r="D11" s="495"/>
      <c r="E11" s="492" t="s">
        <v>2919</v>
      </c>
      <c r="F11" s="492" t="s">
        <v>2924</v>
      </c>
      <c r="G11" s="493" t="s">
        <v>2925</v>
      </c>
    </row>
    <row r="12" spans="1:7" ht="30" x14ac:dyDescent="0.25">
      <c r="D12" s="496" t="s">
        <v>2926</v>
      </c>
      <c r="E12" s="454">
        <v>0.63</v>
      </c>
      <c r="F12" s="455">
        <v>0.56999999999999995</v>
      </c>
      <c r="G12" s="456">
        <v>1</v>
      </c>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2">
    <mergeCell ref="D5:G5"/>
    <mergeCell ref="D10:G10"/>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G16"/>
  <sheetViews>
    <sheetView topLeftCell="C1" zoomScaleNormal="100" workbookViewId="0">
      <selection activeCell="C3" sqref="C3"/>
    </sheetView>
  </sheetViews>
  <sheetFormatPr defaultRowHeight="15" x14ac:dyDescent="0.25"/>
  <cols>
    <col min="1" max="1" width="11.5703125" hidden="1" customWidth="1"/>
    <col min="2" max="2" width="57.28515625" hidden="1" customWidth="1"/>
    <col min="3" max="3" width="18.7109375" customWidth="1"/>
    <col min="4" max="4" width="49.85546875" bestFit="1" customWidth="1"/>
    <col min="5" max="5" width="17.42578125" bestFit="1" customWidth="1"/>
    <col min="6" max="6" width="14" customWidth="1"/>
    <col min="7" max="7" width="18.28515625" customWidth="1"/>
    <col min="10" max="10" width="3.5703125" customWidth="1"/>
    <col min="20" max="20" width="3.7109375" customWidth="1"/>
  </cols>
  <sheetData>
    <row r="1" spans="1:7" x14ac:dyDescent="0.25">
      <c r="A1" s="3" t="s">
        <v>26</v>
      </c>
      <c r="B1" s="4" t="s">
        <v>2927</v>
      </c>
      <c r="C1" s="535" t="s">
        <v>3058</v>
      </c>
      <c r="D1" s="558" t="str">
        <f>B1</f>
        <v>Participants' Motivations for EUC Participation</v>
      </c>
    </row>
    <row r="2" spans="1:7" x14ac:dyDescent="0.25">
      <c r="A2" t="s">
        <v>20</v>
      </c>
      <c r="B2" s="321" t="s">
        <v>60</v>
      </c>
      <c r="C2" s="536" t="s">
        <v>3059</v>
      </c>
    </row>
    <row r="3" spans="1:7" x14ac:dyDescent="0.25">
      <c r="A3" t="s">
        <v>1184</v>
      </c>
      <c r="B3" s="321" t="s">
        <v>2794</v>
      </c>
      <c r="C3" s="536" t="s">
        <v>1193</v>
      </c>
    </row>
    <row r="4" spans="1:7" x14ac:dyDescent="0.25">
      <c r="D4" s="460"/>
      <c r="E4" s="461" t="s">
        <v>2608</v>
      </c>
      <c r="F4" s="461" t="s">
        <v>2609</v>
      </c>
      <c r="G4" s="462" t="s">
        <v>3172</v>
      </c>
    </row>
    <row r="5" spans="1:7" x14ac:dyDescent="0.25">
      <c r="D5" s="497" t="s">
        <v>2928</v>
      </c>
      <c r="E5" s="483">
        <v>4.6666666666666661</v>
      </c>
      <c r="F5" s="347">
        <v>4.6935483870967758</v>
      </c>
      <c r="G5" s="348">
        <v>4.5625</v>
      </c>
    </row>
    <row r="6" spans="1:7" x14ac:dyDescent="0.25">
      <c r="D6" s="497" t="s">
        <v>2929</v>
      </c>
      <c r="E6" s="483">
        <v>4.6282051282051286</v>
      </c>
      <c r="F6" s="347">
        <v>4.629032258064516</v>
      </c>
      <c r="G6" s="348">
        <v>4.6250000000000009</v>
      </c>
    </row>
    <row r="7" spans="1:7" x14ac:dyDescent="0.25">
      <c r="D7" s="497" t="s">
        <v>2930</v>
      </c>
      <c r="E7" s="483">
        <v>4.5897435897435903</v>
      </c>
      <c r="F7" s="347">
        <v>4.564516129032258</v>
      </c>
      <c r="G7" s="348">
        <v>4.6874999999999991</v>
      </c>
    </row>
    <row r="8" spans="1:7" x14ac:dyDescent="0.25">
      <c r="D8" s="497" t="s">
        <v>2931</v>
      </c>
      <c r="E8" s="483">
        <v>4.4743589743589736</v>
      </c>
      <c r="F8" s="347">
        <v>4.467741935483871</v>
      </c>
      <c r="G8" s="348">
        <v>4.5</v>
      </c>
    </row>
    <row r="9" spans="1:7" x14ac:dyDescent="0.25">
      <c r="D9" s="497" t="s">
        <v>2932</v>
      </c>
      <c r="E9" s="483">
        <v>4.2</v>
      </c>
      <c r="F9" s="347">
        <v>4.299999999999998</v>
      </c>
      <c r="G9" s="348">
        <v>3.8</v>
      </c>
    </row>
    <row r="10" spans="1:7" x14ac:dyDescent="0.25">
      <c r="D10" s="497" t="s">
        <v>2933</v>
      </c>
      <c r="E10" s="483">
        <v>4.1369863013698618</v>
      </c>
      <c r="F10" s="347">
        <v>4.0689655172413781</v>
      </c>
      <c r="G10" s="348">
        <v>4.3999999999999995</v>
      </c>
    </row>
    <row r="11" spans="1:7" x14ac:dyDescent="0.25">
      <c r="D11" s="497" t="s">
        <v>2934</v>
      </c>
      <c r="E11" s="483">
        <v>4.0384615384615383</v>
      </c>
      <c r="F11" s="347">
        <v>4.0322580645161281</v>
      </c>
      <c r="G11" s="348">
        <v>4.0625</v>
      </c>
    </row>
    <row r="12" spans="1:7" x14ac:dyDescent="0.25">
      <c r="D12" s="497" t="s">
        <v>2935</v>
      </c>
      <c r="E12" s="483">
        <v>4.0129870129870104</v>
      </c>
      <c r="F12" s="347">
        <v>3.9836065573770489</v>
      </c>
      <c r="G12" s="348">
        <v>4.1249999999999991</v>
      </c>
    </row>
    <row r="13" spans="1:7" x14ac:dyDescent="0.25">
      <c r="D13" s="497" t="s">
        <v>2936</v>
      </c>
      <c r="E13" s="483">
        <v>3.9605263157894739</v>
      </c>
      <c r="F13" s="347">
        <v>3.9333333333333322</v>
      </c>
      <c r="G13" s="348">
        <v>4.0625</v>
      </c>
    </row>
    <row r="14" spans="1:7" x14ac:dyDescent="0.25">
      <c r="D14" s="498" t="s">
        <v>2937</v>
      </c>
      <c r="E14" s="347">
        <v>3.9090909090909083</v>
      </c>
      <c r="F14" s="347">
        <v>4</v>
      </c>
      <c r="G14" s="348">
        <v>3.5625000000000004</v>
      </c>
    </row>
    <row r="15" spans="1:7" x14ac:dyDescent="0.25">
      <c r="D15" s="498" t="s">
        <v>2938</v>
      </c>
      <c r="E15" s="347">
        <v>3.6153846153846159</v>
      </c>
      <c r="F15" s="347">
        <v>3.661290322580645</v>
      </c>
      <c r="G15" s="348">
        <v>3.4375000000000004</v>
      </c>
    </row>
    <row r="16" spans="1:7" ht="47.25" customHeight="1" x14ac:dyDescent="0.25">
      <c r="D16" s="813" t="s">
        <v>2939</v>
      </c>
      <c r="E16" s="814"/>
      <c r="F16" s="814"/>
      <c r="G16" s="815"/>
    </row>
  </sheetData>
  <customSheetViews>
    <customSheetView guid="{679A3195-3DEA-4AC2-A535-82AAF5B552BC}" hiddenColumns="1" topLeftCell="C1">
      <selection activeCell="C3" sqref="C3"/>
      <pageMargins left="0.7" right="0.7" top="0.75" bottom="0.75" header="0.3" footer="0.3"/>
      <pageSetup paperSize="256" orientation="portrait" verticalDpi="0" r:id="rId1"/>
    </customSheetView>
    <customSheetView guid="{7378B641-E8D1-4C14-8151-CF4CE159D121}" hiddenColumns="1" topLeftCell="C1">
      <selection activeCell="B1" sqref="B1"/>
      <pageMargins left="0.7" right="0.7" top="0.75" bottom="0.75" header="0.3" footer="0.3"/>
      <pageSetup paperSize="256" orientation="portrait" verticalDpi="0" r:id="rId2"/>
    </customSheetView>
    <customSheetView guid="{6D63B10B-E1E6-452A-80EB-4B2C7D61CF66}" hiddenColumns="1" topLeftCell="C1">
      <selection activeCell="C3" sqref="C3"/>
      <pageMargins left="0.7" right="0.7" top="0.75" bottom="0.75" header="0.3" footer="0.3"/>
      <pageSetup paperSize="256" orientation="portrait" verticalDpi="0" r:id="rId3"/>
    </customSheetView>
  </customSheetViews>
  <mergeCells count="1">
    <mergeCell ref="D16:G16"/>
  </mergeCells>
  <dataValidations count="2">
    <dataValidation type="list" allowBlank="1" showInputMessage="1" showErrorMessage="1" sqref="B2">
      <formula1>Scope</formula1>
    </dataValidation>
    <dataValidation type="list" allowBlank="1" showInputMessage="1" showErrorMessage="1" sqref="C2">
      <formula1>"PG&amp;E,SCE,Combined"</formula1>
    </dataValidation>
  </dataValidations>
  <hyperlinks>
    <hyperlink ref="C1" location="Findings!A1" display="Findings"/>
    <hyperlink ref="C2" location="Recommendations!A1" display="Recommendations"/>
    <hyperlink ref="C3" location="Captions!A1" display="Captions"/>
  </hyperlinks>
  <pageMargins left="0.7" right="0.7" top="0.75" bottom="0.75" header="0.3" footer="0.3"/>
  <pageSetup paperSize="256" orientation="portrait" verticalDpi="0"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130</vt:i4>
      </vt:variant>
      <vt:variant>
        <vt:lpstr>Named Ranges</vt:lpstr>
      </vt:variant>
      <vt:variant>
        <vt:i4>7</vt:i4>
      </vt:variant>
    </vt:vector>
  </HeadingPairs>
  <TitlesOfParts>
    <vt:vector size="137" baseType="lpstr">
      <vt:lpstr>UserGuide</vt:lpstr>
      <vt:lpstr>Findings</vt:lpstr>
      <vt:lpstr>Recommendations</vt:lpstr>
      <vt:lpstr>Captions</vt:lpstr>
      <vt:lpstr>Glossary</vt:lpstr>
      <vt:lpstr>1</vt:lpstr>
      <vt:lpstr>1D</vt:lpstr>
      <vt:lpstr>2</vt:lpstr>
      <vt:lpstr>2D</vt:lpstr>
      <vt:lpstr>3</vt:lpstr>
      <vt:lpstr>3D</vt:lpstr>
      <vt:lpstr>4</vt:lpstr>
      <vt:lpstr>4D</vt:lpstr>
      <vt:lpstr>5</vt:lpstr>
      <vt:lpstr>5D</vt:lpstr>
      <vt:lpstr>6</vt:lpstr>
      <vt:lpstr>6D</vt:lpstr>
      <vt:lpstr>7</vt:lpstr>
      <vt:lpstr>7D</vt:lpstr>
      <vt:lpstr>8</vt:lpstr>
      <vt:lpstr>8D</vt:lpstr>
      <vt:lpstr>9</vt:lpstr>
      <vt:lpstr>9D</vt:lpstr>
      <vt:lpstr>10</vt:lpstr>
      <vt:lpstr>11</vt:lpstr>
      <vt:lpstr>11D</vt:lpstr>
      <vt:lpstr>12</vt:lpstr>
      <vt:lpstr>12D</vt:lpstr>
      <vt:lpstr>13</vt:lpstr>
      <vt:lpstr>13D</vt:lpstr>
      <vt:lpstr>14</vt:lpstr>
      <vt:lpstr>14D</vt:lpstr>
      <vt:lpstr>15</vt:lpstr>
      <vt:lpstr>15D</vt:lpstr>
      <vt:lpstr>16</vt:lpstr>
      <vt:lpstr>16D</vt:lpstr>
      <vt:lpstr>17</vt:lpstr>
      <vt:lpstr>17D</vt:lpstr>
      <vt:lpstr>19</vt:lpstr>
      <vt:lpstr>20</vt:lpstr>
      <vt:lpstr>20D</vt:lpstr>
      <vt:lpstr>21</vt:lpstr>
      <vt:lpstr>21D</vt:lpstr>
      <vt:lpstr>22</vt:lpstr>
      <vt:lpstr>22D</vt:lpstr>
      <vt:lpstr>23</vt:lpstr>
      <vt:lpstr>23D</vt:lpstr>
      <vt:lpstr>24</vt:lpstr>
      <vt:lpstr>25</vt:lpstr>
      <vt:lpstr>25D</vt:lpstr>
      <vt:lpstr>26</vt:lpstr>
      <vt:lpstr>26D</vt:lpstr>
      <vt:lpstr>27</vt:lpstr>
      <vt:lpstr>28</vt:lpstr>
      <vt:lpstr>28D</vt:lpstr>
      <vt:lpstr>29</vt:lpstr>
      <vt:lpstr>29D</vt:lpstr>
      <vt:lpstr>30</vt:lpstr>
      <vt:lpstr>31</vt:lpstr>
      <vt:lpstr>32</vt:lpstr>
      <vt:lpstr>32D</vt:lpstr>
      <vt:lpstr>33</vt:lpstr>
      <vt:lpstr>33D</vt:lpstr>
      <vt:lpstr>34</vt:lpstr>
      <vt:lpstr>35</vt:lpstr>
      <vt:lpstr>36</vt:lpstr>
      <vt:lpstr>37</vt:lpstr>
      <vt:lpstr>39</vt:lpstr>
      <vt:lpstr>40</vt:lpstr>
      <vt:lpstr>41</vt:lpstr>
      <vt:lpstr>42</vt:lpstr>
      <vt:lpstr>43</vt:lpstr>
      <vt:lpstr>44d</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ChtInst</vt:lpstr>
      <vt:lpstr>ChtL</vt:lpstr>
      <vt:lpstr>ChtLd</vt:lpstr>
      <vt:lpstr>ChtLM</vt:lpstr>
      <vt:lpstr>ChtLMd</vt:lpstr>
      <vt:lpstr>ChtCC</vt:lpstr>
      <vt:lpstr>ChtCCd</vt:lpstr>
      <vt:lpstr>ChtSC</vt:lpstr>
      <vt:lpstr>ChtSCd</vt:lpstr>
      <vt:lpstr>ChtP</vt:lpstr>
      <vt:lpstr>ChtPd</vt:lpstr>
      <vt:lpstr>ChtXY</vt:lpstr>
      <vt:lpstr>ChtXYd</vt:lpstr>
      <vt:lpstr>ChtB&amp;W</vt:lpstr>
      <vt:lpstr>ChtB&amp;Wd</vt:lpstr>
      <vt:lpstr>TblStyles</vt:lpstr>
      <vt:lpstr>TblStylesInst</vt:lpstr>
      <vt:lpstr>CntrFrameW12</vt:lpstr>
      <vt:lpstr>PartFrameW12</vt:lpstr>
      <vt:lpstr>WrkShopAttendW12</vt:lpstr>
      <vt:lpstr>CntrSurveyW12</vt:lpstr>
      <vt:lpstr>PartSurveyW12</vt:lpstr>
      <vt:lpstr>MESurveyW12</vt:lpstr>
      <vt:lpstr>FileReviewW12</vt:lpstr>
      <vt:lpstr>73</vt:lpstr>
      <vt:lpstr>73d</vt:lpstr>
      <vt:lpstr>ConstantsLists</vt:lpstr>
      <vt:lpstr>74</vt:lpstr>
      <vt:lpstr>Activity</vt:lpstr>
      <vt:lpstr>Area</vt:lpstr>
      <vt:lpstr>Barriers</vt:lpstr>
      <vt:lpstr>DataSource</vt:lpstr>
      <vt:lpstr>PGEActors</vt:lpstr>
      <vt:lpstr>SCEActors</vt:lpstr>
      <vt:lpstr>Scope</vt:lpstr>
    </vt:vector>
  </TitlesOfParts>
  <Company>SBW Consulting,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Baker</dc:creator>
  <cp:lastModifiedBy>Mike Baker</cp:lastModifiedBy>
  <cp:lastPrinted>2012-03-16T21:48:05Z</cp:lastPrinted>
  <dcterms:created xsi:type="dcterms:W3CDTF">2012-02-17T20:55:11Z</dcterms:created>
  <dcterms:modified xsi:type="dcterms:W3CDTF">2013-02-11T21:03:30Z</dcterms:modified>
</cp:coreProperties>
</file>