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ack\Limbo\SCE\DBP 2015\Ex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Data!$A$1:$FQ$1</definedName>
    <definedName name="Bid">Lookups!$D$8</definedName>
    <definedName name="Called">Lookups!$S$21</definedName>
    <definedName name="_xlnm.Criteria">Lookups!$B$3:$E$4</definedName>
    <definedName name="data">Data!$A$1:$FR$45</definedName>
    <definedName name="date">Table!$B$5</definedName>
    <definedName name="date_list">Lookups!$K$4:$K$14</definedName>
    <definedName name="dual_enrol">Table!$B$9</definedName>
    <definedName name="dual_enrol_list">Lookups!$N$4:$N$6</definedName>
    <definedName name="Enrolled">Lookups!$D$6</definedName>
    <definedName name="ind_grp">Table!$B$7</definedName>
    <definedName name="ind_list">Lookups!$L$4:$L$11</definedName>
    <definedName name="lca">Table!$B$8</definedName>
    <definedName name="lca_list">Lookups!$M$4:$M$7</definedName>
    <definedName name="_xlnm.Print_Area" localSheetId="0">Table!$A$2:$N$36</definedName>
    <definedName name="Result_type">Table!$B$4</definedName>
    <definedName name="Result_type_list">Lookups!$J$4:$J$5</definedName>
    <definedName name="table_for_PGE_CBP_expost_private" localSheetId="2">Data!$A$1:$FQ$1</definedName>
    <definedName name="Two_way_tab_flag">Lookups!$D$7</definedName>
  </definedNames>
  <calcPr calcId="152511"/>
</workbook>
</file>

<file path=xl/calcChain.xml><?xml version="1.0" encoding="utf-8"?>
<calcChain xmlns="http://schemas.openxmlformats.org/spreadsheetml/2006/main">
  <c r="D7" i="2" l="1"/>
  <c r="S14" i="2" l="1"/>
  <c r="S21" i="2"/>
  <c r="J3" i="4" l="1"/>
  <c r="F21" i="2" l="1"/>
  <c r="F20" i="2"/>
  <c r="F19" i="2"/>
  <c r="C32" i="2"/>
  <c r="F18" i="2" l="1"/>
  <c r="F17" i="2"/>
  <c r="H32" i="4" l="1"/>
  <c r="G32" i="4"/>
  <c r="G5" i="4"/>
  <c r="F16" i="2" l="1"/>
  <c r="F15" i="2"/>
  <c r="F14" i="2"/>
  <c r="F13" i="2"/>
  <c r="F12" i="2"/>
  <c r="F11" i="2"/>
  <c r="F32" i="4"/>
  <c r="A27" i="2" l="1"/>
  <c r="A26" i="2"/>
  <c r="A25" i="2"/>
  <c r="A24" i="2"/>
  <c r="A23" i="2"/>
  <c r="A22" i="2"/>
  <c r="G32" i="2" l="1"/>
  <c r="A33" i="2"/>
  <c r="C33" i="2" s="1"/>
  <c r="D4" i="2"/>
  <c r="A1" i="4" s="1"/>
  <c r="B4" i="2"/>
  <c r="J32" i="4"/>
  <c r="J6" i="4"/>
  <c r="H5" i="4"/>
  <c r="F5" i="4"/>
  <c r="B60" i="2" l="1"/>
  <c r="B61" i="2" s="1"/>
  <c r="D6" i="2"/>
  <c r="D8" i="2"/>
  <c r="M33" i="2"/>
  <c r="G33" i="2"/>
  <c r="M32" i="2"/>
  <c r="L33" i="2"/>
  <c r="E33" i="2"/>
  <c r="H33" i="2"/>
  <c r="I33" i="2"/>
  <c r="J33" i="2"/>
  <c r="F33" i="2"/>
  <c r="D33" i="2"/>
  <c r="K33" i="2"/>
  <c r="L32" i="2"/>
  <c r="D32" i="2"/>
  <c r="E32" i="2"/>
  <c r="H32" i="2"/>
  <c r="I32" i="2"/>
  <c r="J32" i="2"/>
  <c r="F32" i="2"/>
  <c r="K32" i="2"/>
  <c r="A34" i="2"/>
  <c r="C34" i="2" s="1"/>
  <c r="G3" i="4" l="1"/>
  <c r="G2" i="4"/>
  <c r="B59" i="2"/>
  <c r="F19" i="4"/>
  <c r="N31" i="4"/>
  <c r="F8" i="4"/>
  <c r="I10" i="4"/>
  <c r="B34" i="2" s="1"/>
  <c r="K12" i="4"/>
  <c r="N14" i="4"/>
  <c r="H17" i="4"/>
  <c r="L17" i="4" s="1"/>
  <c r="J19" i="4"/>
  <c r="M21" i="4"/>
  <c r="F24" i="4"/>
  <c r="I26" i="4"/>
  <c r="B50" i="2" s="1"/>
  <c r="K28" i="4"/>
  <c r="N30" i="4"/>
  <c r="I9" i="4"/>
  <c r="B33" i="2" s="1"/>
  <c r="K11" i="4"/>
  <c r="N13" i="4"/>
  <c r="H16" i="4"/>
  <c r="L16" i="4" s="1"/>
  <c r="J18" i="4"/>
  <c r="M20" i="4"/>
  <c r="F23" i="4"/>
  <c r="I25" i="4"/>
  <c r="B49" i="2" s="1"/>
  <c r="K27" i="4"/>
  <c r="N29" i="4"/>
  <c r="I8" i="4"/>
  <c r="B32" i="2" s="1"/>
  <c r="K10" i="4"/>
  <c r="N12" i="4"/>
  <c r="H15" i="4"/>
  <c r="L15" i="4" s="1"/>
  <c r="J17" i="4"/>
  <c r="M19" i="4"/>
  <c r="F22" i="4"/>
  <c r="I24" i="4"/>
  <c r="B48" i="2" s="1"/>
  <c r="K26" i="4"/>
  <c r="N28" i="4"/>
  <c r="H31" i="4"/>
  <c r="L31" i="4" s="1"/>
  <c r="K9" i="4"/>
  <c r="N11" i="4"/>
  <c r="H14" i="4"/>
  <c r="L14" i="4" s="1"/>
  <c r="J16" i="4"/>
  <c r="M18" i="4"/>
  <c r="F21" i="4"/>
  <c r="I23" i="4"/>
  <c r="B47" i="2" s="1"/>
  <c r="N27" i="4"/>
  <c r="K8" i="4"/>
  <c r="N10" i="4"/>
  <c r="H13" i="4"/>
  <c r="L13" i="4" s="1"/>
  <c r="J15" i="4"/>
  <c r="M17" i="4"/>
  <c r="F20" i="4"/>
  <c r="I22" i="4"/>
  <c r="B46" i="2" s="1"/>
  <c r="K24" i="4"/>
  <c r="N26" i="4"/>
  <c r="H29" i="4"/>
  <c r="L29" i="4" s="1"/>
  <c r="J31" i="4"/>
  <c r="N9" i="4"/>
  <c r="H12" i="4"/>
  <c r="L12" i="4" s="1"/>
  <c r="J14" i="4"/>
  <c r="M16" i="4"/>
  <c r="I21" i="4"/>
  <c r="B45" i="2" s="1"/>
  <c r="K23" i="4"/>
  <c r="N25" i="4"/>
  <c r="H28" i="4"/>
  <c r="L28" i="4" s="1"/>
  <c r="J30" i="4"/>
  <c r="N8" i="4"/>
  <c r="H11" i="4"/>
  <c r="L11" i="4" s="1"/>
  <c r="J13" i="4"/>
  <c r="M15" i="4"/>
  <c r="F18" i="4"/>
  <c r="I20" i="4"/>
  <c r="B44" i="2" s="1"/>
  <c r="K22" i="4"/>
  <c r="N24" i="4"/>
  <c r="H27" i="4"/>
  <c r="L27" i="4" s="1"/>
  <c r="J29" i="4"/>
  <c r="M31" i="4"/>
  <c r="H10" i="4"/>
  <c r="L10" i="4" s="1"/>
  <c r="J12" i="4"/>
  <c r="M14" i="4"/>
  <c r="H9" i="4"/>
  <c r="L9" i="4" s="1"/>
  <c r="J11" i="4"/>
  <c r="M13" i="4"/>
  <c r="F16" i="4"/>
  <c r="I18" i="4"/>
  <c r="B42" i="2" s="1"/>
  <c r="K20" i="4"/>
  <c r="N22" i="4"/>
  <c r="H25" i="4"/>
  <c r="L25" i="4" s="1"/>
  <c r="J27" i="4"/>
  <c r="M29" i="4"/>
  <c r="H8" i="4"/>
  <c r="J10" i="4"/>
  <c r="M12" i="4"/>
  <c r="F15" i="4"/>
  <c r="I17" i="4"/>
  <c r="B41" i="2" s="1"/>
  <c r="K19" i="4"/>
  <c r="N21" i="4"/>
  <c r="H24" i="4"/>
  <c r="G24" i="4" s="1"/>
  <c r="J26" i="4"/>
  <c r="M28" i="4"/>
  <c r="F31" i="4"/>
  <c r="J9" i="4"/>
  <c r="M11" i="4"/>
  <c r="F14" i="4"/>
  <c r="I16" i="4"/>
  <c r="B40" i="2" s="1"/>
  <c r="K18" i="4"/>
  <c r="N20" i="4"/>
  <c r="H23" i="4"/>
  <c r="J25" i="4"/>
  <c r="M27" i="4"/>
  <c r="F30" i="4"/>
  <c r="J8" i="4"/>
  <c r="M10" i="4"/>
  <c r="F13" i="4"/>
  <c r="I15" i="4"/>
  <c r="B39" i="2" s="1"/>
  <c r="K17" i="4"/>
  <c r="N19" i="4"/>
  <c r="H22" i="4"/>
  <c r="G22" i="4" s="1"/>
  <c r="J24" i="4"/>
  <c r="M26" i="4"/>
  <c r="F29" i="4"/>
  <c r="I31" i="4"/>
  <c r="B55" i="2" s="1"/>
  <c r="M9" i="4"/>
  <c r="F12" i="4"/>
  <c r="I14" i="4"/>
  <c r="B38" i="2" s="1"/>
  <c r="K16" i="4"/>
  <c r="N18" i="4"/>
  <c r="H21" i="4"/>
  <c r="L21" i="4" s="1"/>
  <c r="J23" i="4"/>
  <c r="M25" i="4"/>
  <c r="F28" i="4"/>
  <c r="I30" i="4"/>
  <c r="B54" i="2" s="1"/>
  <c r="M8" i="4"/>
  <c r="F11" i="4"/>
  <c r="I13" i="4"/>
  <c r="B37" i="2" s="1"/>
  <c r="K15" i="4"/>
  <c r="N17" i="4"/>
  <c r="H20" i="4"/>
  <c r="L20" i="4" s="1"/>
  <c r="J22" i="4"/>
  <c r="M24" i="4"/>
  <c r="F27" i="4"/>
  <c r="I29" i="4"/>
  <c r="B53" i="2" s="1"/>
  <c r="K31" i="4"/>
  <c r="F10" i="4"/>
  <c r="I12" i="4"/>
  <c r="B36" i="2" s="1"/>
  <c r="K14" i="4"/>
  <c r="N16" i="4"/>
  <c r="H19" i="4"/>
  <c r="L19" i="4" s="1"/>
  <c r="J21" i="4"/>
  <c r="M23" i="4"/>
  <c r="F26" i="4"/>
  <c r="I28" i="4"/>
  <c r="B52" i="2" s="1"/>
  <c r="K30" i="4"/>
  <c r="F9" i="4"/>
  <c r="I11" i="4"/>
  <c r="B35" i="2" s="1"/>
  <c r="K13" i="4"/>
  <c r="N15" i="4"/>
  <c r="H18" i="4"/>
  <c r="L18" i="4" s="1"/>
  <c r="J20" i="4"/>
  <c r="M22" i="4"/>
  <c r="F25" i="4"/>
  <c r="I27" i="4"/>
  <c r="B51" i="2" s="1"/>
  <c r="K29" i="4"/>
  <c r="K25" i="4"/>
  <c r="H30" i="4"/>
  <c r="L30" i="4" s="1"/>
  <c r="K21" i="4"/>
  <c r="M30" i="4"/>
  <c r="N23" i="4"/>
  <c r="F17" i="4"/>
  <c r="H26" i="4"/>
  <c r="L26" i="4" s="1"/>
  <c r="I19" i="4"/>
  <c r="B43" i="2" s="1"/>
  <c r="J28" i="4"/>
  <c r="A35" i="2"/>
  <c r="C35" i="2" s="1"/>
  <c r="G15" i="4" l="1"/>
  <c r="G31" i="4"/>
  <c r="G14" i="4"/>
  <c r="G16" i="4"/>
  <c r="G8" i="4"/>
  <c r="L22" i="4"/>
  <c r="G17" i="4"/>
  <c r="G23" i="4"/>
  <c r="G29" i="4"/>
  <c r="G11" i="4"/>
  <c r="G20" i="4"/>
  <c r="G10" i="4"/>
  <c r="G12" i="4"/>
  <c r="G9" i="4"/>
  <c r="L23" i="4"/>
  <c r="G13" i="4"/>
  <c r="G25" i="4"/>
  <c r="G18" i="4"/>
  <c r="G19" i="4"/>
  <c r="G30" i="4"/>
  <c r="F34" i="4"/>
  <c r="G26" i="4"/>
  <c r="H34" i="4"/>
  <c r="G27" i="4"/>
  <c r="G21" i="4"/>
  <c r="G28" i="4"/>
  <c r="I34" i="4"/>
  <c r="L24" i="4"/>
  <c r="L8" i="4"/>
  <c r="G34" i="2"/>
  <c r="M34" i="2"/>
  <c r="L34" i="2"/>
  <c r="E34" i="2"/>
  <c r="H34" i="2"/>
  <c r="I34" i="2"/>
  <c r="J34" i="2"/>
  <c r="K34" i="2"/>
  <c r="F34" i="2"/>
  <c r="D34" i="2"/>
  <c r="A36" i="2"/>
  <c r="C36" i="2" s="1"/>
  <c r="G34" i="4" l="1"/>
  <c r="M35" i="2"/>
  <c r="G35" i="2"/>
  <c r="L35" i="2"/>
  <c r="E35" i="2"/>
  <c r="H35" i="2"/>
  <c r="I35" i="2"/>
  <c r="J35" i="2"/>
  <c r="F35" i="2"/>
  <c r="D35" i="2"/>
  <c r="K35" i="2"/>
  <c r="A37" i="2"/>
  <c r="C37" i="2" s="1"/>
  <c r="M36" i="2" l="1"/>
  <c r="G36" i="2"/>
  <c r="L36" i="2"/>
  <c r="E36" i="2"/>
  <c r="H36" i="2"/>
  <c r="D36" i="2"/>
  <c r="I36" i="2"/>
  <c r="J36" i="2"/>
  <c r="K36" i="2"/>
  <c r="F36" i="2"/>
  <c r="A38" i="2"/>
  <c r="C38" i="2" s="1"/>
  <c r="M37" i="2" l="1"/>
  <c r="G37" i="2"/>
  <c r="L37" i="2"/>
  <c r="E37" i="2"/>
  <c r="H37" i="2"/>
  <c r="I37" i="2"/>
  <c r="D37" i="2"/>
  <c r="J37" i="2"/>
  <c r="K37" i="2"/>
  <c r="F37" i="2"/>
  <c r="A39" i="2"/>
  <c r="C39" i="2" s="1"/>
  <c r="M38" i="2" l="1"/>
  <c r="G38" i="2"/>
  <c r="L38" i="2"/>
  <c r="E38" i="2"/>
  <c r="H38" i="2"/>
  <c r="I38" i="2"/>
  <c r="J38" i="2"/>
  <c r="D38" i="2"/>
  <c r="F38" i="2"/>
  <c r="K38" i="2"/>
  <c r="A40" i="2"/>
  <c r="C40" i="2" s="1"/>
  <c r="M39" i="2" l="1"/>
  <c r="G39" i="2"/>
  <c r="L39" i="2"/>
  <c r="H39" i="2"/>
  <c r="I39" i="2"/>
  <c r="J39" i="2"/>
  <c r="K39" i="2"/>
  <c r="E39" i="2"/>
  <c r="D39" i="2"/>
  <c r="F39" i="2"/>
  <c r="A41" i="2"/>
  <c r="C41" i="2" s="1"/>
  <c r="M40" i="2" l="1"/>
  <c r="G40" i="2"/>
  <c r="L40" i="2"/>
  <c r="D40" i="2"/>
  <c r="H40" i="2"/>
  <c r="I40" i="2"/>
  <c r="J40" i="2"/>
  <c r="E40" i="2"/>
  <c r="F40" i="2"/>
  <c r="K40" i="2"/>
  <c r="A42" i="2"/>
  <c r="C42" i="2" s="1"/>
  <c r="M41" i="2" l="1"/>
  <c r="G41" i="2"/>
  <c r="L41" i="2"/>
  <c r="H41" i="2"/>
  <c r="I41" i="2"/>
  <c r="J41" i="2"/>
  <c r="K41" i="2"/>
  <c r="D41" i="2"/>
  <c r="E41" i="2"/>
  <c r="F41" i="2"/>
  <c r="A43" i="2"/>
  <c r="C43" i="2" s="1"/>
  <c r="G42" i="2" l="1"/>
  <c r="M42" i="2"/>
  <c r="L42" i="2"/>
  <c r="H42" i="2"/>
  <c r="I42" i="2"/>
  <c r="J42" i="2"/>
  <c r="E42" i="2"/>
  <c r="D42" i="2"/>
  <c r="F42" i="2"/>
  <c r="K42" i="2"/>
  <c r="A44" i="2"/>
  <c r="C44" i="2" s="1"/>
  <c r="M43" i="2" l="1"/>
  <c r="G43" i="2"/>
  <c r="L43" i="2"/>
  <c r="H43" i="2"/>
  <c r="I43" i="2"/>
  <c r="J43" i="2"/>
  <c r="K43" i="2"/>
  <c r="D43" i="2"/>
  <c r="E43" i="2"/>
  <c r="F43" i="2"/>
  <c r="A45" i="2"/>
  <c r="C45" i="2" s="1"/>
  <c r="M44" i="2" l="1"/>
  <c r="G44" i="2"/>
  <c r="L44" i="2"/>
  <c r="H44" i="2"/>
  <c r="D44" i="2"/>
  <c r="I44" i="2"/>
  <c r="J44" i="2"/>
  <c r="E44" i="2"/>
  <c r="F44" i="2"/>
  <c r="K44" i="2"/>
  <c r="A46" i="2"/>
  <c r="C46" i="2" s="1"/>
  <c r="M45" i="2" l="1"/>
  <c r="G45" i="2"/>
  <c r="L45" i="2"/>
  <c r="H45" i="2"/>
  <c r="I45" i="2"/>
  <c r="D45" i="2"/>
  <c r="J45" i="2"/>
  <c r="K45" i="2"/>
  <c r="E45" i="2"/>
  <c r="F45" i="2"/>
  <c r="A47" i="2"/>
  <c r="C47" i="2" s="1"/>
  <c r="M46" i="2" l="1"/>
  <c r="G46" i="2"/>
  <c r="L46" i="2"/>
  <c r="H46" i="2"/>
  <c r="I46" i="2"/>
  <c r="J46" i="2"/>
  <c r="E46" i="2"/>
  <c r="F46" i="2"/>
  <c r="D46" i="2"/>
  <c r="K46" i="2"/>
  <c r="A48" i="2"/>
  <c r="C48" i="2" s="1"/>
  <c r="M47" i="2" l="1"/>
  <c r="G47" i="2"/>
  <c r="L47" i="2"/>
  <c r="H47" i="2"/>
  <c r="I47" i="2"/>
  <c r="J47" i="2"/>
  <c r="K47" i="2"/>
  <c r="D47" i="2"/>
  <c r="E47" i="2"/>
  <c r="F47" i="2"/>
  <c r="A49" i="2"/>
  <c r="C49" i="2" s="1"/>
  <c r="M48" i="2" l="1"/>
  <c r="G48" i="2"/>
  <c r="L48" i="2"/>
  <c r="D48" i="2"/>
  <c r="H48" i="2"/>
  <c r="I48" i="2"/>
  <c r="J48" i="2"/>
  <c r="E48" i="2"/>
  <c r="F48" i="2"/>
  <c r="K48" i="2"/>
  <c r="A50" i="2"/>
  <c r="C50" i="2" s="1"/>
  <c r="M49" i="2" l="1"/>
  <c r="G49" i="2"/>
  <c r="L49" i="2"/>
  <c r="H49" i="2"/>
  <c r="I49" i="2"/>
  <c r="J49" i="2"/>
  <c r="K49" i="2"/>
  <c r="E49" i="2"/>
  <c r="F49" i="2"/>
  <c r="D49" i="2"/>
  <c r="A51" i="2"/>
  <c r="C51" i="2" s="1"/>
  <c r="G50" i="2" l="1"/>
  <c r="M50" i="2"/>
  <c r="L50" i="2"/>
  <c r="H50" i="2"/>
  <c r="I50" i="2"/>
  <c r="J50" i="2"/>
  <c r="E50" i="2"/>
  <c r="F50" i="2"/>
  <c r="K50" i="2"/>
  <c r="D50" i="2"/>
  <c r="A52" i="2"/>
  <c r="C52" i="2" s="1"/>
  <c r="M51" i="2" l="1"/>
  <c r="G51" i="2"/>
  <c r="L51" i="2"/>
  <c r="H51" i="2"/>
  <c r="I51" i="2"/>
  <c r="J51" i="2"/>
  <c r="K51" i="2"/>
  <c r="E51" i="2"/>
  <c r="F51" i="2"/>
  <c r="D51" i="2"/>
  <c r="A53" i="2"/>
  <c r="C53" i="2" s="1"/>
  <c r="M52" i="2" l="1"/>
  <c r="G52" i="2"/>
  <c r="L52" i="2"/>
  <c r="H52" i="2"/>
  <c r="D52" i="2"/>
  <c r="I52" i="2"/>
  <c r="J52" i="2"/>
  <c r="E52" i="2"/>
  <c r="F52" i="2"/>
  <c r="K52" i="2"/>
  <c r="A54" i="2"/>
  <c r="C54" i="2" s="1"/>
  <c r="M53" i="2" l="1"/>
  <c r="G53" i="2"/>
  <c r="L53" i="2"/>
  <c r="H53" i="2"/>
  <c r="I53" i="2"/>
  <c r="D53" i="2"/>
  <c r="J53" i="2"/>
  <c r="K53" i="2"/>
  <c r="E53" i="2"/>
  <c r="F53" i="2"/>
  <c r="A55" i="2"/>
  <c r="C55" i="2" s="1"/>
  <c r="M54" i="2" l="1"/>
  <c r="G54" i="2"/>
  <c r="M55" i="2"/>
  <c r="G55" i="2"/>
  <c r="L54" i="2"/>
  <c r="H54" i="2"/>
  <c r="I54" i="2"/>
  <c r="D54" i="2"/>
  <c r="E54" i="2"/>
  <c r="F54" i="2"/>
  <c r="J54" i="2"/>
  <c r="K54" i="2"/>
  <c r="L55" i="2"/>
  <c r="L56" i="2" s="1"/>
  <c r="H55" i="2"/>
  <c r="H56" i="2" s="1"/>
  <c r="I55" i="2"/>
  <c r="J55" i="2"/>
  <c r="D55" i="2"/>
  <c r="K55" i="2"/>
  <c r="E55" i="2"/>
  <c r="F55" i="2"/>
  <c r="I56" i="2" l="1"/>
  <c r="K56" i="2"/>
  <c r="J56" i="2"/>
  <c r="G56" i="2"/>
  <c r="I35" i="4" s="1"/>
  <c r="F56" i="2"/>
  <c r="E56" i="2"/>
  <c r="G35" i="4" s="1"/>
  <c r="D56" i="2"/>
  <c r="F35" i="4" s="1"/>
  <c r="M56" i="2"/>
  <c r="H35" i="4" l="1"/>
  <c r="H36" i="4" s="1"/>
  <c r="D59" i="2"/>
  <c r="K35" i="4" s="1"/>
  <c r="G59" i="2"/>
  <c r="N35" i="4" s="1"/>
  <c r="E59" i="2"/>
  <c r="L35" i="4" s="1"/>
  <c r="C59" i="2"/>
  <c r="J35" i="4" s="1"/>
  <c r="F59" i="2"/>
  <c r="M35" i="4" s="1"/>
</calcChain>
</file>

<file path=xl/connections.xml><?xml version="1.0" encoding="utf-8"?>
<connections xmlns="http://schemas.openxmlformats.org/spreadsheetml/2006/main">
  <connection id="1" name="table_for_PGE CBP_expost_private" type="6" refreshedVersion="5" deleted="1" background="1" saveData="1">
    <textPr codePage="437" sourceFile="P:\SCE\DBP 2013\Models\SCE\table_for_SCE DBP_expost_private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<sst xmlns="http://schemas.openxmlformats.org/spreadsheetml/2006/main" count="311" uniqueCount="248">
  <si>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</si>
  <si>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</si>
  <si>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</si>
  <si>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</si>
  <si>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</si>
  <si>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</si>
  <si>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</si>
  <si>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</si>
  <si>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</si>
  <si>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</si>
  <si>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</si>
  <si>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</si>
  <si>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</si>
  <si>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</si>
  <si>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</si>
  <si>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</si>
  <si>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</si>
  <si>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</si>
  <si>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</si>
  <si>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</si>
  <si>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</si>
  <si>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Day Type: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</si>
  <si>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</si>
  <si>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</si>
  <si>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</si>
  <si>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</si>
  <si>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</si>
  <si>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</si>
  <si>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</si>
  <si>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Retail stores</t>
  </si>
  <si>
    <t>Schools</t>
  </si>
  <si>
    <t>Wholesale, Transport, other utilities</t>
  </si>
  <si>
    <t>No</t>
  </si>
  <si>
    <t>Yes</t>
  </si>
  <si>
    <t>date</t>
  </si>
  <si>
    <t>Date</t>
  </si>
  <si>
    <t>Industry</t>
  </si>
  <si>
    <t>Dual Enrolled</t>
  </si>
  <si>
    <t>Results Type</t>
  </si>
  <si>
    <t>Average per Called Customer</t>
  </si>
  <si>
    <t>Two-way tab flag</t>
  </si>
  <si>
    <t>product</t>
  </si>
  <si>
    <t>evt_start</t>
  </si>
  <si>
    <t>evt_end</t>
  </si>
  <si>
    <t>Event Hours</t>
  </si>
  <si>
    <t>By Period: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</si>
  <si>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</si>
  <si>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</si>
  <si>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</si>
  <si>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</si>
  <si>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</si>
  <si>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</si>
  <si>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</si>
  <si>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</si>
  <si>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</si>
  <si>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</si>
  <si>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</si>
  <si>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</si>
  <si>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</si>
  <si>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Demand Bidding Program (DBP)</t>
  </si>
  <si>
    <t>Number of Accounts Bid:</t>
  </si>
  <si>
    <t xml:space="preserve"> Number of Accounts Enrolled:</t>
  </si>
  <si>
    <t>Enrollment</t>
  </si>
  <si>
    <t>LA Basin</t>
  </si>
  <si>
    <t>Outside Basin</t>
  </si>
  <si>
    <t>Ventura</t>
  </si>
  <si>
    <t>Southern California Edison</t>
  </si>
  <si>
    <t>Average Event Hour % Load Impact:</t>
  </si>
  <si>
    <t>Bid</t>
  </si>
  <si>
    <t>Active</t>
  </si>
  <si>
    <t>lca</t>
  </si>
  <si>
    <t>bid</t>
  </si>
  <si>
    <t>enrolled</t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</si>
  <si>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</si>
  <si>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</si>
  <si>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</si>
  <si>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</si>
  <si>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</si>
  <si>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</si>
  <si>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</si>
  <si>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</si>
  <si>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</si>
  <si>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</si>
  <si>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</si>
  <si>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</si>
  <si>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</si>
  <si>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</si>
  <si>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</si>
  <si>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</si>
  <si>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</si>
  <si>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</si>
  <si>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</si>
  <si>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</si>
  <si>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</si>
  <si>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</si>
  <si>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</si>
  <si>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</si>
  <si>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</si>
  <si>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</si>
  <si>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</si>
  <si>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</si>
  <si>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</si>
  <si>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</si>
  <si>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</si>
  <si>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</si>
  <si>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</si>
  <si>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</si>
  <si>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</si>
  <si>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</si>
  <si>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</si>
  <si>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</si>
  <si>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</si>
  <si>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</si>
  <si>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</si>
  <si>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</si>
  <si>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</si>
  <si>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</si>
  <si>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</si>
  <si>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</si>
  <si>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</si>
  <si>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</si>
  <si>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</si>
  <si>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</si>
  <si>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</si>
  <si>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</si>
  <si>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</si>
  <si>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</si>
  <si>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</si>
  <si>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</si>
  <si>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</si>
  <si>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</si>
  <si>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</si>
  <si>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</si>
  <si>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</si>
  <si>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</si>
  <si>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</si>
  <si>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</si>
  <si>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</si>
  <si>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</si>
  <si>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</si>
  <si>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</si>
  <si>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</si>
  <si>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</si>
  <si>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</si>
  <si>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</si>
  <si>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</si>
  <si>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</si>
  <si>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</si>
  <si>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</si>
  <si>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</si>
  <si>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</si>
  <si>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</si>
  <si>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</si>
  <si>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</si>
  <si>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</si>
  <si>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</si>
  <si>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</si>
  <si>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</si>
  <si>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</si>
  <si>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</si>
  <si>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</si>
  <si>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</si>
  <si>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</si>
  <si>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</si>
  <si>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</si>
  <si>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</si>
  <si>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</si>
  <si>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</si>
  <si>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</si>
  <si>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</si>
  <si>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</si>
  <si>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</si>
  <si>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</si>
  <si>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</si>
  <si>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</si>
  <si>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</si>
  <si>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</si>
  <si>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</si>
  <si>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</si>
  <si>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</si>
  <si>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</si>
  <si>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</si>
  <si>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</si>
  <si>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</si>
  <si>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</si>
  <si>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</si>
  <si>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</si>
  <si>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</si>
  <si>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</si>
  <si>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</si>
  <si>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</si>
  <si>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</si>
  <si>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</si>
  <si>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</si>
  <si>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</si>
  <si>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</si>
  <si>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</si>
  <si>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</si>
  <si>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</si>
  <si>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</si>
  <si>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</si>
  <si>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</si>
  <si>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</si>
  <si>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</si>
  <si>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</si>
  <si>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</si>
  <si>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</si>
  <si>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</si>
  <si>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</si>
  <si>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</si>
  <si>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</si>
  <si>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</si>
  <si>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</si>
  <si>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</si>
  <si>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</si>
  <si>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</si>
  <si>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</si>
  <si>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</si>
  <si>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</si>
  <si>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</si>
  <si>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</si>
  <si>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</si>
  <si>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</si>
  <si>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</si>
  <si>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</si>
  <si>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</si>
  <si>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</si>
  <si>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</si>
  <si>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</si>
  <si>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</si>
  <si>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</si>
  <si>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</si>
  <si>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</si>
  <si>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</si>
  <si>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</si>
  <si>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</si>
  <si>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</si>
  <si>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</si>
  <si>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</si>
  <si>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</si>
  <si>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</si>
  <si>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t>stderr_evt_hr</t>
  </si>
  <si>
    <t>active results</t>
  </si>
  <si>
    <t>se in mwh</t>
  </si>
  <si>
    <t>se per cust in kwh</t>
  </si>
  <si>
    <t>Called customers by event</t>
  </si>
  <si>
    <t>in TED</t>
  </si>
  <si>
    <t>_pass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</si>
</sst>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[$-409]mmmm\ d\,\ yyyy;@"/>
    <numFmt numFmtId="166" formatCode="0.0%"/>
    <numFmt numFmtId="167" formatCode="0.0"/>
    <numFmt numFmtId="168" formatCode="0.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1" fillId="0" borderId="0" xfId="0" applyFont="1"/>
    <xf numFmtId="0" fontId="1" fillId="0" borderId="0" xfId="0" quotePrefix="1" applyFont="1" applyFill="1" applyBorder="1" applyAlignment="1">
      <alignment horizontal="left"/>
    </xf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64" fontId="11" fillId="0" borderId="20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4" fontId="0" fillId="0" borderId="0" xfId="0" applyNumberForma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4" fontId="0" fillId="0" borderId="0" xfId="0" applyNumberFormat="1"/>
    <xf numFmtId="0" fontId="0" fillId="3" borderId="0" xfId="0" applyFill="1"/>
    <xf numFmtId="168" fontId="0" fillId="0" borderId="0" xfId="0" applyNumberFormat="1"/>
    <xf numFmtId="2" fontId="0" fillId="0" borderId="0" xfId="0" applyNumberFormat="1"/>
    <xf numFmtId="1" fontId="0" fillId="0" borderId="0" xfId="0" applyNumberFormat="1"/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8" xfId="0" quotePrefix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568.31479999999999</c:v>
                </c:pt>
                <c:pt idx="1">
                  <c:v>564.92830000000004</c:v>
                </c:pt>
                <c:pt idx="2">
                  <c:v>559.9221</c:v>
                </c:pt>
                <c:pt idx="3">
                  <c:v>562.60829999999999</c:v>
                </c:pt>
                <c:pt idx="4">
                  <c:v>583.91769999999997</c:v>
                </c:pt>
                <c:pt idx="5">
                  <c:v>623.2885</c:v>
                </c:pt>
                <c:pt idx="6">
                  <c:v>670.76160000000004</c:v>
                </c:pt>
                <c:pt idx="7">
                  <c:v>691.0942</c:v>
                </c:pt>
                <c:pt idx="8">
                  <c:v>708.61540000000002</c:v>
                </c:pt>
                <c:pt idx="9">
                  <c:v>727.52179999999998</c:v>
                </c:pt>
                <c:pt idx="10">
                  <c:v>744.40980000000002</c:v>
                </c:pt>
                <c:pt idx="11">
                  <c:v>739.35680000000002</c:v>
                </c:pt>
                <c:pt idx="12">
                  <c:v>733.55409999999995</c:v>
                </c:pt>
                <c:pt idx="13">
                  <c:v>733.8546</c:v>
                </c:pt>
                <c:pt idx="14">
                  <c:v>731.82510000000002</c:v>
                </c:pt>
                <c:pt idx="15">
                  <c:v>717.78110000000004</c:v>
                </c:pt>
                <c:pt idx="16">
                  <c:v>706.89369999999997</c:v>
                </c:pt>
                <c:pt idx="17">
                  <c:v>689.80070000000001</c:v>
                </c:pt>
                <c:pt idx="18">
                  <c:v>666.9846</c:v>
                </c:pt>
                <c:pt idx="19">
                  <c:v>661.68349999999998</c:v>
                </c:pt>
                <c:pt idx="20">
                  <c:v>645.3184</c:v>
                </c:pt>
                <c:pt idx="21">
                  <c:v>620.65409999999997</c:v>
                </c:pt>
                <c:pt idx="22">
                  <c:v>596.46669999999995</c:v>
                </c:pt>
                <c:pt idx="23">
                  <c:v>582.3614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552.64238999999998</c:v>
                </c:pt>
                <c:pt idx="1">
                  <c:v>549.78931</c:v>
                </c:pt>
                <c:pt idx="2">
                  <c:v>546.44677000000001</c:v>
                </c:pt>
                <c:pt idx="3">
                  <c:v>547.54912000000002</c:v>
                </c:pt>
                <c:pt idx="4">
                  <c:v>565.47587999999996</c:v>
                </c:pt>
                <c:pt idx="5">
                  <c:v>620.64574000000005</c:v>
                </c:pt>
                <c:pt idx="6">
                  <c:v>666.66878600000007</c:v>
                </c:pt>
                <c:pt idx="7">
                  <c:v>685.28631700000005</c:v>
                </c:pt>
                <c:pt idx="8">
                  <c:v>704.74736000000007</c:v>
                </c:pt>
                <c:pt idx="9">
                  <c:v>722.910211</c:v>
                </c:pt>
                <c:pt idx="10">
                  <c:v>729.66687000000002</c:v>
                </c:pt>
                <c:pt idx="11">
                  <c:v>691.29089999999997</c:v>
                </c:pt>
                <c:pt idx="12">
                  <c:v>632.56509999999992</c:v>
                </c:pt>
                <c:pt idx="13">
                  <c:v>630.24670000000003</c:v>
                </c:pt>
                <c:pt idx="14">
                  <c:v>629.52930000000003</c:v>
                </c:pt>
                <c:pt idx="15">
                  <c:v>616.00430000000006</c:v>
                </c:pt>
                <c:pt idx="16">
                  <c:v>602.3723</c:v>
                </c:pt>
                <c:pt idx="17">
                  <c:v>589.72670000000005</c:v>
                </c:pt>
                <c:pt idx="18">
                  <c:v>569.90170999999998</c:v>
                </c:pt>
                <c:pt idx="19">
                  <c:v>574.06935999999996</c:v>
                </c:pt>
                <c:pt idx="20">
                  <c:v>604.73515999999995</c:v>
                </c:pt>
                <c:pt idx="21">
                  <c:v>598.02077999999995</c:v>
                </c:pt>
                <c:pt idx="22">
                  <c:v>578.73027999999999</c:v>
                </c:pt>
                <c:pt idx="23">
                  <c:v>566.88768000000005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01808"/>
        <c:axId val="289725664"/>
      </c:scatterChart>
      <c:valAx>
        <c:axId val="292501808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289725664"/>
        <c:crosses val="autoZero"/>
        <c:crossBetween val="midCat"/>
        <c:majorUnit val="1"/>
      </c:valAx>
      <c:valAx>
        <c:axId val="289725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2925018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22411</xdr:rowOff>
    </xdr:from>
    <xdr:to>
      <xdr:col>3</xdr:col>
      <xdr:colOff>628650</xdr:colOff>
      <xdr:row>34</xdr:row>
      <xdr:rowOff>175933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_for_PGE CBP_expost_private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0" zoomScaleNormal="80" workbookViewId="0"/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Bot="1" x14ac:dyDescent="0.3">
      <c r="A1" s="2" t="str">
        <f>IF(DGET(data,"_pass",_xlnm.Criteria)=0,"Results are confidential for the selected LCA","")</f>
        <v/>
      </c>
      <c r="B1" s="2"/>
      <c r="C1" s="2"/>
      <c r="I1" s="3"/>
      <c r="J1" s="3"/>
      <c r="K1" s="45"/>
      <c r="L1" s="47"/>
    </row>
    <row r="2" spans="1:14" ht="17.25" customHeight="1" thickTop="1" thickBot="1" x14ac:dyDescent="0.3">
      <c r="A2" s="37" t="s">
        <v>19</v>
      </c>
      <c r="B2" s="7" t="s">
        <v>66</v>
      </c>
      <c r="C2" s="5"/>
      <c r="D2" s="5"/>
      <c r="F2" s="4" t="s">
        <v>60</v>
      </c>
      <c r="G2" s="39">
        <f>IF(Bid=0,"n/a",DGET(data,"bid",_xlnm.Criteria))</f>
        <v>491.4</v>
      </c>
      <c r="I2" s="44"/>
      <c r="J2" s="3"/>
      <c r="K2" s="45"/>
      <c r="L2" s="47"/>
    </row>
    <row r="3" spans="1:14" ht="17.25" customHeight="1" thickTop="1" thickBot="1" x14ac:dyDescent="0.3">
      <c r="A3" s="38" t="s">
        <v>10</v>
      </c>
      <c r="B3" s="35" t="s">
        <v>59</v>
      </c>
      <c r="C3" s="5"/>
      <c r="D3" s="5"/>
      <c r="F3" s="3" t="s">
        <v>61</v>
      </c>
      <c r="G3" s="39">
        <f>IF(Bid=0,"n/a",DGET(data,"enrolled",_xlnm.Criteria))</f>
        <v>794.1</v>
      </c>
      <c r="I3" s="61" t="s">
        <v>46</v>
      </c>
      <c r="J3" s="62" t="str">
        <f>IF(ISNA(VLOOKUP(date,Lookups!$B$11:$F$21,5,FALSE)),"n/a",VLOOKUP(date,Lookups!$B$11:$F$21,5,FALSE))</f>
        <v>Hours Ending 13 to 20</v>
      </c>
      <c r="K3" s="46"/>
    </row>
    <row r="4" spans="1:14" ht="17.25" customHeight="1" thickBot="1" x14ac:dyDescent="0.25">
      <c r="A4" s="37" t="s">
        <v>20</v>
      </c>
      <c r="B4" s="7" t="s">
        <v>3</v>
      </c>
      <c r="C4" s="5"/>
      <c r="D4" s="5"/>
    </row>
    <row r="5" spans="1:14" ht="17.25" customHeight="1" thickBot="1" x14ac:dyDescent="0.3">
      <c r="A5" s="37" t="s">
        <v>21</v>
      </c>
      <c r="B5" s="13" t="s">
        <v>2</v>
      </c>
      <c r="C5" s="5"/>
      <c r="D5" s="5"/>
      <c r="E5" s="81" t="s">
        <v>4</v>
      </c>
      <c r="F5" s="81" t="str">
        <f>"Estimated Reference Load ("&amp;IF(Result_type="Aggregate impact","MWh","kWh")&amp;"/hour)"</f>
        <v>Estimated Reference Load (MWh/hour)</v>
      </c>
      <c r="G5" s="81" t="str">
        <f>"Observed Event Day Load ("&amp;IF(Result_type="Aggregate Impact","MWh/hour)","kWh/hour)")</f>
        <v>Observed Event Day Load (MWh/hour)</v>
      </c>
      <c r="H5" s="81" t="str">
        <f>"Estimated Load Impact ("&amp;IF(Result_type="Aggregate Impact","MWh/hour)","kWh/hour)")</f>
        <v>Estimated Load Impact (MWh/hour)</v>
      </c>
      <c r="I5" s="84" t="s">
        <v>22</v>
      </c>
      <c r="J5" s="31"/>
      <c r="K5" s="32"/>
      <c r="L5" s="32"/>
      <c r="M5" s="32"/>
      <c r="N5" s="33"/>
    </row>
    <row r="6" spans="1:14" ht="17.25" customHeight="1" thickBot="1" x14ac:dyDescent="0.35">
      <c r="C6" s="5"/>
      <c r="D6" s="5"/>
      <c r="E6" s="82"/>
      <c r="F6" s="82"/>
      <c r="G6" s="82"/>
      <c r="H6" s="82"/>
      <c r="I6" s="82"/>
      <c r="J6" s="52" t="str">
        <f>"Uncertainty Adjusted Impact ("&amp;IF(Result_type="Aggregate Impact","MWh/hr)- Percentiles","kWh/hr)- Percentiles")</f>
        <v>Uncertainty Adjusted Impact (MWh/hr)- Percentiles</v>
      </c>
      <c r="K6" s="53"/>
      <c r="L6" s="53"/>
      <c r="M6" s="53"/>
      <c r="N6" s="54"/>
    </row>
    <row r="7" spans="1:14" ht="39" customHeight="1" thickBot="1" x14ac:dyDescent="0.25">
      <c r="A7" s="50"/>
      <c r="B7" s="86"/>
      <c r="C7" s="5"/>
      <c r="D7" s="5"/>
      <c r="E7" s="83"/>
      <c r="F7" s="83"/>
      <c r="G7" s="83"/>
      <c r="H7" s="83"/>
      <c r="I7" s="83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7.25" customHeight="1" thickBot="1" x14ac:dyDescent="0.25">
      <c r="A8" s="38" t="s">
        <v>18</v>
      </c>
      <c r="B8" s="69" t="s">
        <v>1</v>
      </c>
      <c r="C8" s="10"/>
      <c r="D8" s="10"/>
      <c r="E8" s="36">
        <v>1</v>
      </c>
      <c r="F8" s="51">
        <f>IF(Bid=0,"n/a",DGET(data,"Ref_hr1",_xlnm.Criteria)/IF(Result_type="Aggregate Impact",1,Enrolled/1000))</f>
        <v>568.31479999999999</v>
      </c>
      <c r="G8" s="51">
        <f t="shared" ref="G8:G31" si="0">IF(Bid=0,"n/a",F8-H8)</f>
        <v>552.64238999999998</v>
      </c>
      <c r="H8" s="51">
        <f>IF(Bid=0,"n/a",DGET(data,"Pctile50_hr1",_xlnm.Criteria)/IF(Result_type="Aggregate Impact",1,Enrolled/1000))</f>
        <v>15.672409999999999</v>
      </c>
      <c r="I8" s="51">
        <f>IF(Bid=0,"n/a",DGET(data,"Temp_hr1",_xlnm.Criteria))</f>
        <v>78.555040000000005</v>
      </c>
      <c r="J8" s="51">
        <f>IF(Bid=0,"n/a",DGET(data,"Pctile10_hr1",_xlnm.Criteria)/IF(Result_type="Aggregate Impact",1,Enrolled/1000))</f>
        <v>10.97986</v>
      </c>
      <c r="K8" s="51">
        <f>IF(Bid=0,"n/a",DGET(data,"Pctile30_hr1",_xlnm.Criteria)/IF(Result_type="Aggregate Impact",1,Enrolled/1000))</f>
        <v>13.75225</v>
      </c>
      <c r="L8" s="51">
        <f>H8</f>
        <v>15.672409999999999</v>
      </c>
      <c r="M8" s="51">
        <f>IF(Bid=0,"n/a",DGET(data,"Pctile70_hr1",_xlnm.Criteria)/IF(Result_type="Aggregate Impact",1,Enrolled/1000))</f>
        <v>17.592559999999999</v>
      </c>
      <c r="N8" s="51">
        <f>IF(Bid=0,"n/a",DGET(data,"Pctile90_hr1",_xlnm.Criteria)/IF(Result_type="Aggregate Impact",1,Enrolled/1000))</f>
        <v>20.36496</v>
      </c>
    </row>
    <row r="9" spans="1:14" ht="17.25" customHeight="1" x14ac:dyDescent="0.2">
      <c r="A9" s="37"/>
      <c r="B9" s="85"/>
      <c r="C9" s="12"/>
      <c r="D9" s="12"/>
      <c r="E9" s="36">
        <v>2</v>
      </c>
      <c r="F9" s="51">
        <f>IF(Bid=0,"n/a",DGET(data,"Ref_hr2",_xlnm.Criteria)/IF(Result_type="Aggregate Impact",1,Enrolled/1000))</f>
        <v>564.92830000000004</v>
      </c>
      <c r="G9" s="51">
        <f t="shared" si="0"/>
        <v>549.78931</v>
      </c>
      <c r="H9" s="51">
        <f>IF(Bid=0,"n/a",DGET(data,"Pctile50_hr2",_xlnm.Criteria)/IF(Result_type="Aggregate Impact",1,Enrolled/1000))</f>
        <v>15.13899</v>
      </c>
      <c r="I9" s="51">
        <f>IF(Bid=0,"n/a",DGET(data,"Temp_hr2",_xlnm.Criteria))</f>
        <v>77.560770000000005</v>
      </c>
      <c r="J9" s="51">
        <f>IF(Bid=0,"n/a",DGET(data,"Pctile10_hr2",_xlnm.Criteria)/IF(Result_type="Aggregate Impact",1,Enrolled/1000))</f>
        <v>10.59925</v>
      </c>
      <c r="K9" s="51">
        <f>IF(Bid=0,"n/a",DGET(data,"Pctile30_hr2",_xlnm.Criteria)/IF(Result_type="Aggregate Impact",1,Enrolled/1000))</f>
        <v>13.281359999999999</v>
      </c>
      <c r="L9" s="51">
        <f t="shared" ref="L9:L31" si="1">H9</f>
        <v>15.13899</v>
      </c>
      <c r="M9" s="51">
        <f>IF(Bid=0,"n/a",DGET(data,"Pctile70_hr2",_xlnm.Criteria)/IF(Result_type="Aggregate Impact",1,Enrolled/1000))</f>
        <v>16.99661</v>
      </c>
      <c r="N9" s="51">
        <f>IF(Bid=0,"n/a",DGET(data,"Pctile90_hr2",_xlnm.Criteria)/IF(Result_type="Aggregate Impact",1,Enrolled/1000))</f>
        <v>19.678719999999998</v>
      </c>
    </row>
    <row r="10" spans="1:14" ht="17.25" customHeight="1" x14ac:dyDescent="0.2">
      <c r="C10" s="14"/>
      <c r="D10" s="14"/>
      <c r="E10" s="36">
        <v>3</v>
      </c>
      <c r="F10" s="51">
        <f>IF(Bid=0,"n/a",DGET(data,"Ref_hr3",_xlnm.Criteria)/IF(Result_type="Aggregate Impact",1,Enrolled/1000))</f>
        <v>559.9221</v>
      </c>
      <c r="G10" s="51">
        <f t="shared" si="0"/>
        <v>546.44677000000001</v>
      </c>
      <c r="H10" s="51">
        <f>IF(Bid=0,"n/a",DGET(data,"Pctile50_hr3",_xlnm.Criteria)/IF(Result_type="Aggregate Impact",1,Enrolled/1000))</f>
        <v>13.47533</v>
      </c>
      <c r="I10" s="51">
        <f>IF(Bid=0,"n/a",DGET(data,"Temp_hr3",_xlnm.Criteria))</f>
        <v>76.753619999999998</v>
      </c>
      <c r="J10" s="51">
        <f>IF(Bid=0,"n/a",DGET(data,"Pctile10_hr3",_xlnm.Criteria)/IF(Result_type="Aggregate Impact",1,Enrolled/1000))</f>
        <v>9.3018719999999995</v>
      </c>
      <c r="K10" s="51">
        <f>IF(Bid=0,"n/a",DGET(data,"Pctile30_hr3",_xlnm.Criteria)/IF(Result_type="Aggregate Impact",1,Enrolled/1000))</f>
        <v>11.767580000000001</v>
      </c>
      <c r="L10" s="51">
        <f t="shared" si="1"/>
        <v>13.47533</v>
      </c>
      <c r="M10" s="51">
        <f>IF(Bid=0,"n/a",DGET(data,"Pctile70_hr3",_xlnm.Criteria)/IF(Result_type="Aggregate Impact",1,Enrolled/1000))</f>
        <v>15.18308</v>
      </c>
      <c r="N10" s="51">
        <f>IF(Bid=0,"n/a",DGET(data,"Pctile90_hr3",_xlnm.Criteria)/IF(Result_type="Aggregate Impact",1,Enrolled/1000))</f>
        <v>17.648790000000002</v>
      </c>
    </row>
    <row r="11" spans="1:14" ht="17.25" customHeight="1" x14ac:dyDescent="0.2">
      <c r="A11" s="50"/>
      <c r="B11" s="68"/>
      <c r="C11" s="15"/>
      <c r="D11" s="15"/>
      <c r="E11" s="36">
        <v>4</v>
      </c>
      <c r="F11" s="51">
        <f>IF(Bid=0,"n/a",DGET(data,"Ref_hr4",_xlnm.Criteria)/IF(Result_type="Aggregate Impact",1,Enrolled/1000))</f>
        <v>562.60829999999999</v>
      </c>
      <c r="G11" s="51">
        <f t="shared" si="0"/>
        <v>547.54912000000002</v>
      </c>
      <c r="H11" s="51">
        <f>IF(Bid=0,"n/a",DGET(data,"Pctile50_hr4",_xlnm.Criteria)/IF(Result_type="Aggregate Impact",1,Enrolled/1000))</f>
        <v>15.05918</v>
      </c>
      <c r="I11" s="51">
        <f>IF(Bid=0,"n/a",DGET(data,"Temp_hr4",_xlnm.Criteria))</f>
        <v>75.841419999999999</v>
      </c>
      <c r="J11" s="51">
        <f>IF(Bid=0,"n/a",DGET(data,"Pctile10_hr4",_xlnm.Criteria)/IF(Result_type="Aggregate Impact",1,Enrolled/1000))</f>
        <v>11.43689</v>
      </c>
      <c r="K11" s="51">
        <f>IF(Bid=0,"n/a",DGET(data,"Pctile30_hr4",_xlnm.Criteria)/IF(Result_type="Aggregate Impact",1,Enrolled/1000))</f>
        <v>13.576969999999999</v>
      </c>
      <c r="L11" s="51">
        <f t="shared" si="1"/>
        <v>15.05918</v>
      </c>
      <c r="M11" s="51">
        <f>IF(Bid=0,"n/a",DGET(data,"Pctile70_hr4",_xlnm.Criteria)/IF(Result_type="Aggregate Impact",1,Enrolled/1000))</f>
        <v>16.541399999999999</v>
      </c>
      <c r="N11" s="51">
        <f>IF(Bid=0,"n/a",DGET(data,"Pctile90_hr4",_xlnm.Criteria)/IF(Result_type="Aggregate Impact",1,Enrolled/1000))</f>
        <v>18.681480000000001</v>
      </c>
    </row>
    <row r="12" spans="1:14" ht="17.25" customHeight="1" x14ac:dyDescent="0.2">
      <c r="C12" s="15"/>
      <c r="D12" s="15"/>
      <c r="E12" s="36">
        <v>5</v>
      </c>
      <c r="F12" s="51">
        <f>IF(Bid=0,"n/a",DGET(data,"Ref_hr5",_xlnm.Criteria)/IF(Result_type="Aggregate Impact",1,Enrolled/1000))</f>
        <v>583.91769999999997</v>
      </c>
      <c r="G12" s="51">
        <f t="shared" si="0"/>
        <v>565.47587999999996</v>
      </c>
      <c r="H12" s="51">
        <f>IF(Bid=0,"n/a",DGET(data,"Pctile50_hr5",_xlnm.Criteria)/IF(Result_type="Aggregate Impact",1,Enrolled/1000))</f>
        <v>18.44182</v>
      </c>
      <c r="I12" s="51">
        <f>IF(Bid=0,"n/a",DGET(data,"Temp_hr5",_xlnm.Criteria))</f>
        <v>75.071780000000004</v>
      </c>
      <c r="J12" s="51">
        <f>IF(Bid=0,"n/a",DGET(data,"Pctile10_hr5",_xlnm.Criteria)/IF(Result_type="Aggregate Impact",1,Enrolled/1000))</f>
        <v>13.240959999999999</v>
      </c>
      <c r="K12" s="51">
        <f>IF(Bid=0,"n/a",DGET(data,"Pctile30_hr5",_xlnm.Criteria)/IF(Result_type="Aggregate Impact",1,Enrolled/1000))</f>
        <v>16.313669999999998</v>
      </c>
      <c r="L12" s="51">
        <f t="shared" si="1"/>
        <v>18.44182</v>
      </c>
      <c r="M12" s="51">
        <f>IF(Bid=0,"n/a",DGET(data,"Pctile70_hr5",_xlnm.Criteria)/IF(Result_type="Aggregate Impact",1,Enrolled/1000))</f>
        <v>20.569980000000001</v>
      </c>
      <c r="N12" s="51">
        <f>IF(Bid=0,"n/a",DGET(data,"Pctile90_hr5",_xlnm.Criteria)/IF(Result_type="Aggregate Impact",1,Enrolled/1000))</f>
        <v>23.642690000000002</v>
      </c>
    </row>
    <row r="13" spans="1:14" ht="17.25" customHeight="1" x14ac:dyDescent="0.2">
      <c r="D13" s="5"/>
      <c r="E13" s="36">
        <v>6</v>
      </c>
      <c r="F13" s="51">
        <f>IF(Bid=0,"n/a",DGET(data,"Ref_hr6",_xlnm.Criteria)/IF(Result_type="Aggregate Impact",1,Enrolled/1000))</f>
        <v>623.2885</v>
      </c>
      <c r="G13" s="51">
        <f t="shared" si="0"/>
        <v>620.64574000000005</v>
      </c>
      <c r="H13" s="51">
        <f>IF(Bid=0,"n/a",DGET(data,"Pctile50_hr6",_xlnm.Criteria)/IF(Result_type="Aggregate Impact",1,Enrolled/1000))</f>
        <v>2.64276</v>
      </c>
      <c r="I13" s="51">
        <f>IF(Bid=0,"n/a",DGET(data,"Temp_hr6",_xlnm.Criteria))</f>
        <v>74.42653</v>
      </c>
      <c r="J13" s="51">
        <f>IF(Bid=0,"n/a",DGET(data,"Pctile10_hr6",_xlnm.Criteria)/IF(Result_type="Aggregate Impact",1,Enrolled/1000))</f>
        <v>-4.1560629999999996</v>
      </c>
      <c r="K13" s="51">
        <f>IF(Bid=0,"n/a",DGET(data,"Pctile30_hr6",_xlnm.Criteria)/IF(Result_type="Aggregate Impact",1,Enrolled/1000))</f>
        <v>-0.13926330000000001</v>
      </c>
      <c r="L13" s="51">
        <f t="shared" si="1"/>
        <v>2.64276</v>
      </c>
      <c r="M13" s="51">
        <f>IF(Bid=0,"n/a",DGET(data,"Pctile70_hr6",_xlnm.Criteria)/IF(Result_type="Aggregate Impact",1,Enrolled/1000))</f>
        <v>5.4247829999999997</v>
      </c>
      <c r="N13" s="51">
        <f>IF(Bid=0,"n/a",DGET(data,"Pctile90_hr6",_xlnm.Criteria)/IF(Result_type="Aggregate Impact",1,Enrolled/1000))</f>
        <v>9.4415829999999996</v>
      </c>
    </row>
    <row r="14" spans="1:14" ht="16.5" x14ac:dyDescent="0.2">
      <c r="D14" s="5"/>
      <c r="E14" s="36">
        <v>7</v>
      </c>
      <c r="F14" s="51">
        <f>IF(Bid=0,"n/a",DGET(data,"Ref_hr7",_xlnm.Criteria)/IF(Result_type="Aggregate Impact",1,Enrolled/1000))</f>
        <v>670.76160000000004</v>
      </c>
      <c r="G14" s="51">
        <f t="shared" si="0"/>
        <v>666.66878600000007</v>
      </c>
      <c r="H14" s="51">
        <f>IF(Bid=0,"n/a",DGET(data,"Pctile50_hr7",_xlnm.Criteria)/IF(Result_type="Aggregate Impact",1,Enrolled/1000))</f>
        <v>4.0928139999999997</v>
      </c>
      <c r="I14" s="51">
        <f>IF(Bid=0,"n/a",DGET(data,"Temp_hr7",_xlnm.Criteria))</f>
        <v>73.896510000000006</v>
      </c>
      <c r="J14" s="51">
        <f>IF(Bid=0,"n/a",DGET(data,"Pctile10_hr7",_xlnm.Criteria)/IF(Result_type="Aggregate Impact",1,Enrolled/1000))</f>
        <v>-0.69527879999999997</v>
      </c>
      <c r="K14" s="51">
        <f>IF(Bid=0,"n/a",DGET(data,"Pctile30_hr7",_xlnm.Criteria)/IF(Result_type="Aggregate Impact",1,Enrolled/1000))</f>
        <v>2.1335649999999999</v>
      </c>
      <c r="L14" s="51">
        <f t="shared" si="1"/>
        <v>4.0928139999999997</v>
      </c>
      <c r="M14" s="51">
        <f>IF(Bid=0,"n/a",DGET(data,"Pctile70_hr7",_xlnm.Criteria)/IF(Result_type="Aggregate Impact",1,Enrolled/1000))</f>
        <v>6.0520630000000004</v>
      </c>
      <c r="N14" s="51">
        <f>IF(Bid=0,"n/a",DGET(data,"Pctile90_hr7",_xlnm.Criteria)/IF(Result_type="Aggregate Impact",1,Enrolled/1000))</f>
        <v>8.8809070000000006</v>
      </c>
    </row>
    <row r="15" spans="1:14" ht="16.5" x14ac:dyDescent="0.2">
      <c r="A15" s="16"/>
      <c r="C15" s="5"/>
      <c r="D15" s="5"/>
      <c r="E15" s="36">
        <v>8</v>
      </c>
      <c r="F15" s="51">
        <f>IF(Bid=0,"n/a",DGET(data,"Ref_hr8",_xlnm.Criteria)/IF(Result_type="Aggregate Impact",1,Enrolled/1000))</f>
        <v>691.0942</v>
      </c>
      <c r="G15" s="51">
        <f t="shared" si="0"/>
        <v>685.28631700000005</v>
      </c>
      <c r="H15" s="51">
        <f>IF(Bid=0,"n/a",DGET(data,"Pctile50_hr8",_xlnm.Criteria)/IF(Result_type="Aggregate Impact",1,Enrolled/1000))</f>
        <v>5.8078830000000004</v>
      </c>
      <c r="I15" s="51">
        <f>IF(Bid=0,"n/a",DGET(data,"Temp_hr8",_xlnm.Criteria))</f>
        <v>73.915019999999998</v>
      </c>
      <c r="J15" s="51">
        <f>IF(Bid=0,"n/a",DGET(data,"Pctile10_hr8",_xlnm.Criteria)/IF(Result_type="Aggregate Impact",1,Enrolled/1000))</f>
        <v>1.2763640000000001</v>
      </c>
      <c r="K15" s="51">
        <f>IF(Bid=0,"n/a",DGET(data,"Pctile30_hr8",_xlnm.Criteria)/IF(Result_type="Aggregate Impact",1,Enrolled/1000))</f>
        <v>3.9536220000000002</v>
      </c>
      <c r="L15" s="51">
        <f t="shared" si="1"/>
        <v>5.8078830000000004</v>
      </c>
      <c r="M15" s="51">
        <f>IF(Bid=0,"n/a",DGET(data,"Pctile70_hr8",_xlnm.Criteria)/IF(Result_type="Aggregate Impact",1,Enrolled/1000))</f>
        <v>7.6621439999999996</v>
      </c>
      <c r="N15" s="51">
        <f>IF(Bid=0,"n/a",DGET(data,"Pctile90_hr8",_xlnm.Criteria)/IF(Result_type="Aggregate Impact",1,Enrolled/1000))</f>
        <v>10.339399999999999</v>
      </c>
    </row>
    <row r="16" spans="1:14" ht="16.5" x14ac:dyDescent="0.2">
      <c r="C16" s="5"/>
      <c r="D16" s="5"/>
      <c r="E16" s="36">
        <v>9</v>
      </c>
      <c r="F16" s="51">
        <f>IF(Bid=0,"n/a",DGET(data,"Ref_hr9",_xlnm.Criteria)/IF(Result_type="Aggregate Impact",1,Enrolled/1000))</f>
        <v>708.61540000000002</v>
      </c>
      <c r="G16" s="51">
        <f t="shared" si="0"/>
        <v>704.74736000000007</v>
      </c>
      <c r="H16" s="51">
        <f>IF(Bid=0,"n/a",DGET(data,"Pctile50_hr9",_xlnm.Criteria)/IF(Result_type="Aggregate Impact",1,Enrolled/1000))</f>
        <v>3.8680400000000001</v>
      </c>
      <c r="I16" s="51">
        <f>IF(Bid=0,"n/a",DGET(data,"Temp_hr9",_xlnm.Criteria))</f>
        <v>75.767880000000005</v>
      </c>
      <c r="J16" s="51">
        <f>IF(Bid=0,"n/a",DGET(data,"Pctile10_hr9",_xlnm.Criteria)/IF(Result_type="Aggregate Impact",1,Enrolled/1000))</f>
        <v>-1.377027</v>
      </c>
      <c r="K16" s="51">
        <f>IF(Bid=0,"n/a",DGET(data,"Pctile30_hr9",_xlnm.Criteria)/IF(Result_type="Aggregate Impact",1,Enrolled/1000))</f>
        <v>1.7218009999999999</v>
      </c>
      <c r="L16" s="51">
        <f t="shared" si="1"/>
        <v>3.8680400000000001</v>
      </c>
      <c r="M16" s="51">
        <f>IF(Bid=0,"n/a",DGET(data,"Pctile70_hr9",_xlnm.Criteria)/IF(Result_type="Aggregate Impact",1,Enrolled/1000))</f>
        <v>6.0142790000000002</v>
      </c>
      <c r="N16" s="51">
        <f>IF(Bid=0,"n/a",DGET(data,"Pctile90_hr9",_xlnm.Criteria)/IF(Result_type="Aggregate Impact",1,Enrolled/1000))</f>
        <v>9.1131069999999994</v>
      </c>
    </row>
    <row r="17" spans="3:23" ht="16.5" x14ac:dyDescent="0.2">
      <c r="C17" s="5"/>
      <c r="D17" s="5"/>
      <c r="E17" s="36">
        <v>10</v>
      </c>
      <c r="F17" s="51">
        <f>IF(Bid=0,"n/a",DGET(data,"Ref_hr10",_xlnm.Criteria)/IF(Result_type="Aggregate Impact",1,Enrolled/1000))</f>
        <v>727.52179999999998</v>
      </c>
      <c r="G17" s="51">
        <f t="shared" si="0"/>
        <v>722.910211</v>
      </c>
      <c r="H17" s="51">
        <f>IF(Bid=0,"n/a",DGET(data,"Pctile50_hr10",_xlnm.Criteria)/IF(Result_type="Aggregate Impact",1,Enrolled/1000))</f>
        <v>4.6115890000000004</v>
      </c>
      <c r="I17" s="51">
        <f>IF(Bid=0,"n/a",DGET(data,"Temp_hr10",_xlnm.Criteria))</f>
        <v>79.108469999999997</v>
      </c>
      <c r="J17" s="51">
        <f>IF(Bid=0,"n/a",DGET(data,"Pctile10_hr10",_xlnm.Criteria)/IF(Result_type="Aggregate Impact",1,Enrolled/1000))</f>
        <v>-0.47717850000000001</v>
      </c>
      <c r="K17" s="51">
        <f>IF(Bid=0,"n/a",DGET(data,"Pctile30_hr10",_xlnm.Criteria)/IF(Result_type="Aggregate Impact",1,Enrolled/1000))</f>
        <v>2.5293070000000002</v>
      </c>
      <c r="L17" s="51">
        <f t="shared" si="1"/>
        <v>4.6115890000000004</v>
      </c>
      <c r="M17" s="51">
        <f>IF(Bid=0,"n/a",DGET(data,"Pctile70_hr10",_xlnm.Criteria)/IF(Result_type="Aggregate Impact",1,Enrolled/1000))</f>
        <v>6.6938709999999997</v>
      </c>
      <c r="N17" s="51">
        <f>IF(Bid=0,"n/a",DGET(data,"Pctile90_hr10",_xlnm.Criteria)/IF(Result_type="Aggregate Impact",1,Enrolled/1000))</f>
        <v>9.7003559999999993</v>
      </c>
    </row>
    <row r="18" spans="3:23" ht="16.5" x14ac:dyDescent="0.2">
      <c r="C18" s="5"/>
      <c r="D18" s="5"/>
      <c r="E18" s="36">
        <v>11</v>
      </c>
      <c r="F18" s="51">
        <f>IF(Bid=0,"n/a",DGET(data,"Ref_hr11",_xlnm.Criteria)/IF(Result_type="Aggregate Impact",1,Enrolled/1000))</f>
        <v>744.40980000000002</v>
      </c>
      <c r="G18" s="51">
        <f t="shared" si="0"/>
        <v>729.66687000000002</v>
      </c>
      <c r="H18" s="51">
        <f>IF(Bid=0,"n/a",DGET(data,"Pctile50_hr11",_xlnm.Criteria)/IF(Result_type="Aggregate Impact",1,Enrolled/1000))</f>
        <v>14.742929999999999</v>
      </c>
      <c r="I18" s="51">
        <f>IF(Bid=0,"n/a",DGET(data,"Temp_hr11",_xlnm.Criteria))</f>
        <v>82.706760000000003</v>
      </c>
      <c r="J18" s="51">
        <f>IF(Bid=0,"n/a",DGET(data,"Pctile10_hr11",_xlnm.Criteria)/IF(Result_type="Aggregate Impact",1,Enrolled/1000))</f>
        <v>8.0520119999999995</v>
      </c>
      <c r="K18" s="51">
        <f>IF(Bid=0,"n/a",DGET(data,"Pctile30_hr11",_xlnm.Criteria)/IF(Result_type="Aggregate Impact",1,Enrolled/1000))</f>
        <v>12.00506</v>
      </c>
      <c r="L18" s="51">
        <f t="shared" si="1"/>
        <v>14.742929999999999</v>
      </c>
      <c r="M18" s="51">
        <f>IF(Bid=0,"n/a",DGET(data,"Pctile70_hr11",_xlnm.Criteria)/IF(Result_type="Aggregate Impact",1,Enrolled/1000))</f>
        <v>17.480799999999999</v>
      </c>
      <c r="N18" s="51">
        <f>IF(Bid=0,"n/a",DGET(data,"Pctile90_hr11",_xlnm.Criteria)/IF(Result_type="Aggregate Impact",1,Enrolled/1000))</f>
        <v>21.43384</v>
      </c>
      <c r="S18" s="40"/>
      <c r="T18" s="40"/>
      <c r="U18" s="40"/>
      <c r="V18" s="40"/>
      <c r="W18" s="40"/>
    </row>
    <row r="19" spans="3:23" ht="16.5" x14ac:dyDescent="0.2">
      <c r="C19" s="5"/>
      <c r="D19" s="5"/>
      <c r="E19" s="36">
        <v>12</v>
      </c>
      <c r="F19" s="51">
        <f>IF(Bid=0,"n/a",DGET(data,"Ref_hr12",_xlnm.Criteria)/IF(Result_type="Aggregate Impact",1,Enrolled/1000))</f>
        <v>739.35680000000002</v>
      </c>
      <c r="G19" s="51">
        <f t="shared" si="0"/>
        <v>691.29089999999997</v>
      </c>
      <c r="H19" s="51">
        <f>IF(Bid=0,"n/a",DGET(data,"Pctile50_hr12",_xlnm.Criteria)/IF(Result_type="Aggregate Impact",1,Enrolled/1000))</f>
        <v>48.065899999999999</v>
      </c>
      <c r="I19" s="51">
        <f>IF(Bid=0,"n/a",DGET(data,"Temp_hr12",_xlnm.Criteria))</f>
        <v>85.521609999999995</v>
      </c>
      <c r="J19" s="51">
        <f>IF(Bid=0,"n/a",DGET(data,"Pctile10_hr12",_xlnm.Criteria)/IF(Result_type="Aggregate Impact",1,Enrolled/1000))</f>
        <v>40.065049999999999</v>
      </c>
      <c r="K19" s="51">
        <f>IF(Bid=0,"n/a",DGET(data,"Pctile30_hr12",_xlnm.Criteria)/IF(Result_type="Aggregate Impact",1,Enrolled/1000))</f>
        <v>44.792020000000001</v>
      </c>
      <c r="L19" s="51">
        <f t="shared" si="1"/>
        <v>48.065899999999999</v>
      </c>
      <c r="M19" s="51">
        <f>IF(Bid=0,"n/a",DGET(data,"Pctile70_hr12",_xlnm.Criteria)/IF(Result_type="Aggregate Impact",1,Enrolled/1000))</f>
        <v>51.339779999999998</v>
      </c>
      <c r="N19" s="51">
        <f>IF(Bid=0,"n/a",DGET(data,"Pctile90_hr12",_xlnm.Criteria)/IF(Result_type="Aggregate Impact",1,Enrolled/1000))</f>
        <v>56.066740000000003</v>
      </c>
      <c r="S19" s="40"/>
      <c r="T19" s="40"/>
      <c r="U19" s="40"/>
      <c r="V19" s="40"/>
      <c r="W19" s="40"/>
    </row>
    <row r="20" spans="3:23" ht="16.5" x14ac:dyDescent="0.2">
      <c r="C20" s="5"/>
      <c r="D20" s="5"/>
      <c r="E20" s="36">
        <v>13</v>
      </c>
      <c r="F20" s="51">
        <f>IF(Bid=0,"n/a",DGET(data,"Ref_hr13",_xlnm.Criteria)/IF(Result_type="Aggregate Impact",1,Enrolled/1000))</f>
        <v>733.55409999999995</v>
      </c>
      <c r="G20" s="51">
        <f t="shared" si="0"/>
        <v>632.56509999999992</v>
      </c>
      <c r="H20" s="51">
        <f>IF(Bid=0,"n/a",DGET(data,"Pctile50_hr13",_xlnm.Criteria)/IF(Result_type="Aggregate Impact",1,Enrolled/1000))</f>
        <v>100.989</v>
      </c>
      <c r="I20" s="51">
        <f>IF(Bid=0,"n/a",DGET(data,"Temp_hr13",_xlnm.Criteria))</f>
        <v>87.694460000000007</v>
      </c>
      <c r="J20" s="51">
        <f>IF(Bid=0,"n/a",DGET(data,"Pctile10_hr13",_xlnm.Criteria)/IF(Result_type="Aggregate Impact",1,Enrolled/1000))</f>
        <v>93.041489999999996</v>
      </c>
      <c r="K20" s="51">
        <f>IF(Bid=0,"n/a",DGET(data,"Pctile30_hr13",_xlnm.Criteria)/IF(Result_type="Aggregate Impact",1,Enrolled/1000))</f>
        <v>97.736969999999999</v>
      </c>
      <c r="L20" s="51">
        <f t="shared" si="1"/>
        <v>100.989</v>
      </c>
      <c r="M20" s="51">
        <f>IF(Bid=0,"n/a",DGET(data,"Pctile70_hr13",_xlnm.Criteria)/IF(Result_type="Aggregate Impact",1,Enrolled/1000))</f>
        <v>104.2411</v>
      </c>
      <c r="N20" s="51">
        <f>IF(Bid=0,"n/a",DGET(data,"Pctile90_hr13",_xlnm.Criteria)/IF(Result_type="Aggregate Impact",1,Enrolled/1000))</f>
        <v>108.9366</v>
      </c>
      <c r="S20" s="40"/>
      <c r="T20" s="40"/>
      <c r="U20" s="40"/>
      <c r="V20" s="40"/>
      <c r="W20" s="40"/>
    </row>
    <row r="21" spans="3:23" ht="16.5" x14ac:dyDescent="0.2">
      <c r="C21" s="5"/>
      <c r="D21" s="5"/>
      <c r="E21" s="36">
        <v>14</v>
      </c>
      <c r="F21" s="51">
        <f>IF(Bid=0,"n/a",DGET(data,"Ref_hr14",_xlnm.Criteria)/IF(Result_type="Aggregate Impact",1,Enrolled/1000))</f>
        <v>733.8546</v>
      </c>
      <c r="G21" s="51">
        <f t="shared" si="0"/>
        <v>630.24670000000003</v>
      </c>
      <c r="H21" s="51">
        <f>IF(Bid=0,"n/a",DGET(data,"Pctile50_hr14",_xlnm.Criteria)/IF(Result_type="Aggregate Impact",1,Enrolled/1000))</f>
        <v>103.6079</v>
      </c>
      <c r="I21" s="51">
        <f>IF(Bid=0,"n/a",DGET(data,"Temp_hr14",_xlnm.Criteria))</f>
        <v>89.321870000000004</v>
      </c>
      <c r="J21" s="51">
        <f>IF(Bid=0,"n/a",DGET(data,"Pctile10_hr14",_xlnm.Criteria)/IF(Result_type="Aggregate Impact",1,Enrolled/1000))</f>
        <v>95.170869999999994</v>
      </c>
      <c r="K21" s="51">
        <f>IF(Bid=0,"n/a",DGET(data,"Pctile30_hr14",_xlnm.Criteria)/IF(Result_type="Aggregate Impact",1,Enrolled/1000))</f>
        <v>100.1555</v>
      </c>
      <c r="L21" s="51">
        <f t="shared" si="1"/>
        <v>103.6079</v>
      </c>
      <c r="M21" s="51">
        <f>IF(Bid=0,"n/a",DGET(data,"Pctile70_hr14",_xlnm.Criteria)/IF(Result_type="Aggregate Impact",1,Enrolled/1000))</f>
        <v>107.06019999999999</v>
      </c>
      <c r="N21" s="51">
        <f>IF(Bid=0,"n/a",DGET(data,"Pctile90_hr14",_xlnm.Criteria)/IF(Result_type="Aggregate Impact",1,Enrolled/1000))</f>
        <v>112.0448</v>
      </c>
      <c r="S21" s="40"/>
      <c r="T21" s="40"/>
      <c r="U21" s="40"/>
      <c r="V21" s="40"/>
      <c r="W21" s="40"/>
    </row>
    <row r="22" spans="3:23" ht="16.5" x14ac:dyDescent="0.2">
      <c r="C22" s="5"/>
      <c r="D22" s="5"/>
      <c r="E22" s="36">
        <v>15</v>
      </c>
      <c r="F22" s="51">
        <f>IF(Bid=0,"n/a",DGET(data,"Ref_hr15",_xlnm.Criteria)/IF(Result_type="Aggregate Impact",1,Enrolled/1000))</f>
        <v>731.82510000000002</v>
      </c>
      <c r="G22" s="51">
        <f t="shared" si="0"/>
        <v>629.52930000000003</v>
      </c>
      <c r="H22" s="51">
        <f>IF(Bid=0,"n/a",DGET(data,"Pctile50_hr15",_xlnm.Criteria)/IF(Result_type="Aggregate Impact",1,Enrolled/1000))</f>
        <v>102.2958</v>
      </c>
      <c r="I22" s="51">
        <f>IF(Bid=0,"n/a",DGET(data,"Temp_hr15",_xlnm.Criteria))</f>
        <v>90.475629999999995</v>
      </c>
      <c r="J22" s="51">
        <f>IF(Bid=0,"n/a",DGET(data,"Pctile10_hr15",_xlnm.Criteria)/IF(Result_type="Aggregate Impact",1,Enrolled/1000))</f>
        <v>93.105990000000006</v>
      </c>
      <c r="K22" s="51">
        <f>IF(Bid=0,"n/a",DGET(data,"Pctile30_hr15",_xlnm.Criteria)/IF(Result_type="Aggregate Impact",1,Enrolled/1000))</f>
        <v>98.535380000000004</v>
      </c>
      <c r="L22" s="51">
        <f t="shared" si="1"/>
        <v>102.2958</v>
      </c>
      <c r="M22" s="51">
        <f>IF(Bid=0,"n/a",DGET(data,"Pctile70_hr15",_xlnm.Criteria)/IF(Result_type="Aggregate Impact",1,Enrolled/1000))</f>
        <v>106.0561</v>
      </c>
      <c r="N22" s="51">
        <f>IF(Bid=0,"n/a",DGET(data,"Pctile90_hr15",_xlnm.Criteria)/IF(Result_type="Aggregate Impact",1,Enrolled/1000))</f>
        <v>111.4855</v>
      </c>
      <c r="S22" s="40"/>
      <c r="T22" s="40"/>
      <c r="U22" s="40"/>
      <c r="V22" s="40"/>
      <c r="W22" s="40"/>
    </row>
    <row r="23" spans="3:23" ht="16.5" x14ac:dyDescent="0.2">
      <c r="C23" s="5"/>
      <c r="D23" s="5"/>
      <c r="E23" s="36">
        <v>16</v>
      </c>
      <c r="F23" s="51">
        <f>IF(Bid=0,"n/a",DGET(data,"Ref_hr16",_xlnm.Criteria)/IF(Result_type="Aggregate Impact",1,Enrolled/1000))</f>
        <v>717.78110000000004</v>
      </c>
      <c r="G23" s="51">
        <f t="shared" si="0"/>
        <v>616.00430000000006</v>
      </c>
      <c r="H23" s="51">
        <f>IF(Bid=0,"n/a",DGET(data,"Pctile50_hr16",_xlnm.Criteria)/IF(Result_type="Aggregate Impact",1,Enrolled/1000))</f>
        <v>101.77679999999999</v>
      </c>
      <c r="I23" s="51">
        <f>IF(Bid=0,"n/a",DGET(data,"Temp_hr16",_xlnm.Criteria))</f>
        <v>90.666060000000002</v>
      </c>
      <c r="J23" s="51">
        <f>IF(Bid=0,"n/a",DGET(data,"Pctile10_hr16",_xlnm.Criteria)/IF(Result_type="Aggregate Impact",1,Enrolled/1000))</f>
        <v>92.936239999999998</v>
      </c>
      <c r="K23" s="51">
        <f>IF(Bid=0,"n/a",DGET(data,"Pctile30_hr16",_xlnm.Criteria)/IF(Result_type="Aggregate Impact",1,Enrolled/1000))</f>
        <v>98.159329999999997</v>
      </c>
      <c r="L23" s="51">
        <f t="shared" si="1"/>
        <v>101.77679999999999</v>
      </c>
      <c r="M23" s="51">
        <f>IF(Bid=0,"n/a",DGET(data,"Pctile70_hr16",_xlnm.Criteria)/IF(Result_type="Aggregate Impact",1,Enrolled/1000))</f>
        <v>105.3943</v>
      </c>
      <c r="N23" s="51">
        <f>IF(Bid=0,"n/a",DGET(data,"Pctile90_hr16",_xlnm.Criteria)/IF(Result_type="Aggregate Impact",1,Enrolled/1000))</f>
        <v>110.6174</v>
      </c>
      <c r="S23" s="40"/>
      <c r="T23" s="40"/>
      <c r="U23" s="40"/>
      <c r="V23" s="40"/>
      <c r="W23" s="40"/>
    </row>
    <row r="24" spans="3:23" ht="16.5" x14ac:dyDescent="0.2">
      <c r="C24" s="5"/>
      <c r="D24" s="5"/>
      <c r="E24" s="36">
        <v>17</v>
      </c>
      <c r="F24" s="51">
        <f>IF(Bid=0,"n/a",DGET(data,"Ref_hr17",_xlnm.Criteria)/IF(Result_type="Aggregate Impact",1,Enrolled/1000))</f>
        <v>706.89369999999997</v>
      </c>
      <c r="G24" s="51">
        <f t="shared" si="0"/>
        <v>602.3723</v>
      </c>
      <c r="H24" s="51">
        <f>IF(Bid=0,"n/a",DGET(data,"Pctile50_hr17",_xlnm.Criteria)/IF(Result_type="Aggregate Impact",1,Enrolled/1000))</f>
        <v>104.5214</v>
      </c>
      <c r="I24" s="51">
        <f>IF(Bid=0,"n/a",DGET(data,"Temp_hr17",_xlnm.Criteria))</f>
        <v>90.313310000000001</v>
      </c>
      <c r="J24" s="51">
        <f>IF(Bid=0,"n/a",DGET(data,"Pctile10_hr17",_xlnm.Criteria)/IF(Result_type="Aggregate Impact",1,Enrolled/1000))</f>
        <v>95.606070000000003</v>
      </c>
      <c r="K24" s="51">
        <f>IF(Bid=0,"n/a",DGET(data,"Pctile30_hr17",_xlnm.Criteria)/IF(Result_type="Aggregate Impact",1,Enrolled/1000))</f>
        <v>100.8733</v>
      </c>
      <c r="L24" s="51">
        <f t="shared" si="1"/>
        <v>104.5214</v>
      </c>
      <c r="M24" s="51">
        <f>IF(Bid=0,"n/a",DGET(data,"Pctile70_hr17",_xlnm.Criteria)/IF(Result_type="Aggregate Impact",1,Enrolled/1000))</f>
        <v>108.1695</v>
      </c>
      <c r="N24" s="51">
        <f>IF(Bid=0,"n/a",DGET(data,"Pctile90_hr17",_xlnm.Criteria)/IF(Result_type="Aggregate Impact",1,Enrolled/1000))</f>
        <v>113.43680000000001</v>
      </c>
      <c r="S24" s="40"/>
      <c r="T24" s="40"/>
      <c r="U24" s="40"/>
      <c r="V24" s="40"/>
      <c r="W24" s="40"/>
    </row>
    <row r="25" spans="3:23" ht="16.5" x14ac:dyDescent="0.2">
      <c r="C25" s="5"/>
      <c r="D25" s="5"/>
      <c r="E25" s="36">
        <v>18</v>
      </c>
      <c r="F25" s="51">
        <f>IF(Bid=0,"n/a",DGET(data,"Ref_hr18",_xlnm.Criteria)/IF(Result_type="Aggregate Impact",1,Enrolled/1000))</f>
        <v>689.80070000000001</v>
      </c>
      <c r="G25" s="51">
        <f t="shared" si="0"/>
        <v>589.72670000000005</v>
      </c>
      <c r="H25" s="51">
        <f>IF(Bid=0,"n/a",DGET(data,"Pctile50_hr18",_xlnm.Criteria)/IF(Result_type="Aggregate Impact",1,Enrolled/1000))</f>
        <v>100.074</v>
      </c>
      <c r="I25" s="51">
        <f>IF(Bid=0,"n/a",DGET(data,"Temp_hr18",_xlnm.Criteria))</f>
        <v>89.495320000000007</v>
      </c>
      <c r="J25" s="51">
        <f>IF(Bid=0,"n/a",DGET(data,"Pctile10_hr18",_xlnm.Criteria)/IF(Result_type="Aggregate Impact",1,Enrolled/1000))</f>
        <v>90.991569999999996</v>
      </c>
      <c r="K25" s="51">
        <f>IF(Bid=0,"n/a",DGET(data,"Pctile30_hr18",_xlnm.Criteria)/IF(Result_type="Aggregate Impact",1,Enrolled/1000))</f>
        <v>96.357560000000007</v>
      </c>
      <c r="L25" s="51">
        <f t="shared" si="1"/>
        <v>100.074</v>
      </c>
      <c r="M25" s="51">
        <f>IF(Bid=0,"n/a",DGET(data,"Pctile70_hr18",_xlnm.Criteria)/IF(Result_type="Aggregate Impact",1,Enrolled/1000))</f>
        <v>103.79049999999999</v>
      </c>
      <c r="N25" s="51">
        <f>IF(Bid=0,"n/a",DGET(data,"Pctile90_hr18",_xlnm.Criteria)/IF(Result_type="Aggregate Impact",1,Enrolled/1000))</f>
        <v>109.15649999999999</v>
      </c>
      <c r="S25" s="40"/>
      <c r="T25" s="40"/>
      <c r="U25" s="40"/>
      <c r="V25" s="40"/>
      <c r="W25" s="40"/>
    </row>
    <row r="26" spans="3:23" ht="16.5" x14ac:dyDescent="0.2">
      <c r="C26" s="5"/>
      <c r="D26" s="5"/>
      <c r="E26" s="36">
        <v>19</v>
      </c>
      <c r="F26" s="51">
        <f>IF(Bid=0,"n/a",DGET(data,"Ref_hr19",_xlnm.Criteria)/IF(Result_type="Aggregate Impact",1,Enrolled/1000))</f>
        <v>666.9846</v>
      </c>
      <c r="G26" s="51">
        <f t="shared" si="0"/>
        <v>569.90170999999998</v>
      </c>
      <c r="H26" s="51">
        <f>IF(Bid=0,"n/a",DGET(data,"Pctile50_hr19",_xlnm.Criteria)/IF(Result_type="Aggregate Impact",1,Enrolled/1000))</f>
        <v>97.082890000000006</v>
      </c>
      <c r="I26" s="51">
        <f>IF(Bid=0,"n/a",DGET(data,"Temp_hr19",_xlnm.Criteria))</f>
        <v>88.66525</v>
      </c>
      <c r="J26" s="51">
        <f>IF(Bid=0,"n/a",DGET(data,"Pctile10_hr19",_xlnm.Criteria)/IF(Result_type="Aggregate Impact",1,Enrolled/1000))</f>
        <v>87.532619999999994</v>
      </c>
      <c r="K26" s="51">
        <f>IF(Bid=0,"n/a",DGET(data,"Pctile30_hr19",_xlnm.Criteria)/IF(Result_type="Aggregate Impact",1,Enrolled/1000))</f>
        <v>93.174999999999997</v>
      </c>
      <c r="L26" s="51">
        <f t="shared" si="1"/>
        <v>97.082890000000006</v>
      </c>
      <c r="M26" s="51">
        <f>IF(Bid=0,"n/a",DGET(data,"Pctile70_hr19",_xlnm.Criteria)/IF(Result_type="Aggregate Impact",1,Enrolled/1000))</f>
        <v>100.99079999999999</v>
      </c>
      <c r="N26" s="51">
        <f>IF(Bid=0,"n/a",DGET(data,"Pctile90_hr19",_xlnm.Criteria)/IF(Result_type="Aggregate Impact",1,Enrolled/1000))</f>
        <v>106.6331</v>
      </c>
      <c r="S26" s="40"/>
      <c r="T26" s="40"/>
      <c r="U26" s="40"/>
      <c r="V26" s="40"/>
      <c r="W26" s="40"/>
    </row>
    <row r="27" spans="3:23" ht="16.5" x14ac:dyDescent="0.2">
      <c r="C27" s="5"/>
      <c r="D27" s="5"/>
      <c r="E27" s="36">
        <v>20</v>
      </c>
      <c r="F27" s="51">
        <f>IF(Bid=0,"n/a",DGET(data,"Ref_hr20",_xlnm.Criteria)/IF(Result_type="Aggregate Impact",1,Enrolled/1000))</f>
        <v>661.68349999999998</v>
      </c>
      <c r="G27" s="51">
        <f t="shared" si="0"/>
        <v>574.06935999999996</v>
      </c>
      <c r="H27" s="51">
        <f>IF(Bid=0,"n/a",DGET(data,"Pctile50_hr20",_xlnm.Criteria)/IF(Result_type="Aggregate Impact",1,Enrolled/1000))</f>
        <v>87.614140000000006</v>
      </c>
      <c r="I27" s="51">
        <f>IF(Bid=0,"n/a",DGET(data,"Temp_hr20",_xlnm.Criteria))</f>
        <v>86.560329999999993</v>
      </c>
      <c r="J27" s="51">
        <f>IF(Bid=0,"n/a",DGET(data,"Pctile10_hr20",_xlnm.Criteria)/IF(Result_type="Aggregate Impact",1,Enrolled/1000))</f>
        <v>78.326980000000006</v>
      </c>
      <c r="K27" s="51">
        <f>IF(Bid=0,"n/a",DGET(data,"Pctile30_hr20",_xlnm.Criteria)/IF(Result_type="Aggregate Impact",1,Enrolled/1000))</f>
        <v>83.813900000000004</v>
      </c>
      <c r="L27" s="51">
        <f t="shared" si="1"/>
        <v>87.614140000000006</v>
      </c>
      <c r="M27" s="51">
        <f>IF(Bid=0,"n/a",DGET(data,"Pctile70_hr20",_xlnm.Criteria)/IF(Result_type="Aggregate Impact",1,Enrolled/1000))</f>
        <v>91.414370000000005</v>
      </c>
      <c r="N27" s="51">
        <f>IF(Bid=0,"n/a",DGET(data,"Pctile90_hr20",_xlnm.Criteria)/IF(Result_type="Aggregate Impact",1,Enrolled/1000))</f>
        <v>96.901290000000003</v>
      </c>
      <c r="S27" s="40"/>
      <c r="T27" s="40"/>
      <c r="U27" s="40"/>
      <c r="V27" s="40"/>
      <c r="W27" s="40"/>
    </row>
    <row r="28" spans="3:23" ht="16.5" x14ac:dyDescent="0.2">
      <c r="C28" s="5"/>
      <c r="D28" s="5"/>
      <c r="E28" s="36">
        <v>21</v>
      </c>
      <c r="F28" s="51">
        <f>IF(Bid=0,"n/a",DGET(data,"Ref_hr21",_xlnm.Criteria)/IF(Result_type="Aggregate Impact",1,Enrolled/1000))</f>
        <v>645.3184</v>
      </c>
      <c r="G28" s="51">
        <f t="shared" si="0"/>
        <v>604.73515999999995</v>
      </c>
      <c r="H28" s="51">
        <f>IF(Bid=0,"n/a",DGET(data,"Pctile50_hr21",_xlnm.Criteria)/IF(Result_type="Aggregate Impact",1,Enrolled/1000))</f>
        <v>40.583240000000004</v>
      </c>
      <c r="I28" s="51">
        <f>IF(Bid=0,"n/a",DGET(data,"Temp_hr21",_xlnm.Criteria))</f>
        <v>83.983050000000006</v>
      </c>
      <c r="J28" s="51">
        <f>IF(Bid=0,"n/a",DGET(data,"Pctile10_hr21",_xlnm.Criteria)/IF(Result_type="Aggregate Impact",1,Enrolled/1000))</f>
        <v>27.56146</v>
      </c>
      <c r="K28" s="51">
        <f>IF(Bid=0,"n/a",DGET(data,"Pctile30_hr21",_xlnm.Criteria)/IF(Result_type="Aggregate Impact",1,Enrolled/1000))</f>
        <v>35.254829999999998</v>
      </c>
      <c r="L28" s="51">
        <f t="shared" si="1"/>
        <v>40.583240000000004</v>
      </c>
      <c r="M28" s="51">
        <f>IF(Bid=0,"n/a",DGET(data,"Pctile70_hr21",_xlnm.Criteria)/IF(Result_type="Aggregate Impact",1,Enrolled/1000))</f>
        <v>45.911650000000002</v>
      </c>
      <c r="N28" s="51">
        <f>IF(Bid=0,"n/a",DGET(data,"Pctile90_hr21",_xlnm.Criteria)/IF(Result_type="Aggregate Impact",1,Enrolled/1000))</f>
        <v>53.605020000000003</v>
      </c>
      <c r="S28" s="40"/>
      <c r="T28" s="40"/>
      <c r="U28" s="40"/>
      <c r="V28" s="40"/>
      <c r="W28" s="40"/>
    </row>
    <row r="29" spans="3:23" ht="16.5" x14ac:dyDescent="0.2">
      <c r="C29" s="5"/>
      <c r="D29" s="5"/>
      <c r="E29" s="36">
        <v>22</v>
      </c>
      <c r="F29" s="51">
        <f>IF(Bid=0,"n/a",DGET(data,"Ref_hr22",_xlnm.Criteria)/IF(Result_type="Aggregate Impact",1,Enrolled/1000))</f>
        <v>620.65409999999997</v>
      </c>
      <c r="G29" s="51">
        <f t="shared" si="0"/>
        <v>598.02077999999995</v>
      </c>
      <c r="H29" s="51">
        <f>IF(Bid=0,"n/a",DGET(data,"Pctile50_hr22",_xlnm.Criteria)/IF(Result_type="Aggregate Impact",1,Enrolled/1000))</f>
        <v>22.633320000000001</v>
      </c>
      <c r="I29" s="51">
        <f>IF(Bid=0,"n/a",DGET(data,"Temp_hr22",_xlnm.Criteria))</f>
        <v>81.764579999999995</v>
      </c>
      <c r="J29" s="51">
        <f>IF(Bid=0,"n/a",DGET(data,"Pctile10_hr22",_xlnm.Criteria)/IF(Result_type="Aggregate Impact",1,Enrolled/1000))</f>
        <v>10.82957</v>
      </c>
      <c r="K29" s="51">
        <f>IF(Bid=0,"n/a",DGET(data,"Pctile30_hr22",_xlnm.Criteria)/IF(Result_type="Aggregate Impact",1,Enrolled/1000))</f>
        <v>17.803319999999999</v>
      </c>
      <c r="L29" s="51">
        <f t="shared" si="1"/>
        <v>22.633320000000001</v>
      </c>
      <c r="M29" s="51">
        <f>IF(Bid=0,"n/a",DGET(data,"Pctile70_hr22",_xlnm.Criteria)/IF(Result_type="Aggregate Impact",1,Enrolled/1000))</f>
        <v>27.46332</v>
      </c>
      <c r="N29" s="51">
        <f>IF(Bid=0,"n/a",DGET(data,"Pctile90_hr22",_xlnm.Criteria)/IF(Result_type="Aggregate Impact",1,Enrolled/1000))</f>
        <v>34.437069999999999</v>
      </c>
    </row>
    <row r="30" spans="3:23" ht="16.5" x14ac:dyDescent="0.2">
      <c r="C30" s="5"/>
      <c r="D30" s="5"/>
      <c r="E30" s="36">
        <v>23</v>
      </c>
      <c r="F30" s="51">
        <f>IF(Bid=0,"n/a",DGET(data,"Ref_hr23",_xlnm.Criteria)/IF(Result_type="Aggregate Impact",1,Enrolled/1000))</f>
        <v>596.46669999999995</v>
      </c>
      <c r="G30" s="51">
        <f t="shared" si="0"/>
        <v>578.73027999999999</v>
      </c>
      <c r="H30" s="51">
        <f>IF(Bid=0,"n/a",DGET(data,"Pctile50_hr23",_xlnm.Criteria)/IF(Result_type="Aggregate Impact",1,Enrolled/1000))</f>
        <v>17.736419999999999</v>
      </c>
      <c r="I30" s="51">
        <f>IF(Bid=0,"n/a",DGET(data,"Temp_hr23",_xlnm.Criteria))</f>
        <v>80.243979999999993</v>
      </c>
      <c r="J30" s="51">
        <f>IF(Bid=0,"n/a",DGET(data,"Pctile10_hr23",_xlnm.Criteria)/IF(Result_type="Aggregate Impact",1,Enrolled/1000))</f>
        <v>8.4165650000000003</v>
      </c>
      <c r="K30" s="51">
        <f>IF(Bid=0,"n/a",DGET(data,"Pctile30_hr23",_xlnm.Criteria)/IF(Result_type="Aggregate Impact",1,Enrolled/1000))</f>
        <v>13.92281</v>
      </c>
      <c r="L30" s="51">
        <f t="shared" si="1"/>
        <v>17.736419999999999</v>
      </c>
      <c r="M30" s="51">
        <f>IF(Bid=0,"n/a",DGET(data,"Pctile70_hr23",_xlnm.Criteria)/IF(Result_type="Aggregate Impact",1,Enrolled/1000))</f>
        <v>21.55003</v>
      </c>
      <c r="N30" s="51">
        <f>IF(Bid=0,"n/a",DGET(data,"Pctile90_hr23",_xlnm.Criteria)/IF(Result_type="Aggregate Impact",1,Enrolled/1000))</f>
        <v>27.056280000000001</v>
      </c>
    </row>
    <row r="31" spans="3:23" ht="16.5" x14ac:dyDescent="0.2">
      <c r="C31" s="5"/>
      <c r="D31" s="5"/>
      <c r="E31" s="36">
        <v>24</v>
      </c>
      <c r="F31" s="51">
        <f>IF(Bid=0,"n/a",DGET(data,"Ref_hr24",_xlnm.Criteria)/IF(Result_type="Aggregate Impact",1,Enrolled/1000))</f>
        <v>582.3614</v>
      </c>
      <c r="G31" s="51">
        <f t="shared" si="0"/>
        <v>566.88768000000005</v>
      </c>
      <c r="H31" s="51">
        <f>IF(Bid=0,"n/a",DGET(data,"Pctile50_hr24",_xlnm.Criteria)/IF(Result_type="Aggregate Impact",1,Enrolled/1000))</f>
        <v>15.47372</v>
      </c>
      <c r="I31" s="51">
        <f>IF(Bid=0,"n/a",DGET(data,"Temp_hr24",_xlnm.Criteria))</f>
        <v>78.810190000000006</v>
      </c>
      <c r="J31" s="51">
        <f>IF(Bid=0,"n/a",DGET(data,"Pctile10_hr24",_xlnm.Criteria)/IF(Result_type="Aggregate Impact",1,Enrolled/1000))</f>
        <v>8.08005</v>
      </c>
      <c r="K31" s="51">
        <f>IF(Bid=0,"n/a",DGET(data,"Pctile30_hr24",_xlnm.Criteria)/IF(Result_type="Aggregate Impact",1,Enrolled/1000))</f>
        <v>12.44829</v>
      </c>
      <c r="L31" s="51">
        <f t="shared" si="1"/>
        <v>15.47372</v>
      </c>
      <c r="M31" s="51">
        <f>IF(Bid=0,"n/a",DGET(data,"Pctile70_hr24",_xlnm.Criteria)/IF(Result_type="Aggregate Impact",1,Enrolled/1000))</f>
        <v>18.49915</v>
      </c>
      <c r="N31" s="51">
        <f>IF(Bid=0,"n/a",DGET(data,"Pctile90_hr24",_xlnm.Criteria)/IF(Result_type="Aggregate Impact",1,Enrolled/1000))</f>
        <v>22.86739</v>
      </c>
    </row>
    <row r="32" spans="3:23" ht="49.5" customHeight="1" thickBot="1" x14ac:dyDescent="0.35">
      <c r="C32" s="5"/>
      <c r="D32" s="5"/>
      <c r="E32" s="17"/>
      <c r="F32" s="78" t="str">
        <f>"Estimated Reference
Energy Use
("&amp;IF(Result_type="Aggregate Impact","MWh)","kWh)")</f>
        <v>Estimated Reference
Energy Use
(MWh)</v>
      </c>
      <c r="G32" s="78" t="str">
        <f>"Observed 
Event Day Energy Use ("&amp;IF(Result_type="Aggregate Impact","MWh)","kWh)")</f>
        <v>Observed 
Event Day Energy Use (MWh)</v>
      </c>
      <c r="H32" s="78" t="str">
        <f>"Estimated 
Change in Energy Use ("&amp;IF(Result_type="Aggregate Impact","MWh)","kWh)")</f>
        <v>Estimated 
Change in Energy Use (MWh)</v>
      </c>
      <c r="I32" s="80" t="s">
        <v>23</v>
      </c>
      <c r="J32" s="55" t="str">
        <f>"Uncertainty Adjusted Impact ("&amp;IF(Result_type="Aggregate Impact","MWh/hour) - Percentiles","kWh/hour) - Percentiles")</f>
        <v>Uncertainty Adjusted Impact (MWh/hour) - Percentiles</v>
      </c>
      <c r="K32" s="55"/>
      <c r="L32" s="55"/>
      <c r="M32" s="55"/>
      <c r="N32" s="56"/>
    </row>
    <row r="33" spans="3:14" ht="16.5" x14ac:dyDescent="0.3">
      <c r="C33" s="5"/>
      <c r="D33" s="5"/>
      <c r="E33" s="60" t="s">
        <v>45</v>
      </c>
      <c r="F33" s="79"/>
      <c r="G33" s="79"/>
      <c r="H33" s="79"/>
      <c r="I33" s="79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4" ht="17.25" thickBot="1" x14ac:dyDescent="0.35">
      <c r="C34" s="5"/>
      <c r="D34" s="5"/>
      <c r="E34" s="20" t="s">
        <v>16</v>
      </c>
      <c r="F34" s="21">
        <f>IF(Bid=0,"n/a",SUM(F8:F31))</f>
        <v>15831.917299999999</v>
      </c>
      <c r="G34" s="22">
        <f>IF(Bid=0,"n/a",SUM(G8:G31))</f>
        <v>14775.909024000002</v>
      </c>
      <c r="H34" s="22">
        <f>IF(Bid=0,"n/a",SUM(H8:H31))</f>
        <v>1056.008276</v>
      </c>
      <c r="I34" s="23">
        <f>IF(Bid=0,"n/a",SUM(Lookups!B32:B55))</f>
        <v>169.88138000000001</v>
      </c>
      <c r="J34" s="23" t="s">
        <v>17</v>
      </c>
      <c r="K34" s="23" t="s">
        <v>17</v>
      </c>
      <c r="L34" s="23" t="s">
        <v>17</v>
      </c>
      <c r="M34" s="23" t="s">
        <v>17</v>
      </c>
      <c r="N34" s="64" t="s">
        <v>17</v>
      </c>
    </row>
    <row r="35" spans="3:14" ht="17.25" thickBot="1" x14ac:dyDescent="0.35">
      <c r="E35" s="20" t="s">
        <v>44</v>
      </c>
      <c r="F35" s="63">
        <f>IF(Bid=0,"n/a",Lookups!D56)</f>
        <v>705.29717500000004</v>
      </c>
      <c r="G35" s="23">
        <f>IF(Bid=0,"n/a",Lookups!E56)</f>
        <v>605.55193374999999</v>
      </c>
      <c r="H35" s="23">
        <f>IF(Bid=0,"n/a",Lookups!F56)</f>
        <v>99.745241249999992</v>
      </c>
      <c r="I35" s="23">
        <f>IF(Bid=0,"n/a",Lookups!G56)</f>
        <v>113.19223000000001</v>
      </c>
      <c r="J35" s="23">
        <f>Lookups!C59</f>
        <v>96.558064797692239</v>
      </c>
      <c r="K35" s="23">
        <f>Lookups!D59</f>
        <v>98.441074480112007</v>
      </c>
      <c r="L35" s="23">
        <f>Lookups!E59</f>
        <v>99.745241249999992</v>
      </c>
      <c r="M35" s="23">
        <f>Lookups!F59</f>
        <v>101.04940801988798</v>
      </c>
      <c r="N35" s="23">
        <f>Lookups!G59</f>
        <v>102.93241770230775</v>
      </c>
    </row>
    <row r="36" spans="3:14" ht="15" x14ac:dyDescent="0.25">
      <c r="E36" s="24"/>
      <c r="F36" s="40"/>
      <c r="G36" s="71" t="s">
        <v>67</v>
      </c>
      <c r="H36" s="72">
        <f>IF(Bid=0,"n/a",H35/F35)</f>
        <v>0.14142299839780301</v>
      </c>
      <c r="I36" s="40"/>
    </row>
    <row r="37" spans="3:14" x14ac:dyDescent="0.2">
      <c r="E37" s="24"/>
      <c r="F37" s="40"/>
      <c r="G37" s="40"/>
      <c r="H37" s="40"/>
      <c r="I37" s="41"/>
    </row>
    <row r="38" spans="3:14" x14ac:dyDescent="0.2">
      <c r="E38" s="24"/>
      <c r="F38" s="40"/>
      <c r="G38" s="40"/>
      <c r="H38" s="40"/>
      <c r="I38" s="40"/>
    </row>
    <row r="39" spans="3:14" x14ac:dyDescent="0.2">
      <c r="F39" s="40"/>
    </row>
    <row r="40" spans="3:14" x14ac:dyDescent="0.2">
      <c r="E40" s="24"/>
      <c r="F40" s="73"/>
      <c r="G40" s="40"/>
      <c r="H40" s="40"/>
      <c r="I40" s="41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15" priority="41" stopIfTrue="1">
      <formula>$A$1&lt;&gt;""</formula>
    </cfRule>
  </conditionalFormatting>
  <conditionalFormatting sqref="C2">
    <cfRule type="expression" dxfId="14" priority="33">
      <formula>size_lca_flag=1</formula>
    </cfRule>
  </conditionalFormatting>
  <conditionalFormatting sqref="C1">
    <cfRule type="expression" dxfId="9" priority="22" stopIfTrue="1">
      <formula>$A$1&lt;&gt;""</formula>
    </cfRule>
  </conditionalFormatting>
  <dataValidations count="4">
    <dataValidation type="list" allowBlank="1" showInputMessage="1" showErrorMessage="1" sqref="B8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11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609E01C-C478-4F14-A9A0-A2F09152C0BA}">
            <xm:f>AND($E8&gt;=VLOOKUP(date,Lookups!$B$11:$D$21,3,FALSE),$E8&lt;=VLOOKUP(date,Lookups!$B$11:$E$21,4,FALSE))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>
      <selection activeCell="D8" sqref="D8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6.5703125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13.42578125" bestFit="1" customWidth="1"/>
    <col min="18" max="18" width="11" customWidth="1"/>
  </cols>
  <sheetData>
    <row r="1" spans="1:20" x14ac:dyDescent="0.2">
      <c r="G1" s="1"/>
      <c r="H1" s="1"/>
    </row>
    <row r="3" spans="1:20" ht="15" x14ac:dyDescent="0.25">
      <c r="A3" s="27"/>
      <c r="B3" s="25" t="s">
        <v>35</v>
      </c>
      <c r="C3" s="25"/>
      <c r="D3" s="25" t="s">
        <v>0</v>
      </c>
      <c r="E3" s="25"/>
      <c r="G3" s="66"/>
      <c r="J3" s="2" t="s">
        <v>38</v>
      </c>
      <c r="K3" s="11" t="s">
        <v>35</v>
      </c>
      <c r="L3" s="11" t="s">
        <v>36</v>
      </c>
      <c r="M3" s="11" t="s">
        <v>0</v>
      </c>
      <c r="N3" s="11" t="s">
        <v>37</v>
      </c>
      <c r="R3" s="42" t="s">
        <v>245</v>
      </c>
      <c r="T3" s="42" t="s">
        <v>246</v>
      </c>
    </row>
    <row r="4" spans="1:20" x14ac:dyDescent="0.2">
      <c r="A4" s="29"/>
      <c r="B4" t="str">
        <f>date</f>
        <v>Typical Event Day</v>
      </c>
      <c r="C4" s="26"/>
      <c r="D4" s="5" t="str">
        <f>lca</f>
        <v>All</v>
      </c>
      <c r="E4" s="5"/>
      <c r="G4" s="67"/>
      <c r="J4" t="s">
        <v>3</v>
      </c>
      <c r="K4" s="65">
        <v>42186</v>
      </c>
      <c r="L4" t="s">
        <v>1</v>
      </c>
      <c r="M4" t="s">
        <v>1</v>
      </c>
      <c r="N4" s="42" t="s">
        <v>1</v>
      </c>
      <c r="R4" s="65">
        <v>42186</v>
      </c>
      <c r="S4">
        <v>783</v>
      </c>
      <c r="T4">
        <v>1</v>
      </c>
    </row>
    <row r="5" spans="1:20" ht="13.5" x14ac:dyDescent="0.25">
      <c r="A5" s="27"/>
      <c r="B5" s="27"/>
      <c r="C5" s="27"/>
      <c r="D5" s="27"/>
      <c r="E5" s="27"/>
      <c r="F5" s="27"/>
      <c r="G5" s="28"/>
      <c r="H5" s="28"/>
      <c r="J5" s="1" t="s">
        <v>39</v>
      </c>
      <c r="K5" s="65">
        <v>42214</v>
      </c>
      <c r="L5" t="s">
        <v>25</v>
      </c>
      <c r="M5" t="s">
        <v>63</v>
      </c>
      <c r="N5" s="42" t="s">
        <v>32</v>
      </c>
      <c r="R5" s="65">
        <v>42214</v>
      </c>
      <c r="S5">
        <v>784</v>
      </c>
      <c r="T5">
        <v>1</v>
      </c>
    </row>
    <row r="6" spans="1:20" x14ac:dyDescent="0.2">
      <c r="A6" s="29"/>
      <c r="B6" s="29"/>
      <c r="C6" s="70" t="s">
        <v>62</v>
      </c>
      <c r="D6" s="30">
        <f>IF(ISERROR(DGET(data,"enrolled",_xlnm.Criteria)),0,DGET(data,"enrolled", _xlnm.Criteria))</f>
        <v>794.1</v>
      </c>
      <c r="E6" s="29"/>
      <c r="F6" s="30"/>
      <c r="G6" s="30"/>
      <c r="H6" s="30"/>
      <c r="K6" s="65">
        <v>42215</v>
      </c>
      <c r="L6" t="s">
        <v>26</v>
      </c>
      <c r="M6" t="s">
        <v>64</v>
      </c>
      <c r="N6" s="42" t="s">
        <v>33</v>
      </c>
      <c r="R6" s="65">
        <v>42215</v>
      </c>
      <c r="S6">
        <v>784</v>
      </c>
      <c r="T6">
        <v>1</v>
      </c>
    </row>
    <row r="7" spans="1:20" ht="13.5" x14ac:dyDescent="0.25">
      <c r="A7" s="27"/>
      <c r="C7" s="42" t="s">
        <v>40</v>
      </c>
      <c r="D7">
        <f>IF(COUNTIF(Table!B7:B8,"All")&lt;1,1,0)</f>
        <v>0</v>
      </c>
      <c r="K7" s="65">
        <v>42233</v>
      </c>
      <c r="L7" t="s">
        <v>27</v>
      </c>
      <c r="M7" t="s">
        <v>65</v>
      </c>
      <c r="N7" s="43"/>
      <c r="R7" s="65">
        <v>42233</v>
      </c>
      <c r="S7">
        <v>798</v>
      </c>
      <c r="T7">
        <v>1</v>
      </c>
    </row>
    <row r="8" spans="1:20" ht="13.5" x14ac:dyDescent="0.25">
      <c r="A8" s="28"/>
      <c r="C8" s="42" t="s">
        <v>68</v>
      </c>
      <c r="D8">
        <f>IF(ISERROR(DGET(data,"bid",_xlnm.Criteria)),0,DGET(data,"bid",_xlnm.Criteria))</f>
        <v>491.4</v>
      </c>
      <c r="K8" s="65">
        <v>42242</v>
      </c>
      <c r="L8" t="s">
        <v>28</v>
      </c>
      <c r="N8" s="34"/>
      <c r="R8" s="65">
        <v>42242</v>
      </c>
      <c r="S8">
        <v>797</v>
      </c>
      <c r="T8">
        <v>1</v>
      </c>
    </row>
    <row r="9" spans="1:20" x14ac:dyDescent="0.2">
      <c r="K9" s="65">
        <v>42243</v>
      </c>
      <c r="L9" t="s">
        <v>29</v>
      </c>
      <c r="N9" s="34"/>
      <c r="R9" s="65">
        <v>42243</v>
      </c>
      <c r="S9">
        <v>797</v>
      </c>
      <c r="T9">
        <v>1</v>
      </c>
    </row>
    <row r="10" spans="1:20" x14ac:dyDescent="0.2">
      <c r="B10" t="s">
        <v>34</v>
      </c>
      <c r="C10" t="s">
        <v>41</v>
      </c>
      <c r="D10" t="s">
        <v>42</v>
      </c>
      <c r="E10" t="s">
        <v>43</v>
      </c>
      <c r="K10" s="65">
        <v>42244</v>
      </c>
      <c r="L10" t="s">
        <v>30</v>
      </c>
      <c r="N10" s="34"/>
      <c r="R10" s="65">
        <v>42244</v>
      </c>
      <c r="S10">
        <v>797</v>
      </c>
      <c r="T10">
        <v>1</v>
      </c>
    </row>
    <row r="11" spans="1:20" x14ac:dyDescent="0.2">
      <c r="B11" s="65">
        <v>42186</v>
      </c>
      <c r="D11">
        <v>13</v>
      </c>
      <c r="E11">
        <v>20</v>
      </c>
      <c r="F11" t="str">
        <f t="shared" ref="F11:F16" si="0">"Hours Ending "&amp;D11&amp;" to "&amp;E11</f>
        <v>Hours Ending 13 to 20</v>
      </c>
      <c r="K11" s="65">
        <v>42256</v>
      </c>
      <c r="L11" t="s">
        <v>31</v>
      </c>
      <c r="N11" s="34"/>
      <c r="R11" s="65">
        <v>42256</v>
      </c>
      <c r="S11">
        <v>800</v>
      </c>
      <c r="T11">
        <v>1</v>
      </c>
    </row>
    <row r="12" spans="1:20" x14ac:dyDescent="0.2">
      <c r="B12" s="65">
        <v>42214</v>
      </c>
      <c r="D12">
        <v>13</v>
      </c>
      <c r="E12">
        <v>20</v>
      </c>
      <c r="F12" t="str">
        <f t="shared" si="0"/>
        <v>Hours Ending 13 to 20</v>
      </c>
      <c r="K12" s="65">
        <v>42257</v>
      </c>
      <c r="R12" s="65">
        <v>42257</v>
      </c>
      <c r="S12">
        <v>800</v>
      </c>
      <c r="T12">
        <v>1</v>
      </c>
    </row>
    <row r="13" spans="1:20" x14ac:dyDescent="0.2">
      <c r="B13" s="65">
        <v>42215</v>
      </c>
      <c r="D13">
        <v>13</v>
      </c>
      <c r="E13">
        <v>20</v>
      </c>
      <c r="F13" t="str">
        <f t="shared" si="0"/>
        <v>Hours Ending 13 to 20</v>
      </c>
      <c r="K13" s="65">
        <v>42258</v>
      </c>
      <c r="R13" s="65">
        <v>42258</v>
      </c>
      <c r="S13" s="6">
        <v>801</v>
      </c>
      <c r="T13">
        <v>1</v>
      </c>
    </row>
    <row r="14" spans="1:20" x14ac:dyDescent="0.2">
      <c r="B14" s="65">
        <v>42233</v>
      </c>
      <c r="D14">
        <v>13</v>
      </c>
      <c r="E14">
        <v>20</v>
      </c>
      <c r="F14" t="str">
        <f t="shared" si="0"/>
        <v>Hours Ending 13 to 20</v>
      </c>
      <c r="K14" s="42" t="s">
        <v>2</v>
      </c>
      <c r="R14" s="42" t="s">
        <v>2</v>
      </c>
      <c r="S14" s="77">
        <f>AVERAGEIF($T$4:$T$13,1,S4:S13)</f>
        <v>794.1</v>
      </c>
    </row>
    <row r="15" spans="1:20" x14ac:dyDescent="0.2">
      <c r="B15" s="65">
        <v>42242</v>
      </c>
      <c r="D15">
        <v>13</v>
      </c>
      <c r="E15">
        <v>20</v>
      </c>
      <c r="F15" t="str">
        <f t="shared" si="0"/>
        <v>Hours Ending 13 to 20</v>
      </c>
      <c r="R15" s="65"/>
    </row>
    <row r="16" spans="1:20" x14ac:dyDescent="0.2">
      <c r="B16" s="65">
        <v>42243</v>
      </c>
      <c r="D16">
        <v>13</v>
      </c>
      <c r="E16">
        <v>20</v>
      </c>
      <c r="F16" t="str">
        <f t="shared" si="0"/>
        <v>Hours Ending 13 to 20</v>
      </c>
      <c r="R16" s="65"/>
    </row>
    <row r="17" spans="1:19" x14ac:dyDescent="0.2">
      <c r="B17" s="65">
        <v>42244</v>
      </c>
      <c r="D17">
        <v>13</v>
      </c>
      <c r="E17">
        <v>20</v>
      </c>
      <c r="F17" t="str">
        <f t="shared" ref="F17:F18" si="1">"Hours Ending "&amp;D17&amp;" to "&amp;E17</f>
        <v>Hours Ending 13 to 20</v>
      </c>
      <c r="R17" s="65"/>
    </row>
    <row r="18" spans="1:19" x14ac:dyDescent="0.2">
      <c r="B18" s="65">
        <v>42256</v>
      </c>
      <c r="D18">
        <v>13</v>
      </c>
      <c r="E18">
        <v>20</v>
      </c>
      <c r="F18" t="str">
        <f t="shared" si="1"/>
        <v>Hours Ending 13 to 20</v>
      </c>
      <c r="R18" s="65"/>
    </row>
    <row r="19" spans="1:19" x14ac:dyDescent="0.2">
      <c r="B19" s="65">
        <v>42257</v>
      </c>
      <c r="D19">
        <v>13</v>
      </c>
      <c r="E19">
        <v>20</v>
      </c>
      <c r="F19" t="str">
        <f t="shared" ref="F19:F21" si="2">"Hours Ending "&amp;D19&amp;" to "&amp;E19</f>
        <v>Hours Ending 13 to 20</v>
      </c>
      <c r="O19" s="34"/>
      <c r="S19" s="77"/>
    </row>
    <row r="20" spans="1:19" x14ac:dyDescent="0.2">
      <c r="B20" s="65">
        <v>42258</v>
      </c>
      <c r="D20">
        <v>13</v>
      </c>
      <c r="E20">
        <v>20</v>
      </c>
      <c r="F20" t="str">
        <f t="shared" si="2"/>
        <v>Hours Ending 13 to 20</v>
      </c>
      <c r="O20" s="34"/>
    </row>
    <row r="21" spans="1:19" x14ac:dyDescent="0.2">
      <c r="B21" s="58" t="s">
        <v>2</v>
      </c>
      <c r="D21">
        <v>13</v>
      </c>
      <c r="E21">
        <v>20</v>
      </c>
      <c r="F21" t="str">
        <f t="shared" si="2"/>
        <v>Hours Ending 13 to 20</v>
      </c>
      <c r="O21" s="34"/>
      <c r="R21" s="42" t="s">
        <v>69</v>
      </c>
      <c r="S21">
        <f>VLOOKUP(date,$R$4:$S$19,2,FALSE)</f>
        <v>794.1</v>
      </c>
    </row>
    <row r="22" spans="1:19" x14ac:dyDescent="0.2">
      <c r="A22" t="str">
        <f t="shared" ref="A22:A24" si="3">B22&amp;C22</f>
        <v/>
      </c>
      <c r="B22" s="58"/>
      <c r="O22" s="34"/>
    </row>
    <row r="23" spans="1:19" x14ac:dyDescent="0.2">
      <c r="A23" t="str">
        <f t="shared" si="3"/>
        <v/>
      </c>
      <c r="B23" s="58"/>
      <c r="O23" s="34"/>
    </row>
    <row r="24" spans="1:19" x14ac:dyDescent="0.2">
      <c r="A24" t="str">
        <f t="shared" si="3"/>
        <v/>
      </c>
      <c r="B24" s="58"/>
      <c r="O24" s="34"/>
    </row>
    <row r="25" spans="1:19" x14ac:dyDescent="0.2">
      <c r="A25" t="str">
        <f>B25&amp;C25</f>
        <v/>
      </c>
      <c r="B25" s="59"/>
      <c r="O25" s="34"/>
    </row>
    <row r="26" spans="1:19" x14ac:dyDescent="0.2">
      <c r="A26" t="str">
        <f>B26&amp;C26</f>
        <v/>
      </c>
      <c r="B26" s="59"/>
    </row>
    <row r="27" spans="1:19" x14ac:dyDescent="0.2">
      <c r="A27" t="str">
        <f>B27&amp;C27</f>
        <v/>
      </c>
      <c r="B27" s="59"/>
    </row>
    <row r="28" spans="1:19" x14ac:dyDescent="0.2">
      <c r="A28" s="6"/>
      <c r="B28" s="6"/>
      <c r="C28" s="6"/>
      <c r="D28" s="6"/>
      <c r="E28" s="6"/>
      <c r="F28" s="6"/>
    </row>
    <row r="29" spans="1:19" x14ac:dyDescent="0.2">
      <c r="A29" s="6"/>
      <c r="B29" s="6"/>
      <c r="C29" s="6"/>
      <c r="D29" s="6"/>
      <c r="E29" s="6"/>
      <c r="F29" s="6"/>
    </row>
    <row r="30" spans="1:19" x14ac:dyDescent="0.2">
      <c r="A30" s="6"/>
      <c r="B30" s="6"/>
      <c r="C30" s="6"/>
      <c r="D30" s="6"/>
      <c r="E30" s="6"/>
      <c r="F30" s="6"/>
    </row>
    <row r="31" spans="1:19" x14ac:dyDescent="0.2">
      <c r="B31" s="48" t="s">
        <v>24</v>
      </c>
      <c r="C31" s="42" t="s">
        <v>57</v>
      </c>
      <c r="D31" s="42" t="s">
        <v>47</v>
      </c>
      <c r="E31" s="42" t="s">
        <v>48</v>
      </c>
      <c r="F31" s="42" t="s">
        <v>49</v>
      </c>
      <c r="G31" s="42" t="s">
        <v>55</v>
      </c>
      <c r="H31" s="42" t="s">
        <v>50</v>
      </c>
      <c r="I31" s="42" t="s">
        <v>51</v>
      </c>
      <c r="J31" s="42" t="s">
        <v>52</v>
      </c>
      <c r="K31" s="42" t="s">
        <v>53</v>
      </c>
      <c r="L31" s="42" t="s">
        <v>54</v>
      </c>
      <c r="M31" s="42" t="s">
        <v>58</v>
      </c>
    </row>
    <row r="32" spans="1:19" x14ac:dyDescent="0.2">
      <c r="A32">
        <v>1</v>
      </c>
      <c r="B32" s="49">
        <f>MAX(0,Table!I8-75)</f>
        <v>3.5550400000000053</v>
      </c>
      <c r="C32" t="str">
        <f>IF(AND(A32&gt;=VLOOKUP(date,$B$11:$D$27,3,FALSE),A32&lt;=VLOOKUP(date,$B$11:$E$27,4,FALSE)),1,"")</f>
        <v/>
      </c>
      <c r="D32" s="6" t="str">
        <f>IF($C32=1,Table!F8,"")</f>
        <v/>
      </c>
      <c r="E32" s="6" t="str">
        <f>IF($C32=1,Table!G8,"")</f>
        <v/>
      </c>
      <c r="F32" s="6" t="str">
        <f>IF($C32=1,Table!H8,"")</f>
        <v/>
      </c>
      <c r="G32" s="6" t="str">
        <f>IF($C32=1,B32,"")</f>
        <v/>
      </c>
      <c r="H32" s="6" t="str">
        <f>IF($C32=1,Table!J8,"")</f>
        <v/>
      </c>
      <c r="I32" s="6" t="str">
        <f>IF($C32=1,Table!K8,"")</f>
        <v/>
      </c>
      <c r="J32" s="6" t="str">
        <f>IF($C32=1,Table!L8,"")</f>
        <v/>
      </c>
      <c r="K32" s="6" t="str">
        <f>IF($C32=1,Table!M8,"")</f>
        <v/>
      </c>
      <c r="L32" s="6" t="str">
        <f>IF($C32=1,Table!N8,"")</f>
        <v/>
      </c>
      <c r="M32" s="40" t="str">
        <f>IF(C32=1,((Table!K8-Table!L8)/NORMSINV(0.3))^2,"")</f>
        <v/>
      </c>
    </row>
    <row r="33" spans="1:13" x14ac:dyDescent="0.2">
      <c r="A33">
        <f>A32+1</f>
        <v>2</v>
      </c>
      <c r="B33" s="49">
        <f>MAX(0,Table!I9-75)</f>
        <v>2.5607700000000051</v>
      </c>
      <c r="C33" t="str">
        <f t="shared" ref="C33:C55" si="4">IF(AND(A33&gt;=VLOOKUP(date,$B$11:$D$27,3,FALSE),A33&lt;=VLOOKUP(date,$B$11:$E$27,4,FALSE)),1,"")</f>
        <v/>
      </c>
      <c r="D33" s="6" t="str">
        <f>IF($C33=1,Table!F9,"")</f>
        <v/>
      </c>
      <c r="E33" s="6" t="str">
        <f>IF($C33=1,Table!G9,"")</f>
        <v/>
      </c>
      <c r="F33" s="6" t="str">
        <f>IF($C33=1,Table!H9,"")</f>
        <v/>
      </c>
      <c r="G33" s="6" t="str">
        <f t="shared" ref="G33:G55" si="5">IF($C33=1,B33,"")</f>
        <v/>
      </c>
      <c r="H33" s="6" t="str">
        <f>IF($C33=1,Table!J9,"")</f>
        <v/>
      </c>
      <c r="I33" s="6" t="str">
        <f>IF($C33=1,Table!K9,"")</f>
        <v/>
      </c>
      <c r="J33" s="6" t="str">
        <f>IF($C33=1,Table!L9,"")</f>
        <v/>
      </c>
      <c r="K33" s="6" t="str">
        <f>IF($C33=1,Table!M9,"")</f>
        <v/>
      </c>
      <c r="L33" s="6" t="str">
        <f>IF($C33=1,Table!N9,"")</f>
        <v/>
      </c>
      <c r="M33" s="40" t="str">
        <f>IF(C33=1,((Table!K9-Table!L9)/NORMSINV(0.3))^2,"")</f>
        <v/>
      </c>
    </row>
    <row r="34" spans="1:13" x14ac:dyDescent="0.2">
      <c r="A34">
        <f t="shared" ref="A34:A55" si="6">A33+1</f>
        <v>3</v>
      </c>
      <c r="B34" s="49">
        <f>MAX(0,Table!I10-75)</f>
        <v>1.753619999999998</v>
      </c>
      <c r="C34" t="str">
        <f t="shared" si="4"/>
        <v/>
      </c>
      <c r="D34" s="6" t="str">
        <f>IF($C34=1,Table!F10,"")</f>
        <v/>
      </c>
      <c r="E34" s="6" t="str">
        <f>IF($C34=1,Table!G10,"")</f>
        <v/>
      </c>
      <c r="F34" s="6" t="str">
        <f>IF($C34=1,Table!H10,"")</f>
        <v/>
      </c>
      <c r="G34" s="6" t="str">
        <f t="shared" si="5"/>
        <v/>
      </c>
      <c r="H34" s="6" t="str">
        <f>IF($C34=1,Table!J10,"")</f>
        <v/>
      </c>
      <c r="I34" s="6" t="str">
        <f>IF($C34=1,Table!K10,"")</f>
        <v/>
      </c>
      <c r="J34" s="6" t="str">
        <f>IF($C34=1,Table!L10,"")</f>
        <v/>
      </c>
      <c r="K34" s="6" t="str">
        <f>IF($C34=1,Table!M10,"")</f>
        <v/>
      </c>
      <c r="L34" s="6" t="str">
        <f>IF($C34=1,Table!N10,"")</f>
        <v/>
      </c>
      <c r="M34" s="40" t="str">
        <f>IF(C34=1,((Table!K10-Table!L10)/NORMSINV(0.3))^2,"")</f>
        <v/>
      </c>
    </row>
    <row r="35" spans="1:13" x14ac:dyDescent="0.2">
      <c r="A35">
        <f t="shared" si="6"/>
        <v>4</v>
      </c>
      <c r="B35" s="49">
        <f>MAX(0,Table!I11-75)</f>
        <v>0.84141999999999939</v>
      </c>
      <c r="C35" t="str">
        <f t="shared" si="4"/>
        <v/>
      </c>
      <c r="D35" s="6" t="str">
        <f>IF($C35=1,Table!F11,"")</f>
        <v/>
      </c>
      <c r="E35" s="6" t="str">
        <f>IF($C35=1,Table!G11,"")</f>
        <v/>
      </c>
      <c r="F35" s="6" t="str">
        <f>IF($C35=1,Table!H11,"")</f>
        <v/>
      </c>
      <c r="G35" s="6" t="str">
        <f t="shared" si="5"/>
        <v/>
      </c>
      <c r="H35" s="6" t="str">
        <f>IF($C35=1,Table!J11,"")</f>
        <v/>
      </c>
      <c r="I35" s="6" t="str">
        <f>IF($C35=1,Table!K11,"")</f>
        <v/>
      </c>
      <c r="J35" s="6" t="str">
        <f>IF($C35=1,Table!L11,"")</f>
        <v/>
      </c>
      <c r="K35" s="6" t="str">
        <f>IF($C35=1,Table!M11,"")</f>
        <v/>
      </c>
      <c r="L35" s="6" t="str">
        <f>IF($C35=1,Table!N11,"")</f>
        <v/>
      </c>
      <c r="M35" s="40" t="str">
        <f>IF(C35=1,((Table!K11-Table!L11)/NORMSINV(0.3))^2,"")</f>
        <v/>
      </c>
    </row>
    <row r="36" spans="1:13" x14ac:dyDescent="0.2">
      <c r="A36">
        <f t="shared" si="6"/>
        <v>5</v>
      </c>
      <c r="B36" s="49">
        <f>MAX(0,Table!I12-75)</f>
        <v>7.1780000000003952E-2</v>
      </c>
      <c r="C36" t="str">
        <f t="shared" si="4"/>
        <v/>
      </c>
      <c r="D36" s="6" t="str">
        <f>IF($C36=1,Table!F12,"")</f>
        <v/>
      </c>
      <c r="E36" s="6" t="str">
        <f>IF($C36=1,Table!G12,"")</f>
        <v/>
      </c>
      <c r="F36" s="6" t="str">
        <f>IF($C36=1,Table!H12,"")</f>
        <v/>
      </c>
      <c r="G36" s="6" t="str">
        <f t="shared" si="5"/>
        <v/>
      </c>
      <c r="H36" s="6" t="str">
        <f>IF($C36=1,Table!J12,"")</f>
        <v/>
      </c>
      <c r="I36" s="6" t="str">
        <f>IF($C36=1,Table!K12,"")</f>
        <v/>
      </c>
      <c r="J36" s="6" t="str">
        <f>IF($C36=1,Table!L12,"")</f>
        <v/>
      </c>
      <c r="K36" s="6" t="str">
        <f>IF($C36=1,Table!M12,"")</f>
        <v/>
      </c>
      <c r="L36" s="6" t="str">
        <f>IF($C36=1,Table!N12,"")</f>
        <v/>
      </c>
      <c r="M36" s="40" t="str">
        <f>IF(C36=1,((Table!K12-Table!L12)/NORMSINV(0.3))^2,"")</f>
        <v/>
      </c>
    </row>
    <row r="37" spans="1:13" x14ac:dyDescent="0.2">
      <c r="A37">
        <f t="shared" si="6"/>
        <v>6</v>
      </c>
      <c r="B37" s="49">
        <f>MAX(0,Table!I13-75)</f>
        <v>0</v>
      </c>
      <c r="C37" t="str">
        <f t="shared" si="4"/>
        <v/>
      </c>
      <c r="D37" s="6" t="str">
        <f>IF($C37=1,Table!F13,"")</f>
        <v/>
      </c>
      <c r="E37" s="6" t="str">
        <f>IF($C37=1,Table!G13,"")</f>
        <v/>
      </c>
      <c r="F37" s="6" t="str">
        <f>IF($C37=1,Table!H13,"")</f>
        <v/>
      </c>
      <c r="G37" s="6" t="str">
        <f t="shared" si="5"/>
        <v/>
      </c>
      <c r="H37" s="6" t="str">
        <f>IF($C37=1,Table!J13,"")</f>
        <v/>
      </c>
      <c r="I37" s="6" t="str">
        <f>IF($C37=1,Table!K13,"")</f>
        <v/>
      </c>
      <c r="J37" s="6" t="str">
        <f>IF($C37=1,Table!L13,"")</f>
        <v/>
      </c>
      <c r="K37" s="6" t="str">
        <f>IF($C37=1,Table!M13,"")</f>
        <v/>
      </c>
      <c r="L37" s="6" t="str">
        <f>IF($C37=1,Table!N13,"")</f>
        <v/>
      </c>
      <c r="M37" s="40" t="str">
        <f>IF(C37=1,((Table!K13-Table!L13)/NORMSINV(0.3))^2,"")</f>
        <v/>
      </c>
    </row>
    <row r="38" spans="1:13" x14ac:dyDescent="0.2">
      <c r="A38">
        <f t="shared" si="6"/>
        <v>7</v>
      </c>
      <c r="B38" s="49">
        <f>MAX(0,Table!I14-75)</f>
        <v>0</v>
      </c>
      <c r="C38" t="str">
        <f t="shared" si="4"/>
        <v/>
      </c>
      <c r="D38" s="6" t="str">
        <f>IF($C38=1,Table!F14,"")</f>
        <v/>
      </c>
      <c r="E38" s="6" t="str">
        <f>IF($C38=1,Table!G14,"")</f>
        <v/>
      </c>
      <c r="F38" s="6" t="str">
        <f>IF($C38=1,Table!H14,"")</f>
        <v/>
      </c>
      <c r="G38" s="6" t="str">
        <f t="shared" si="5"/>
        <v/>
      </c>
      <c r="H38" s="6" t="str">
        <f>IF($C38=1,Table!J14,"")</f>
        <v/>
      </c>
      <c r="I38" s="6" t="str">
        <f>IF($C38=1,Table!K14,"")</f>
        <v/>
      </c>
      <c r="J38" s="6" t="str">
        <f>IF($C38=1,Table!L14,"")</f>
        <v/>
      </c>
      <c r="K38" s="6" t="str">
        <f>IF($C38=1,Table!M14,"")</f>
        <v/>
      </c>
      <c r="L38" s="6" t="str">
        <f>IF($C38=1,Table!N14,"")</f>
        <v/>
      </c>
      <c r="M38" s="40" t="str">
        <f>IF(C38=1,((Table!K14-Table!L14)/NORMSINV(0.3))^2,"")</f>
        <v/>
      </c>
    </row>
    <row r="39" spans="1:13" x14ac:dyDescent="0.2">
      <c r="A39">
        <f t="shared" si="6"/>
        <v>8</v>
      </c>
      <c r="B39" s="49">
        <f>MAX(0,Table!I15-75)</f>
        <v>0</v>
      </c>
      <c r="C39" t="str">
        <f t="shared" si="4"/>
        <v/>
      </c>
      <c r="D39" s="6" t="str">
        <f>IF($C39=1,Table!F15,"")</f>
        <v/>
      </c>
      <c r="E39" s="6" t="str">
        <f>IF($C39=1,Table!G15,"")</f>
        <v/>
      </c>
      <c r="F39" s="6" t="str">
        <f>IF($C39=1,Table!H15,"")</f>
        <v/>
      </c>
      <c r="G39" s="6" t="str">
        <f t="shared" si="5"/>
        <v/>
      </c>
      <c r="H39" s="6" t="str">
        <f>IF($C39=1,Table!J15,"")</f>
        <v/>
      </c>
      <c r="I39" s="6" t="str">
        <f>IF($C39=1,Table!K15,"")</f>
        <v/>
      </c>
      <c r="J39" s="6" t="str">
        <f>IF($C39=1,Table!L15,"")</f>
        <v/>
      </c>
      <c r="K39" s="6" t="str">
        <f>IF($C39=1,Table!M15,"")</f>
        <v/>
      </c>
      <c r="L39" s="6" t="str">
        <f>IF($C39=1,Table!N15,"")</f>
        <v/>
      </c>
      <c r="M39" s="40" t="str">
        <f>IF(C39=1,((Table!K15-Table!L15)/NORMSINV(0.3))^2,"")</f>
        <v/>
      </c>
    </row>
    <row r="40" spans="1:13" x14ac:dyDescent="0.2">
      <c r="A40">
        <f t="shared" si="6"/>
        <v>9</v>
      </c>
      <c r="B40" s="49">
        <f>MAX(0,Table!I16-75)</f>
        <v>0.76788000000000523</v>
      </c>
      <c r="C40" t="str">
        <f t="shared" si="4"/>
        <v/>
      </c>
      <c r="D40" s="6" t="str">
        <f>IF($C40=1,Table!F16,"")</f>
        <v/>
      </c>
      <c r="E40" s="6" t="str">
        <f>IF($C40=1,Table!G16,"")</f>
        <v/>
      </c>
      <c r="F40" s="6" t="str">
        <f>IF($C40=1,Table!H16,"")</f>
        <v/>
      </c>
      <c r="G40" s="6" t="str">
        <f t="shared" si="5"/>
        <v/>
      </c>
      <c r="H40" s="6" t="str">
        <f>IF($C40=1,Table!J16,"")</f>
        <v/>
      </c>
      <c r="I40" s="6" t="str">
        <f>IF($C40=1,Table!K16,"")</f>
        <v/>
      </c>
      <c r="J40" s="6" t="str">
        <f>IF($C40=1,Table!L16,"")</f>
        <v/>
      </c>
      <c r="K40" s="6" t="str">
        <f>IF($C40=1,Table!M16,"")</f>
        <v/>
      </c>
      <c r="L40" s="6" t="str">
        <f>IF($C40=1,Table!N16,"")</f>
        <v/>
      </c>
      <c r="M40" s="40" t="str">
        <f>IF(C40=1,((Table!K16-Table!L16)/NORMSINV(0.3))^2,"")</f>
        <v/>
      </c>
    </row>
    <row r="41" spans="1:13" x14ac:dyDescent="0.2">
      <c r="A41">
        <f t="shared" si="6"/>
        <v>10</v>
      </c>
      <c r="B41" s="49">
        <f>MAX(0,Table!I17-75)</f>
        <v>4.108469999999997</v>
      </c>
      <c r="C41" t="str">
        <f t="shared" si="4"/>
        <v/>
      </c>
      <c r="D41" s="6" t="str">
        <f>IF($C41=1,Table!F17,"")</f>
        <v/>
      </c>
      <c r="E41" s="6" t="str">
        <f>IF($C41=1,Table!G17,"")</f>
        <v/>
      </c>
      <c r="F41" s="6" t="str">
        <f>IF($C41=1,Table!H17,"")</f>
        <v/>
      </c>
      <c r="G41" s="6" t="str">
        <f t="shared" si="5"/>
        <v/>
      </c>
      <c r="H41" s="6" t="str">
        <f>IF($C41=1,Table!J17,"")</f>
        <v/>
      </c>
      <c r="I41" s="6" t="str">
        <f>IF($C41=1,Table!K17,"")</f>
        <v/>
      </c>
      <c r="J41" s="6" t="str">
        <f>IF($C41=1,Table!L17,"")</f>
        <v/>
      </c>
      <c r="K41" s="6" t="str">
        <f>IF($C41=1,Table!M17,"")</f>
        <v/>
      </c>
      <c r="L41" s="6" t="str">
        <f>IF($C41=1,Table!N17,"")</f>
        <v/>
      </c>
      <c r="M41" s="40" t="str">
        <f>IF(C41=1,((Table!K17-Table!L17)/NORMSINV(0.3))^2,"")</f>
        <v/>
      </c>
    </row>
    <row r="42" spans="1:13" x14ac:dyDescent="0.2">
      <c r="A42">
        <f t="shared" si="6"/>
        <v>11</v>
      </c>
      <c r="B42" s="49">
        <f>MAX(0,Table!I18-75)</f>
        <v>7.7067600000000027</v>
      </c>
      <c r="C42" t="str">
        <f t="shared" si="4"/>
        <v/>
      </c>
      <c r="D42" s="6" t="str">
        <f>IF($C42=1,Table!F18,"")</f>
        <v/>
      </c>
      <c r="E42" s="6" t="str">
        <f>IF($C42=1,Table!G18,"")</f>
        <v/>
      </c>
      <c r="F42" s="6" t="str">
        <f>IF($C42=1,Table!H18,"")</f>
        <v/>
      </c>
      <c r="G42" s="6" t="str">
        <f t="shared" si="5"/>
        <v/>
      </c>
      <c r="H42" s="6" t="str">
        <f>IF($C42=1,Table!J18,"")</f>
        <v/>
      </c>
      <c r="I42" s="6" t="str">
        <f>IF($C42=1,Table!K18,"")</f>
        <v/>
      </c>
      <c r="J42" s="6" t="str">
        <f>IF($C42=1,Table!L18,"")</f>
        <v/>
      </c>
      <c r="K42" s="6" t="str">
        <f>IF($C42=1,Table!M18,"")</f>
        <v/>
      </c>
      <c r="L42" s="6" t="str">
        <f>IF($C42=1,Table!N18,"")</f>
        <v/>
      </c>
      <c r="M42" s="40" t="str">
        <f>IF(C42=1,((Table!K18-Table!L18)/NORMSINV(0.3))^2,"")</f>
        <v/>
      </c>
    </row>
    <row r="43" spans="1:13" x14ac:dyDescent="0.2">
      <c r="A43">
        <f t="shared" si="6"/>
        <v>12</v>
      </c>
      <c r="B43" s="49">
        <f>MAX(0,Table!I19-75)</f>
        <v>10.521609999999995</v>
      </c>
      <c r="C43" t="str">
        <f t="shared" si="4"/>
        <v/>
      </c>
      <c r="D43" s="6" t="str">
        <f>IF($C43=1,Table!F19,"")</f>
        <v/>
      </c>
      <c r="E43" s="6" t="str">
        <f>IF($C43=1,Table!G19,"")</f>
        <v/>
      </c>
      <c r="F43" s="6" t="str">
        <f>IF($C43=1,Table!H19,"")</f>
        <v/>
      </c>
      <c r="G43" s="6" t="str">
        <f t="shared" si="5"/>
        <v/>
      </c>
      <c r="H43" s="6" t="str">
        <f>IF($C43=1,Table!J19,"")</f>
        <v/>
      </c>
      <c r="I43" s="6" t="str">
        <f>IF($C43=1,Table!K19,"")</f>
        <v/>
      </c>
      <c r="J43" s="6" t="str">
        <f>IF($C43=1,Table!L19,"")</f>
        <v/>
      </c>
      <c r="K43" s="6" t="str">
        <f>IF($C43=1,Table!M19,"")</f>
        <v/>
      </c>
      <c r="L43" s="6" t="str">
        <f>IF($C43=1,Table!N19,"")</f>
        <v/>
      </c>
      <c r="M43" s="40" t="str">
        <f>IF(C43=1,((Table!K19-Table!L19)/NORMSINV(0.3))^2,"")</f>
        <v/>
      </c>
    </row>
    <row r="44" spans="1:13" x14ac:dyDescent="0.2">
      <c r="A44">
        <f t="shared" si="6"/>
        <v>13</v>
      </c>
      <c r="B44" s="49">
        <f>MAX(0,Table!I20-75)</f>
        <v>12.694460000000007</v>
      </c>
      <c r="C44">
        <f t="shared" si="4"/>
        <v>1</v>
      </c>
      <c r="D44" s="6">
        <f>IF($C44=1,Table!F20,"")</f>
        <v>733.55409999999995</v>
      </c>
      <c r="E44" s="6">
        <f>IF($C44=1,Table!G20,"")</f>
        <v>632.56509999999992</v>
      </c>
      <c r="F44" s="6">
        <f>IF($C44=1,Table!H20,"")</f>
        <v>100.989</v>
      </c>
      <c r="G44" s="6">
        <f t="shared" si="5"/>
        <v>12.694460000000007</v>
      </c>
      <c r="H44" s="6">
        <f>IF($C44=1,Table!J20,"")</f>
        <v>93.041489999999996</v>
      </c>
      <c r="I44" s="6">
        <f>IF($C44=1,Table!K20,"")</f>
        <v>97.736969999999999</v>
      </c>
      <c r="J44" s="6">
        <f>IF($C44=1,Table!L20,"")</f>
        <v>100.989</v>
      </c>
      <c r="K44" s="6">
        <f>IF($C44=1,Table!M20,"")</f>
        <v>104.2411</v>
      </c>
      <c r="L44" s="6">
        <f>IF($C44=1,Table!N20,"")</f>
        <v>108.9366</v>
      </c>
      <c r="M44" s="40">
        <f>IF(C44=1,((Table!K20-Table!L20)/NORMSINV(0.3))^2,"")</f>
        <v>38.457661398800106</v>
      </c>
    </row>
    <row r="45" spans="1:13" x14ac:dyDescent="0.2">
      <c r="A45">
        <f t="shared" si="6"/>
        <v>14</v>
      </c>
      <c r="B45" s="49">
        <f>MAX(0,Table!I21-75)</f>
        <v>14.321870000000004</v>
      </c>
      <c r="C45">
        <f t="shared" si="4"/>
        <v>1</v>
      </c>
      <c r="D45" s="6">
        <f>IF($C45=1,Table!F21,"")</f>
        <v>733.8546</v>
      </c>
      <c r="E45" s="6">
        <f>IF($C45=1,Table!G21,"")</f>
        <v>630.24670000000003</v>
      </c>
      <c r="F45" s="6">
        <f>IF($C45=1,Table!H21,"")</f>
        <v>103.6079</v>
      </c>
      <c r="G45" s="6">
        <f t="shared" si="5"/>
        <v>14.321870000000004</v>
      </c>
      <c r="H45" s="6">
        <f>IF($C45=1,Table!J21,"")</f>
        <v>95.170869999999994</v>
      </c>
      <c r="I45" s="6">
        <f>IF($C45=1,Table!K21,"")</f>
        <v>100.1555</v>
      </c>
      <c r="J45" s="6">
        <f>IF($C45=1,Table!L21,"")</f>
        <v>103.6079</v>
      </c>
      <c r="K45" s="6">
        <f>IF($C45=1,Table!M21,"")</f>
        <v>107.06019999999999</v>
      </c>
      <c r="L45" s="6">
        <f>IF($C45=1,Table!N21,"")</f>
        <v>112.0448</v>
      </c>
      <c r="M45" s="40">
        <f>IF(C45=1,((Table!K21-Table!L21)/NORMSINV(0.3))^2,"")</f>
        <v>43.342703867420688</v>
      </c>
    </row>
    <row r="46" spans="1:13" x14ac:dyDescent="0.2">
      <c r="A46">
        <f t="shared" si="6"/>
        <v>15</v>
      </c>
      <c r="B46" s="49">
        <f>MAX(0,Table!I22-75)</f>
        <v>15.475629999999995</v>
      </c>
      <c r="C46">
        <f t="shared" si="4"/>
        <v>1</v>
      </c>
      <c r="D46" s="6">
        <f>IF($C46=1,Table!F22,"")</f>
        <v>731.82510000000002</v>
      </c>
      <c r="E46" s="6">
        <f>IF($C46=1,Table!G22,"")</f>
        <v>629.52930000000003</v>
      </c>
      <c r="F46" s="6">
        <f>IF($C46=1,Table!H22,"")</f>
        <v>102.2958</v>
      </c>
      <c r="G46" s="6">
        <f t="shared" si="5"/>
        <v>15.475629999999995</v>
      </c>
      <c r="H46" s="6">
        <f>IF($C46=1,Table!J22,"")</f>
        <v>93.105990000000006</v>
      </c>
      <c r="I46" s="6">
        <f>IF($C46=1,Table!K22,"")</f>
        <v>98.535380000000004</v>
      </c>
      <c r="J46" s="6">
        <f>IF($C46=1,Table!L22,"")</f>
        <v>102.2958</v>
      </c>
      <c r="K46" s="6">
        <f>IF($C46=1,Table!M22,"")</f>
        <v>106.0561</v>
      </c>
      <c r="L46" s="6">
        <f>IF($C46=1,Table!N22,"")</f>
        <v>111.4855</v>
      </c>
      <c r="M46" s="40">
        <f>IF(C46=1,((Table!K22-Table!L22)/NORMSINV(0.3))^2,"")</f>
        <v>51.421707353479221</v>
      </c>
    </row>
    <row r="47" spans="1:13" x14ac:dyDescent="0.2">
      <c r="A47">
        <f t="shared" si="6"/>
        <v>16</v>
      </c>
      <c r="B47" s="49">
        <f>MAX(0,Table!I23-75)</f>
        <v>15.666060000000002</v>
      </c>
      <c r="C47">
        <f t="shared" si="4"/>
        <v>1</v>
      </c>
      <c r="D47" s="6">
        <f>IF($C47=1,Table!F23,"")</f>
        <v>717.78110000000004</v>
      </c>
      <c r="E47" s="6">
        <f>IF($C47=1,Table!G23,"")</f>
        <v>616.00430000000006</v>
      </c>
      <c r="F47" s="6">
        <f>IF($C47=1,Table!H23,"")</f>
        <v>101.77679999999999</v>
      </c>
      <c r="G47" s="6">
        <f t="shared" si="5"/>
        <v>15.666060000000002</v>
      </c>
      <c r="H47" s="6">
        <f>IF($C47=1,Table!J23,"")</f>
        <v>92.936239999999998</v>
      </c>
      <c r="I47" s="6">
        <f>IF($C47=1,Table!K23,"")</f>
        <v>98.159329999999997</v>
      </c>
      <c r="J47" s="6">
        <f>IF($C47=1,Table!L23,"")</f>
        <v>101.77679999999999</v>
      </c>
      <c r="K47" s="6">
        <f>IF($C47=1,Table!M23,"")</f>
        <v>105.3943</v>
      </c>
      <c r="L47" s="6">
        <f>IF($C47=1,Table!N23,"")</f>
        <v>110.6174</v>
      </c>
      <c r="M47" s="40">
        <f>IF(C47=1,((Table!K23-Table!L23)/NORMSINV(0.3))^2,"")</f>
        <v>47.586488776722767</v>
      </c>
    </row>
    <row r="48" spans="1:13" x14ac:dyDescent="0.2">
      <c r="A48">
        <f t="shared" si="6"/>
        <v>17</v>
      </c>
      <c r="B48" s="49">
        <f>MAX(0,Table!I24-75)</f>
        <v>15.313310000000001</v>
      </c>
      <c r="C48">
        <f t="shared" si="4"/>
        <v>1</v>
      </c>
      <c r="D48" s="6">
        <f>IF($C48=1,Table!F24,"")</f>
        <v>706.89369999999997</v>
      </c>
      <c r="E48" s="6">
        <f>IF($C48=1,Table!G24,"")</f>
        <v>602.3723</v>
      </c>
      <c r="F48" s="6">
        <f>IF($C48=1,Table!H24,"")</f>
        <v>104.5214</v>
      </c>
      <c r="G48" s="6">
        <f t="shared" si="5"/>
        <v>15.313310000000001</v>
      </c>
      <c r="H48" s="6">
        <f>IF($C48=1,Table!J24,"")</f>
        <v>95.606070000000003</v>
      </c>
      <c r="I48" s="6">
        <f>IF($C48=1,Table!K24,"")</f>
        <v>100.8733</v>
      </c>
      <c r="J48" s="6">
        <f>IF($C48=1,Table!L24,"")</f>
        <v>104.5214</v>
      </c>
      <c r="K48" s="6">
        <f>IF($C48=1,Table!M24,"")</f>
        <v>108.1695</v>
      </c>
      <c r="L48" s="6">
        <f>IF($C48=1,Table!N24,"")</f>
        <v>113.43680000000001</v>
      </c>
      <c r="M48" s="40">
        <f>IF(C48=1,((Table!K24-Table!L24)/NORMSINV(0.3))^2,"")</f>
        <v>48.395753245532283</v>
      </c>
    </row>
    <row r="49" spans="1:13" x14ac:dyDescent="0.2">
      <c r="A49">
        <f t="shared" si="6"/>
        <v>18</v>
      </c>
      <c r="B49" s="49">
        <f>MAX(0,Table!I25-75)</f>
        <v>14.495320000000007</v>
      </c>
      <c r="C49">
        <f t="shared" si="4"/>
        <v>1</v>
      </c>
      <c r="D49" s="6">
        <f>IF($C49=1,Table!F25,"")</f>
        <v>689.80070000000001</v>
      </c>
      <c r="E49" s="6">
        <f>IF($C49=1,Table!G25,"")</f>
        <v>589.72670000000005</v>
      </c>
      <c r="F49" s="6">
        <f>IF($C49=1,Table!H25,"")</f>
        <v>100.074</v>
      </c>
      <c r="G49" s="6">
        <f t="shared" si="5"/>
        <v>14.495320000000007</v>
      </c>
      <c r="H49" s="6">
        <f>IF($C49=1,Table!J25,"")</f>
        <v>90.991569999999996</v>
      </c>
      <c r="I49" s="6">
        <f>IF($C49=1,Table!K25,"")</f>
        <v>96.357560000000007</v>
      </c>
      <c r="J49" s="6">
        <f>IF($C49=1,Table!L25,"")</f>
        <v>100.074</v>
      </c>
      <c r="K49" s="6">
        <f>IF($C49=1,Table!M25,"")</f>
        <v>103.79049999999999</v>
      </c>
      <c r="L49" s="6">
        <f>IF($C49=1,Table!N25,"")</f>
        <v>109.15649999999999</v>
      </c>
      <c r="M49" s="40">
        <f>IF(C49=1,((Table!K25-Table!L25)/NORMSINV(0.3))^2,"")</f>
        <v>50.225935687369713</v>
      </c>
    </row>
    <row r="50" spans="1:13" x14ac:dyDescent="0.2">
      <c r="A50">
        <f t="shared" si="6"/>
        <v>19</v>
      </c>
      <c r="B50" s="49">
        <f>MAX(0,Table!I26-75)</f>
        <v>13.66525</v>
      </c>
      <c r="C50">
        <f t="shared" si="4"/>
        <v>1</v>
      </c>
      <c r="D50" s="6">
        <f>IF($C50=1,Table!F26,"")</f>
        <v>666.9846</v>
      </c>
      <c r="E50" s="6">
        <f>IF($C50=1,Table!G26,"")</f>
        <v>569.90170999999998</v>
      </c>
      <c r="F50" s="6">
        <f>IF($C50=1,Table!H26,"")</f>
        <v>97.082890000000006</v>
      </c>
      <c r="G50" s="6">
        <f t="shared" si="5"/>
        <v>13.66525</v>
      </c>
      <c r="H50" s="6">
        <f>IF($C50=1,Table!J26,"")</f>
        <v>87.532619999999994</v>
      </c>
      <c r="I50" s="6">
        <f>IF($C50=1,Table!K26,"")</f>
        <v>93.174999999999997</v>
      </c>
      <c r="J50" s="6">
        <f>IF($C50=1,Table!L26,"")</f>
        <v>97.082890000000006</v>
      </c>
      <c r="K50" s="6">
        <f>IF($C50=1,Table!M26,"")</f>
        <v>100.99079999999999</v>
      </c>
      <c r="L50" s="6">
        <f>IF($C50=1,Table!N26,"")</f>
        <v>106.6331</v>
      </c>
      <c r="M50" s="40">
        <f>IF(C50=1,((Table!K26-Table!L26)/NORMSINV(0.3))^2,"")</f>
        <v>55.533934790474468</v>
      </c>
    </row>
    <row r="51" spans="1:13" x14ac:dyDescent="0.2">
      <c r="A51">
        <f t="shared" si="6"/>
        <v>20</v>
      </c>
      <c r="B51" s="49">
        <f>MAX(0,Table!I27-75)</f>
        <v>11.560329999999993</v>
      </c>
      <c r="C51">
        <f t="shared" si="4"/>
        <v>1</v>
      </c>
      <c r="D51" s="6">
        <f>IF($C51=1,Table!F27,"")</f>
        <v>661.68349999999998</v>
      </c>
      <c r="E51" s="6">
        <f>IF($C51=1,Table!G27,"")</f>
        <v>574.06935999999996</v>
      </c>
      <c r="F51" s="6">
        <f>IF($C51=1,Table!H27,"")</f>
        <v>87.614140000000006</v>
      </c>
      <c r="G51" s="6">
        <f t="shared" si="5"/>
        <v>11.560329999999993</v>
      </c>
      <c r="H51" s="6">
        <f>IF($C51=1,Table!J27,"")</f>
        <v>78.326980000000006</v>
      </c>
      <c r="I51" s="6">
        <f>IF($C51=1,Table!K27,"")</f>
        <v>83.813900000000004</v>
      </c>
      <c r="J51" s="6">
        <f>IF($C51=1,Table!L27,"")</f>
        <v>87.614140000000006</v>
      </c>
      <c r="K51" s="6">
        <f>IF($C51=1,Table!M27,"")</f>
        <v>91.414370000000005</v>
      </c>
      <c r="L51" s="6">
        <f>IF($C51=1,Table!N27,"")</f>
        <v>96.901290000000003</v>
      </c>
      <c r="M51" s="40">
        <f>IF(C51=1,((Table!K27-Table!L27)/NORMSINV(0.3))^2,"")</f>
        <v>52.516507252993826</v>
      </c>
    </row>
    <row r="52" spans="1:13" x14ac:dyDescent="0.2">
      <c r="A52">
        <f t="shared" si="6"/>
        <v>21</v>
      </c>
      <c r="B52" s="49">
        <f>MAX(0,Table!I28-75)</f>
        <v>8.9830500000000058</v>
      </c>
      <c r="C52" t="str">
        <f t="shared" si="4"/>
        <v/>
      </c>
      <c r="D52" s="6" t="str">
        <f>IF($C52=1,Table!F28,"")</f>
        <v/>
      </c>
      <c r="E52" s="6" t="str">
        <f>IF($C52=1,Table!G28,"")</f>
        <v/>
      </c>
      <c r="F52" s="6" t="str">
        <f>IF($C52=1,Table!H28,"")</f>
        <v/>
      </c>
      <c r="G52" s="6" t="str">
        <f t="shared" si="5"/>
        <v/>
      </c>
      <c r="H52" s="6" t="str">
        <f>IF($C52=1,Table!J28,"")</f>
        <v/>
      </c>
      <c r="I52" s="6" t="str">
        <f>IF($C52=1,Table!K28,"")</f>
        <v/>
      </c>
      <c r="J52" s="6" t="str">
        <f>IF($C52=1,Table!L28,"")</f>
        <v/>
      </c>
      <c r="K52" s="6" t="str">
        <f>IF($C52=1,Table!M28,"")</f>
        <v/>
      </c>
      <c r="L52" s="6" t="str">
        <f>IF($C52=1,Table!N28,"")</f>
        <v/>
      </c>
      <c r="M52" s="40" t="str">
        <f>IF(C52=1,((Table!K28-Table!L28)/NORMSINV(0.3))^2,"")</f>
        <v/>
      </c>
    </row>
    <row r="53" spans="1:13" x14ac:dyDescent="0.2">
      <c r="A53">
        <f t="shared" si="6"/>
        <v>22</v>
      </c>
      <c r="B53" s="49">
        <f>MAX(0,Table!I29-75)</f>
        <v>6.7645799999999952</v>
      </c>
      <c r="C53" t="str">
        <f t="shared" si="4"/>
        <v/>
      </c>
      <c r="D53" s="6" t="str">
        <f>IF($C53=1,Table!F29,"")</f>
        <v/>
      </c>
      <c r="E53" s="6" t="str">
        <f>IF($C53=1,Table!G29,"")</f>
        <v/>
      </c>
      <c r="F53" s="6" t="str">
        <f>IF($C53=1,Table!H29,"")</f>
        <v/>
      </c>
      <c r="G53" s="6" t="str">
        <f t="shared" si="5"/>
        <v/>
      </c>
      <c r="H53" s="6" t="str">
        <f>IF($C53=1,Table!J29,"")</f>
        <v/>
      </c>
      <c r="I53" s="6" t="str">
        <f>IF($C53=1,Table!K29,"")</f>
        <v/>
      </c>
      <c r="J53" s="6" t="str">
        <f>IF($C53=1,Table!L29,"")</f>
        <v/>
      </c>
      <c r="K53" s="6" t="str">
        <f>IF($C53=1,Table!M29,"")</f>
        <v/>
      </c>
      <c r="L53" s="6" t="str">
        <f>IF($C53=1,Table!N29,"")</f>
        <v/>
      </c>
      <c r="M53" s="40" t="str">
        <f>IF(C53=1,((Table!K29-Table!L29)/NORMSINV(0.3))^2,"")</f>
        <v/>
      </c>
    </row>
    <row r="54" spans="1:13" x14ac:dyDescent="0.2">
      <c r="A54">
        <f t="shared" si="6"/>
        <v>23</v>
      </c>
      <c r="B54" s="49">
        <f>MAX(0,Table!I30-75)</f>
        <v>5.2439799999999934</v>
      </c>
      <c r="C54" t="str">
        <f t="shared" si="4"/>
        <v/>
      </c>
      <c r="D54" s="6" t="str">
        <f>IF($C54=1,Table!F30,"")</f>
        <v/>
      </c>
      <c r="E54" s="6" t="str">
        <f>IF($C54=1,Table!G30,"")</f>
        <v/>
      </c>
      <c r="F54" s="6" t="str">
        <f>IF($C54=1,Table!H30,"")</f>
        <v/>
      </c>
      <c r="G54" s="6" t="str">
        <f t="shared" si="5"/>
        <v/>
      </c>
      <c r="H54" s="6" t="str">
        <f>IF($C54=1,Table!J30,"")</f>
        <v/>
      </c>
      <c r="I54" s="6" t="str">
        <f>IF($C54=1,Table!K30,"")</f>
        <v/>
      </c>
      <c r="J54" s="6" t="str">
        <f>IF($C54=1,Table!L30,"")</f>
        <v/>
      </c>
      <c r="K54" s="6" t="str">
        <f>IF($C54=1,Table!M30,"")</f>
        <v/>
      </c>
      <c r="L54" s="6" t="str">
        <f>IF($C54=1,Table!N30,"")</f>
        <v/>
      </c>
      <c r="M54" s="40" t="str">
        <f>IF(C54=1,((Table!K30-Table!L30)/NORMSINV(0.3))^2,"")</f>
        <v/>
      </c>
    </row>
    <row r="55" spans="1:13" x14ac:dyDescent="0.2">
      <c r="A55">
        <f t="shared" si="6"/>
        <v>24</v>
      </c>
      <c r="B55" s="49">
        <f>MAX(0,Table!I31-75)</f>
        <v>3.8101900000000057</v>
      </c>
      <c r="C55" t="str">
        <f t="shared" si="4"/>
        <v/>
      </c>
      <c r="D55" s="6" t="str">
        <f>IF($C55=1,Table!F31,"")</f>
        <v/>
      </c>
      <c r="E55" s="6" t="str">
        <f>IF($C55=1,Table!G31,"")</f>
        <v/>
      </c>
      <c r="F55" s="6" t="str">
        <f>IF($C55=1,Table!H31,"")</f>
        <v/>
      </c>
      <c r="G55" s="6" t="str">
        <f t="shared" si="5"/>
        <v/>
      </c>
      <c r="H55" s="6" t="str">
        <f>IF($C55=1,Table!J31,"")</f>
        <v/>
      </c>
      <c r="I55" s="6" t="str">
        <f>IF($C55=1,Table!K31,"")</f>
        <v/>
      </c>
      <c r="J55" s="6" t="str">
        <f>IF($C55=1,Table!L31,"")</f>
        <v/>
      </c>
      <c r="K55" s="6" t="str">
        <f>IF($C55=1,Table!M31,"")</f>
        <v/>
      </c>
      <c r="L55" s="6" t="str">
        <f>IF($C55=1,Table!N31,"")</f>
        <v/>
      </c>
      <c r="M55" s="40" t="str">
        <f>IF(C55=1,((Table!K31-Table!L31)/NORMSINV(0.3))^2,"")</f>
        <v/>
      </c>
    </row>
    <row r="56" spans="1:13" x14ac:dyDescent="0.2">
      <c r="A56" s="42" t="s">
        <v>56</v>
      </c>
      <c r="D56">
        <f>AVERAGE(D32:D55)</f>
        <v>705.29717500000004</v>
      </c>
      <c r="E56">
        <f>AVERAGE(E32:E55)</f>
        <v>605.55193374999999</v>
      </c>
      <c r="F56">
        <f>AVERAGE(F32:F55)</f>
        <v>99.745241249999992</v>
      </c>
      <c r="G56" s="6">
        <f>SUM(G32:G55)</f>
        <v>113.19223000000001</v>
      </c>
      <c r="H56">
        <f t="shared" ref="H56:L56" si="7">AVERAGE(H32:H55)</f>
        <v>90.838978749999995</v>
      </c>
      <c r="I56">
        <f t="shared" si="7"/>
        <v>96.100867500000007</v>
      </c>
      <c r="J56">
        <f t="shared" si="7"/>
        <v>99.745241249999992</v>
      </c>
      <c r="K56">
        <f t="shared" si="7"/>
        <v>103.38960874999999</v>
      </c>
      <c r="L56">
        <f t="shared" si="7"/>
        <v>108.65149875</v>
      </c>
      <c r="M56" s="49">
        <f>SQRT((1/SUM(C32:C55)^2*SUM(M32:M55)))</f>
        <v>2.4605661580873806</v>
      </c>
    </row>
    <row r="57" spans="1:13" x14ac:dyDescent="0.2">
      <c r="G57" s="6"/>
      <c r="H57" s="6"/>
    </row>
    <row r="58" spans="1:13" x14ac:dyDescent="0.2">
      <c r="B58" t="s">
        <v>241</v>
      </c>
      <c r="C58">
        <v>0.1</v>
      </c>
      <c r="D58">
        <v>0.3</v>
      </c>
      <c r="E58">
        <v>0.5</v>
      </c>
      <c r="F58">
        <v>0.7</v>
      </c>
      <c r="G58" s="6">
        <v>0.9</v>
      </c>
      <c r="H58" s="6"/>
    </row>
    <row r="59" spans="1:13" x14ac:dyDescent="0.2">
      <c r="A59" s="42" t="s">
        <v>242</v>
      </c>
      <c r="B59" s="75">
        <f>IF(Result_type="Aggregate Impact",B60,B61)</f>
        <v>2.4869669999999999</v>
      </c>
      <c r="C59" s="76">
        <f>IF(Bid=0,"n/a",NORMINV(C58,$F$56,$B$59))</f>
        <v>96.558064797692239</v>
      </c>
      <c r="D59" s="76">
        <f>IF(Bid=0,"n/a",NORMINV(D58,$F$56,$B$59))</f>
        <v>98.441074480112007</v>
      </c>
      <c r="E59" s="76">
        <f>IF(Bid=0,"n/a",NORMINV(E58,$F$56,$B$59))</f>
        <v>99.745241249999992</v>
      </c>
      <c r="F59" s="76">
        <f>IF(Bid=0,"n/a",NORMINV(F58,$F$56,$B$59))</f>
        <v>101.04940801988798</v>
      </c>
      <c r="G59" s="76">
        <f>IF(Bid=0,"n/a",NORMINV(G58,$F$56,$B$59))</f>
        <v>102.93241770230775</v>
      </c>
      <c r="H59" s="6"/>
    </row>
    <row r="60" spans="1:13" x14ac:dyDescent="0.2">
      <c r="A60" s="42" t="s">
        <v>243</v>
      </c>
      <c r="B60" s="75">
        <f>DGET(data,"stderr_evt_hr",_xlnm.Criteria)</f>
        <v>2.4869669999999999</v>
      </c>
      <c r="G60" s="6"/>
      <c r="H60" s="6"/>
    </row>
    <row r="61" spans="1:13" x14ac:dyDescent="0.2">
      <c r="A61" s="42" t="s">
        <v>244</v>
      </c>
      <c r="B61" s="75">
        <f>B60*1000/Called</f>
        <v>3.1318058179070647</v>
      </c>
      <c r="G61" s="6"/>
      <c r="H61" s="6"/>
    </row>
    <row r="62" spans="1:13" x14ac:dyDescent="0.2">
      <c r="G62" s="6"/>
      <c r="H62" s="6"/>
    </row>
    <row r="63" spans="1:13" x14ac:dyDescent="0.2">
      <c r="G63" s="6"/>
      <c r="H63" s="6"/>
    </row>
    <row r="64" spans="1:13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5382"/>
  <sheetViews>
    <sheetView zoomScaleNormal="100" workbookViewId="0">
      <pane xSplit="4" ySplit="1" topLeftCell="FE3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2.75" x14ac:dyDescent="0.2"/>
  <cols>
    <col min="1" max="1" width="31" bestFit="1" customWidth="1"/>
    <col min="2" max="2" width="12.7109375" customWidth="1"/>
    <col min="3" max="3" width="11.85546875" customWidth="1"/>
    <col min="4" max="4" width="16" customWidth="1"/>
    <col min="5" max="5" width="7" customWidth="1"/>
    <col min="6" max="6" width="7.42578125" customWidth="1"/>
    <col min="7" max="16" width="10" customWidth="1"/>
    <col min="17" max="17" width="9" customWidth="1"/>
    <col min="18" max="18" width="10" customWidth="1"/>
    <col min="19" max="19" width="9" customWidth="1"/>
    <col min="20" max="30" width="10" customWidth="1"/>
    <col min="31" max="39" width="12.85546875" customWidth="1"/>
    <col min="40" max="54" width="14" customWidth="1"/>
    <col min="55" max="63" width="12.85546875" customWidth="1"/>
    <col min="64" max="78" width="14" customWidth="1"/>
    <col min="79" max="87" width="12.85546875" customWidth="1"/>
    <col min="88" max="102" width="14" customWidth="1"/>
    <col min="103" max="111" width="12.85546875" customWidth="1"/>
    <col min="112" max="126" width="14" customWidth="1"/>
    <col min="127" max="135" width="12.85546875" customWidth="1"/>
    <col min="136" max="150" width="14" customWidth="1"/>
    <col min="151" max="159" width="9" customWidth="1"/>
    <col min="160" max="173" width="9.7109375" customWidth="1"/>
    <col min="174" max="175" width="12" bestFit="1" customWidth="1"/>
    <col min="176" max="176" width="9.28515625" customWidth="1"/>
    <col min="177" max="179" width="10.140625" bestFit="1" customWidth="1"/>
  </cols>
  <sheetData>
    <row r="1" spans="1:174" x14ac:dyDescent="0.2">
      <c r="A1" s="74" t="s">
        <v>70</v>
      </c>
      <c r="B1" t="s">
        <v>34</v>
      </c>
      <c r="C1" t="s">
        <v>71</v>
      </c>
      <c r="D1" t="s">
        <v>72</v>
      </c>
      <c r="E1" s="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112</v>
      </c>
      <c r="AS1" t="s">
        <v>113</v>
      </c>
      <c r="AT1" t="s">
        <v>114</v>
      </c>
      <c r="AU1" t="s">
        <v>115</v>
      </c>
      <c r="AV1" t="s">
        <v>116</v>
      </c>
      <c r="AW1" t="s">
        <v>117</v>
      </c>
      <c r="AX1" t="s">
        <v>118</v>
      </c>
      <c r="AY1" t="s">
        <v>119</v>
      </c>
      <c r="AZ1" t="s">
        <v>120</v>
      </c>
      <c r="BA1" t="s">
        <v>121</v>
      </c>
      <c r="BB1" t="s">
        <v>122</v>
      </c>
      <c r="BC1" t="s">
        <v>123</v>
      </c>
      <c r="BD1" t="s">
        <v>124</v>
      </c>
      <c r="BE1" t="s">
        <v>125</v>
      </c>
      <c r="BF1" t="s">
        <v>126</v>
      </c>
      <c r="BG1" t="s">
        <v>127</v>
      </c>
      <c r="BH1" t="s">
        <v>128</v>
      </c>
      <c r="BI1" t="s">
        <v>129</v>
      </c>
      <c r="BJ1" t="s">
        <v>130</v>
      </c>
      <c r="BK1" t="s">
        <v>131</v>
      </c>
      <c r="BL1" t="s">
        <v>132</v>
      </c>
      <c r="BM1" t="s">
        <v>133</v>
      </c>
      <c r="BN1" t="s">
        <v>134</v>
      </c>
      <c r="BO1" t="s">
        <v>135</v>
      </c>
      <c r="BP1" t="s">
        <v>136</v>
      </c>
      <c r="BQ1" t="s">
        <v>137</v>
      </c>
      <c r="BR1" t="s">
        <v>138</v>
      </c>
      <c r="BS1" t="s">
        <v>139</v>
      </c>
      <c r="BT1" t="s">
        <v>140</v>
      </c>
      <c r="BU1" t="s">
        <v>141</v>
      </c>
      <c r="BV1" t="s">
        <v>142</v>
      </c>
      <c r="BW1" t="s">
        <v>143</v>
      </c>
      <c r="BX1" t="s">
        <v>144</v>
      </c>
      <c r="BY1" t="s">
        <v>145</v>
      </c>
      <c r="BZ1" t="s">
        <v>146</v>
      </c>
      <c r="CA1" t="s">
        <v>147</v>
      </c>
      <c r="CB1" t="s">
        <v>148</v>
      </c>
      <c r="CC1" t="s">
        <v>149</v>
      </c>
      <c r="CD1" t="s">
        <v>150</v>
      </c>
      <c r="CE1" t="s">
        <v>151</v>
      </c>
      <c r="CF1" t="s">
        <v>152</v>
      </c>
      <c r="CG1" t="s">
        <v>153</v>
      </c>
      <c r="CH1" t="s">
        <v>154</v>
      </c>
      <c r="CI1" t="s">
        <v>155</v>
      </c>
      <c r="CJ1" t="s">
        <v>156</v>
      </c>
      <c r="CK1" t="s">
        <v>157</v>
      </c>
      <c r="CL1" t="s">
        <v>158</v>
      </c>
      <c r="CM1" t="s">
        <v>159</v>
      </c>
      <c r="CN1" t="s">
        <v>160</v>
      </c>
      <c r="CO1" t="s">
        <v>161</v>
      </c>
      <c r="CP1" t="s">
        <v>162</v>
      </c>
      <c r="CQ1" t="s">
        <v>163</v>
      </c>
      <c r="CR1" t="s">
        <v>164</v>
      </c>
      <c r="CS1" t="s">
        <v>165</v>
      </c>
      <c r="CT1" t="s">
        <v>166</v>
      </c>
      <c r="CU1" t="s">
        <v>167</v>
      </c>
      <c r="CV1" t="s">
        <v>168</v>
      </c>
      <c r="CW1" t="s">
        <v>169</v>
      </c>
      <c r="CX1" t="s">
        <v>170</v>
      </c>
      <c r="CY1" t="s">
        <v>171</v>
      </c>
      <c r="CZ1" t="s">
        <v>172</v>
      </c>
      <c r="DA1" t="s">
        <v>173</v>
      </c>
      <c r="DB1" t="s">
        <v>174</v>
      </c>
      <c r="DC1" t="s">
        <v>175</v>
      </c>
      <c r="DD1" t="s">
        <v>176</v>
      </c>
      <c r="DE1" t="s">
        <v>177</v>
      </c>
      <c r="DF1" t="s">
        <v>178</v>
      </c>
      <c r="DG1" t="s">
        <v>179</v>
      </c>
      <c r="DH1" t="s">
        <v>180</v>
      </c>
      <c r="DI1" t="s">
        <v>181</v>
      </c>
      <c r="DJ1" t="s">
        <v>182</v>
      </c>
      <c r="DK1" t="s">
        <v>183</v>
      </c>
      <c r="DL1" t="s">
        <v>184</v>
      </c>
      <c r="DM1" t="s">
        <v>185</v>
      </c>
      <c r="DN1" t="s">
        <v>186</v>
      </c>
      <c r="DO1" t="s">
        <v>187</v>
      </c>
      <c r="DP1" t="s">
        <v>188</v>
      </c>
      <c r="DQ1" t="s">
        <v>189</v>
      </c>
      <c r="DR1" t="s">
        <v>190</v>
      </c>
      <c r="DS1" t="s">
        <v>191</v>
      </c>
      <c r="DT1" t="s">
        <v>192</v>
      </c>
      <c r="DU1" t="s">
        <v>193</v>
      </c>
      <c r="DV1" t="s">
        <v>194</v>
      </c>
      <c r="DW1" t="s">
        <v>195</v>
      </c>
      <c r="DX1" t="s">
        <v>196</v>
      </c>
      <c r="DY1" t="s">
        <v>197</v>
      </c>
      <c r="DZ1" t="s">
        <v>198</v>
      </c>
      <c r="EA1" t="s">
        <v>199</v>
      </c>
      <c r="EB1" t="s">
        <v>200</v>
      </c>
      <c r="EC1" t="s">
        <v>201</v>
      </c>
      <c r="ED1" t="s">
        <v>202</v>
      </c>
      <c r="EE1" t="s">
        <v>203</v>
      </c>
      <c r="EF1" t="s">
        <v>204</v>
      </c>
      <c r="EG1" t="s">
        <v>205</v>
      </c>
      <c r="EH1" t="s">
        <v>206</v>
      </c>
      <c r="EI1" t="s">
        <v>207</v>
      </c>
      <c r="EJ1" t="s">
        <v>208</v>
      </c>
      <c r="EK1" t="s">
        <v>209</v>
      </c>
      <c r="EL1" t="s">
        <v>210</v>
      </c>
      <c r="EM1" t="s">
        <v>211</v>
      </c>
      <c r="EN1" t="s">
        <v>212</v>
      </c>
      <c r="EO1" t="s">
        <v>213</v>
      </c>
      <c r="EP1" t="s">
        <v>214</v>
      </c>
      <c r="EQ1" t="s">
        <v>215</v>
      </c>
      <c r="ER1" t="s">
        <v>216</v>
      </c>
      <c r="ES1" t="s">
        <v>217</v>
      </c>
      <c r="ET1" t="s">
        <v>218</v>
      </c>
      <c r="EU1" t="s">
        <v>219</v>
      </c>
      <c r="EV1" t="s">
        <v>220</v>
      </c>
      <c r="EW1" t="s">
        <v>221</v>
      </c>
      <c r="EX1" t="s">
        <v>222</v>
      </c>
      <c r="EY1" t="s">
        <v>223</v>
      </c>
      <c r="EZ1" t="s">
        <v>224</v>
      </c>
      <c r="FA1" t="s">
        <v>225</v>
      </c>
      <c r="FB1" t="s">
        <v>226</v>
      </c>
      <c r="FC1" t="s">
        <v>227</v>
      </c>
      <c r="FD1" t="s">
        <v>228</v>
      </c>
      <c r="FE1" t="s">
        <v>229</v>
      </c>
      <c r="FF1" t="s">
        <v>230</v>
      </c>
      <c r="FG1" t="s">
        <v>231</v>
      </c>
      <c r="FH1" t="s">
        <v>232</v>
      </c>
      <c r="FI1" t="s">
        <v>233</v>
      </c>
      <c r="FJ1" t="s">
        <v>234</v>
      </c>
      <c r="FK1" t="s">
        <v>235</v>
      </c>
      <c r="FL1" t="s">
        <v>236</v>
      </c>
      <c r="FM1" t="s">
        <v>237</v>
      </c>
      <c r="FN1" t="s">
        <v>238</v>
      </c>
      <c r="FO1" t="s">
        <v>239</v>
      </c>
      <c r="FP1" t="s">
        <v>240</v>
      </c>
      <c r="FQ1" t="s">
        <v>241</v>
      </c>
      <c r="FR1" t="s">
        <v>247</v>
      </c>
    </row>
    <row r="2" spans="1:174" x14ac:dyDescent="0.2">
      <c r="A2" t="s">
        <v>1</v>
      </c>
      <c r="B2">
        <v>42186</v>
      </c>
      <c r="C2">
        <v>481</v>
      </c>
      <c r="D2" s="65">
        <v>783</v>
      </c>
      <c r="E2">
        <v>557.35879999999997</v>
      </c>
      <c r="F2">
        <v>551.27589999999998</v>
      </c>
      <c r="G2">
        <v>531.66549999999995</v>
      </c>
      <c r="H2">
        <v>520.72580000000005</v>
      </c>
      <c r="I2">
        <v>547.24900000000002</v>
      </c>
      <c r="J2">
        <v>589.88499999999999</v>
      </c>
      <c r="K2">
        <v>636.34929999999997</v>
      </c>
      <c r="L2">
        <v>651.63170000000002</v>
      </c>
      <c r="M2">
        <v>662.89200000000005</v>
      </c>
      <c r="N2">
        <v>678.72730000000001</v>
      </c>
      <c r="O2">
        <v>694.19349999999997</v>
      </c>
      <c r="P2">
        <v>688.4076</v>
      </c>
      <c r="Q2">
        <v>685.0607</v>
      </c>
      <c r="R2">
        <v>694.27530000000002</v>
      </c>
      <c r="S2">
        <v>690.83029999999997</v>
      </c>
      <c r="T2">
        <v>678.15700000000004</v>
      </c>
      <c r="U2">
        <v>670.25609999999995</v>
      </c>
      <c r="V2">
        <v>657.97310000000004</v>
      </c>
      <c r="W2">
        <v>637.25580000000002</v>
      </c>
      <c r="X2">
        <v>634.19269999999995</v>
      </c>
      <c r="Y2">
        <v>627.85680000000002</v>
      </c>
      <c r="Z2">
        <v>608.52449999999999</v>
      </c>
      <c r="AA2">
        <v>579.35829999999999</v>
      </c>
      <c r="AB2">
        <v>565.85059999999999</v>
      </c>
      <c r="AC2">
        <v>-4.2823549999999999</v>
      </c>
      <c r="AD2">
        <v>-1.9090910000000001</v>
      </c>
      <c r="AE2">
        <v>0.58218749999999997</v>
      </c>
      <c r="AF2">
        <v>0.66702240000000002</v>
      </c>
      <c r="AG2">
        <v>1.2978149999999999</v>
      </c>
      <c r="AH2">
        <v>-29.041550000000001</v>
      </c>
      <c r="AI2">
        <v>-15.01756</v>
      </c>
      <c r="AJ2">
        <v>4.4441480000000002</v>
      </c>
      <c r="AK2">
        <v>7.7085330000000001</v>
      </c>
      <c r="AL2">
        <v>-20.463280000000001</v>
      </c>
      <c r="AM2">
        <v>-4.6320649999999999</v>
      </c>
      <c r="AN2">
        <v>21.399609999999999</v>
      </c>
      <c r="AO2">
        <v>80.224329999999995</v>
      </c>
      <c r="AP2">
        <v>88.94529</v>
      </c>
      <c r="AQ2">
        <v>81.763990000000007</v>
      </c>
      <c r="AR2">
        <v>93.188310000000001</v>
      </c>
      <c r="AS2">
        <v>101.771</v>
      </c>
      <c r="AT2">
        <v>96.858339999999998</v>
      </c>
      <c r="AU2">
        <v>95.669880000000006</v>
      </c>
      <c r="AV2">
        <v>80.388589999999994</v>
      </c>
      <c r="AW2">
        <v>38.502740000000003</v>
      </c>
      <c r="AX2">
        <v>25.428519999999999</v>
      </c>
      <c r="AY2">
        <v>14.170389999999999</v>
      </c>
      <c r="AZ2">
        <v>2.000054</v>
      </c>
      <c r="BA2">
        <v>-2.1328770000000001</v>
      </c>
      <c r="BB2">
        <v>0.41094229999999998</v>
      </c>
      <c r="BC2">
        <v>2.7933509999999999</v>
      </c>
      <c r="BD2">
        <v>2.4902359999999999</v>
      </c>
      <c r="BE2">
        <v>4.0802579999999997</v>
      </c>
      <c r="BF2">
        <v>-26.192910000000001</v>
      </c>
      <c r="BG2">
        <v>-12.33432</v>
      </c>
      <c r="BH2">
        <v>6.8364310000000001</v>
      </c>
      <c r="BI2">
        <v>10.31686</v>
      </c>
      <c r="BJ2">
        <v>-17.663239999999998</v>
      </c>
      <c r="BK2">
        <v>-1.378136</v>
      </c>
      <c r="BL2">
        <v>24.920280000000002</v>
      </c>
      <c r="BM2">
        <v>84.343310000000002</v>
      </c>
      <c r="BN2">
        <v>93.072040000000001</v>
      </c>
      <c r="BO2">
        <v>85.966579999999993</v>
      </c>
      <c r="BP2">
        <v>97.184659999999994</v>
      </c>
      <c r="BQ2">
        <v>105.93989999999999</v>
      </c>
      <c r="BR2">
        <v>100.9534</v>
      </c>
      <c r="BS2">
        <v>100.05719999999999</v>
      </c>
      <c r="BT2">
        <v>84.576099999999997</v>
      </c>
      <c r="BU2">
        <v>43.079909999999998</v>
      </c>
      <c r="BV2">
        <v>29.617260000000002</v>
      </c>
      <c r="BW2">
        <v>17.277170000000002</v>
      </c>
      <c r="BX2">
        <v>5.1126509999999996</v>
      </c>
      <c r="BY2">
        <v>-0.64415500000000003</v>
      </c>
      <c r="BZ2">
        <v>2.0177900000000002</v>
      </c>
      <c r="CA2">
        <v>4.3247970000000002</v>
      </c>
      <c r="CB2">
        <v>3.7529889999999999</v>
      </c>
      <c r="CC2">
        <v>6.0073699999999999</v>
      </c>
      <c r="CD2">
        <v>-24.219950000000001</v>
      </c>
      <c r="CE2">
        <v>-10.47592</v>
      </c>
      <c r="CF2">
        <v>8.4933189999999996</v>
      </c>
      <c r="CG2">
        <v>12.123390000000001</v>
      </c>
      <c r="CH2">
        <v>-15.723940000000001</v>
      </c>
      <c r="CI2">
        <v>0.87552490000000005</v>
      </c>
      <c r="CJ2">
        <v>27.35868</v>
      </c>
      <c r="CK2">
        <v>87.196089999999998</v>
      </c>
      <c r="CL2">
        <v>95.930210000000002</v>
      </c>
      <c r="CM2">
        <v>88.877269999999996</v>
      </c>
      <c r="CN2">
        <v>99.952520000000007</v>
      </c>
      <c r="CO2">
        <v>108.8274</v>
      </c>
      <c r="CP2">
        <v>103.78959999999999</v>
      </c>
      <c r="CQ2">
        <v>103.0959</v>
      </c>
      <c r="CR2">
        <v>87.476349999999996</v>
      </c>
      <c r="CS2">
        <v>46.250050000000002</v>
      </c>
      <c r="CT2">
        <v>32.518369999999997</v>
      </c>
      <c r="CU2">
        <v>19.428920000000002</v>
      </c>
      <c r="CV2">
        <v>7.2684249999999997</v>
      </c>
      <c r="CW2">
        <v>0.84456699999999996</v>
      </c>
      <c r="CX2">
        <v>3.624638</v>
      </c>
      <c r="CY2">
        <v>5.8562419999999999</v>
      </c>
      <c r="CZ2">
        <v>5.0157410000000002</v>
      </c>
      <c r="DA2">
        <v>7.934482</v>
      </c>
      <c r="DB2">
        <v>-22.24699</v>
      </c>
      <c r="DC2">
        <v>-8.6175139999999999</v>
      </c>
      <c r="DD2">
        <v>10.15021</v>
      </c>
      <c r="DE2">
        <v>13.92991</v>
      </c>
      <c r="DF2">
        <v>-13.78464</v>
      </c>
      <c r="DG2">
        <v>3.1291859999999998</v>
      </c>
      <c r="DH2">
        <v>29.797080000000001</v>
      </c>
      <c r="DI2">
        <v>90.048869999999994</v>
      </c>
      <c r="DJ2">
        <v>98.788380000000004</v>
      </c>
      <c r="DK2">
        <v>91.787970000000001</v>
      </c>
      <c r="DL2">
        <v>102.7204</v>
      </c>
      <c r="DM2">
        <v>111.7148</v>
      </c>
      <c r="DN2">
        <v>106.6259</v>
      </c>
      <c r="DO2">
        <v>106.1345</v>
      </c>
      <c r="DP2">
        <v>90.376599999999996</v>
      </c>
      <c r="DQ2">
        <v>49.420189999999998</v>
      </c>
      <c r="DR2">
        <v>35.41948</v>
      </c>
      <c r="DS2">
        <v>21.580660000000002</v>
      </c>
      <c r="DT2">
        <v>9.4242000000000008</v>
      </c>
      <c r="DU2">
        <v>2.9940449999999998</v>
      </c>
      <c r="DV2">
        <v>5.9446709999999996</v>
      </c>
      <c r="DW2">
        <v>8.0674060000000001</v>
      </c>
      <c r="DX2">
        <v>6.8389550000000003</v>
      </c>
      <c r="DY2">
        <v>10.71692</v>
      </c>
      <c r="DZ2">
        <v>-19.398350000000001</v>
      </c>
      <c r="EA2">
        <v>-5.9342730000000001</v>
      </c>
      <c r="EB2">
        <v>12.542490000000001</v>
      </c>
      <c r="EC2">
        <v>16.538239999999998</v>
      </c>
      <c r="ED2">
        <v>-10.984590000000001</v>
      </c>
      <c r="EE2">
        <v>6.3831150000000001</v>
      </c>
      <c r="EF2">
        <v>33.317749999999997</v>
      </c>
      <c r="EG2">
        <v>94.167850000000001</v>
      </c>
      <c r="EH2">
        <v>102.9151</v>
      </c>
      <c r="EI2">
        <v>95.990549999999999</v>
      </c>
      <c r="EJ2">
        <v>106.7167</v>
      </c>
      <c r="EK2">
        <v>115.8837</v>
      </c>
      <c r="EL2">
        <v>110.7209</v>
      </c>
      <c r="EM2">
        <v>110.5219</v>
      </c>
      <c r="EN2">
        <v>94.564109999999999</v>
      </c>
      <c r="EO2">
        <v>53.99736</v>
      </c>
      <c r="EP2">
        <v>39.608220000000003</v>
      </c>
      <c r="EQ2">
        <v>24.687439999999999</v>
      </c>
      <c r="ER2">
        <v>12.536799999999999</v>
      </c>
      <c r="ES2">
        <v>77.856809999999996</v>
      </c>
      <c r="ET2">
        <v>76.887299999999996</v>
      </c>
      <c r="EU2">
        <v>75.819339999999997</v>
      </c>
      <c r="EV2">
        <v>75.046469999999999</v>
      </c>
      <c r="EW2">
        <v>74.756159999999994</v>
      </c>
      <c r="EX2">
        <v>73.668239999999997</v>
      </c>
      <c r="EY2">
        <v>72.190669999999997</v>
      </c>
      <c r="EZ2">
        <v>72.548659999999998</v>
      </c>
      <c r="FA2">
        <v>73.937870000000004</v>
      </c>
      <c r="FB2">
        <v>76.45017</v>
      </c>
      <c r="FC2">
        <v>77.674800000000005</v>
      </c>
      <c r="FD2">
        <v>78.471249999999998</v>
      </c>
      <c r="FE2">
        <v>80.329800000000006</v>
      </c>
      <c r="FF2">
        <v>80.827740000000006</v>
      </c>
      <c r="FG2">
        <v>81.828540000000004</v>
      </c>
      <c r="FH2">
        <v>81.953509999999994</v>
      </c>
      <c r="FI2">
        <v>82.317760000000007</v>
      </c>
      <c r="FJ2">
        <v>82.012979999999999</v>
      </c>
      <c r="FK2">
        <v>82.349490000000003</v>
      </c>
      <c r="FL2">
        <v>81.561840000000004</v>
      </c>
      <c r="FM2">
        <v>79.45478</v>
      </c>
      <c r="FN2">
        <v>77.427310000000006</v>
      </c>
      <c r="FO2">
        <v>76.075609999999998</v>
      </c>
      <c r="FP2">
        <v>75.009450000000001</v>
      </c>
      <c r="FQ2">
        <v>2.4744000000000002</v>
      </c>
      <c r="FR2">
        <v>1</v>
      </c>
    </row>
    <row r="3" spans="1:174" x14ac:dyDescent="0.2">
      <c r="A3" t="s">
        <v>1</v>
      </c>
      <c r="B3">
        <v>42214</v>
      </c>
      <c r="C3">
        <v>487</v>
      </c>
      <c r="D3" s="65">
        <v>784</v>
      </c>
      <c r="E3">
        <v>550.8184</v>
      </c>
      <c r="F3">
        <v>545.49459999999999</v>
      </c>
      <c r="G3">
        <v>539.91639999999995</v>
      </c>
      <c r="H3">
        <v>540.21870000000001</v>
      </c>
      <c r="I3">
        <v>557.90740000000005</v>
      </c>
      <c r="J3">
        <v>597.53489999999999</v>
      </c>
      <c r="K3">
        <v>646.11609999999996</v>
      </c>
      <c r="L3">
        <v>666.44590000000005</v>
      </c>
      <c r="M3">
        <v>676.81759999999997</v>
      </c>
      <c r="N3">
        <v>689.33309999999994</v>
      </c>
      <c r="O3">
        <v>701.74940000000004</v>
      </c>
      <c r="P3">
        <v>704.45910000000003</v>
      </c>
      <c r="Q3">
        <v>701.19799999999998</v>
      </c>
      <c r="R3">
        <v>694.5933</v>
      </c>
      <c r="S3">
        <v>699.80520000000001</v>
      </c>
      <c r="T3">
        <v>694.36130000000003</v>
      </c>
      <c r="U3">
        <v>692.30909999999994</v>
      </c>
      <c r="V3">
        <v>678.38059999999996</v>
      </c>
      <c r="W3">
        <v>655.0308</v>
      </c>
      <c r="X3">
        <v>649.34140000000002</v>
      </c>
      <c r="Y3">
        <v>636.7645</v>
      </c>
      <c r="Z3">
        <v>607.14620000000002</v>
      </c>
      <c r="AA3">
        <v>584.29420000000005</v>
      </c>
      <c r="AB3">
        <v>573.80909999999994</v>
      </c>
      <c r="AC3">
        <v>14.879440000000001</v>
      </c>
      <c r="AD3">
        <v>7.7073640000000001</v>
      </c>
      <c r="AE3">
        <v>3.149686</v>
      </c>
      <c r="AF3">
        <v>4.5996990000000002</v>
      </c>
      <c r="AG3">
        <v>7.1152040000000003</v>
      </c>
      <c r="AH3">
        <v>-18.020620000000001</v>
      </c>
      <c r="AI3">
        <v>-6.3188329999999997</v>
      </c>
      <c r="AJ3">
        <v>-5.5998739999999998</v>
      </c>
      <c r="AK3">
        <v>-7.7680389999999999</v>
      </c>
      <c r="AL3">
        <v>-12.52694</v>
      </c>
      <c r="AM3">
        <v>-13.06171</v>
      </c>
      <c r="AN3">
        <v>22.349900000000002</v>
      </c>
      <c r="AO3">
        <v>97.069400000000002</v>
      </c>
      <c r="AP3">
        <v>101.1478</v>
      </c>
      <c r="AQ3">
        <v>95.372860000000003</v>
      </c>
      <c r="AR3">
        <v>102.00109999999999</v>
      </c>
      <c r="AS3">
        <v>110.03449999999999</v>
      </c>
      <c r="AT3">
        <v>106.8741</v>
      </c>
      <c r="AU3">
        <v>98.215389999999999</v>
      </c>
      <c r="AV3">
        <v>86.353610000000003</v>
      </c>
      <c r="AW3">
        <v>63.90878</v>
      </c>
      <c r="AX3">
        <v>39.550109999999997</v>
      </c>
      <c r="AY3">
        <v>30.788650000000001</v>
      </c>
      <c r="AZ3">
        <v>14.60524</v>
      </c>
      <c r="BA3">
        <v>16.411519999999999</v>
      </c>
      <c r="BB3">
        <v>9.3045869999999997</v>
      </c>
      <c r="BC3">
        <v>4.7435419999999997</v>
      </c>
      <c r="BD3">
        <v>5.8861039999999996</v>
      </c>
      <c r="BE3">
        <v>8.8648319999999998</v>
      </c>
      <c r="BF3">
        <v>-15.97969</v>
      </c>
      <c r="BG3">
        <v>-4.5028119999999996</v>
      </c>
      <c r="BH3">
        <v>-3.9722040000000001</v>
      </c>
      <c r="BI3">
        <v>-5.9085409999999996</v>
      </c>
      <c r="BJ3">
        <v>-10.50351</v>
      </c>
      <c r="BK3">
        <v>-11.018649999999999</v>
      </c>
      <c r="BL3">
        <v>24.54007</v>
      </c>
      <c r="BM3">
        <v>99.777469999999994</v>
      </c>
      <c r="BN3">
        <v>104.12730000000001</v>
      </c>
      <c r="BO3">
        <v>98.968959999999996</v>
      </c>
      <c r="BP3">
        <v>105.0188</v>
      </c>
      <c r="BQ3">
        <v>112.7505</v>
      </c>
      <c r="BR3">
        <v>109.479</v>
      </c>
      <c r="BS3">
        <v>101.2745</v>
      </c>
      <c r="BT3">
        <v>89.336500000000001</v>
      </c>
      <c r="BU3">
        <v>67.121930000000006</v>
      </c>
      <c r="BV3">
        <v>42.922719999999998</v>
      </c>
      <c r="BW3">
        <v>33.326500000000003</v>
      </c>
      <c r="BX3">
        <v>17.02272</v>
      </c>
      <c r="BY3">
        <v>17.472639999999998</v>
      </c>
      <c r="BZ3">
        <v>10.410819999999999</v>
      </c>
      <c r="CA3">
        <v>5.8474409999999999</v>
      </c>
      <c r="CB3">
        <v>6.7770640000000002</v>
      </c>
      <c r="CC3">
        <v>10.07662</v>
      </c>
      <c r="CD3">
        <v>-14.56615</v>
      </c>
      <c r="CE3">
        <v>-3.2450410000000001</v>
      </c>
      <c r="CF3">
        <v>-2.844884</v>
      </c>
      <c r="CG3">
        <v>-4.6206579999999997</v>
      </c>
      <c r="CH3">
        <v>-9.1020859999999999</v>
      </c>
      <c r="CI3">
        <v>-9.6036350000000006</v>
      </c>
      <c r="CJ3">
        <v>26.056979999999999</v>
      </c>
      <c r="CK3">
        <v>101.65309999999999</v>
      </c>
      <c r="CL3">
        <v>106.1909</v>
      </c>
      <c r="CM3">
        <v>101.45959999999999</v>
      </c>
      <c r="CN3">
        <v>107.10890000000001</v>
      </c>
      <c r="CO3">
        <v>114.63160000000001</v>
      </c>
      <c r="CP3">
        <v>111.28319999999999</v>
      </c>
      <c r="CQ3">
        <v>103.3933</v>
      </c>
      <c r="CR3">
        <v>91.402439999999999</v>
      </c>
      <c r="CS3">
        <v>69.347340000000003</v>
      </c>
      <c r="CT3">
        <v>45.258580000000002</v>
      </c>
      <c r="CU3">
        <v>35.084209999999999</v>
      </c>
      <c r="CV3">
        <v>18.69707</v>
      </c>
      <c r="CW3">
        <v>18.533750000000001</v>
      </c>
      <c r="CX3">
        <v>11.517049999999999</v>
      </c>
      <c r="CY3">
        <v>6.9513410000000002</v>
      </c>
      <c r="CZ3">
        <v>7.6680250000000001</v>
      </c>
      <c r="DA3">
        <v>11.288410000000001</v>
      </c>
      <c r="DB3">
        <v>-13.152609999999999</v>
      </c>
      <c r="DC3">
        <v>-1.9872700000000001</v>
      </c>
      <c r="DD3">
        <v>-1.717565</v>
      </c>
      <c r="DE3">
        <v>-3.3327749999999998</v>
      </c>
      <c r="DF3">
        <v>-7.7006649999999999</v>
      </c>
      <c r="DG3">
        <v>-8.1886209999999995</v>
      </c>
      <c r="DH3">
        <v>27.573879999999999</v>
      </c>
      <c r="DI3">
        <v>103.5287</v>
      </c>
      <c r="DJ3">
        <v>108.2544</v>
      </c>
      <c r="DK3">
        <v>103.9502</v>
      </c>
      <c r="DL3">
        <v>109.199</v>
      </c>
      <c r="DM3">
        <v>116.51260000000001</v>
      </c>
      <c r="DN3">
        <v>113.0873</v>
      </c>
      <c r="DO3">
        <v>105.512</v>
      </c>
      <c r="DP3">
        <v>93.468379999999996</v>
      </c>
      <c r="DQ3">
        <v>71.572749999999999</v>
      </c>
      <c r="DR3">
        <v>47.594439999999999</v>
      </c>
      <c r="DS3">
        <v>36.841920000000002</v>
      </c>
      <c r="DT3">
        <v>20.371410000000001</v>
      </c>
      <c r="DU3">
        <v>20.065829999999998</v>
      </c>
      <c r="DV3">
        <v>13.114280000000001</v>
      </c>
      <c r="DW3">
        <v>8.5451969999999999</v>
      </c>
      <c r="DX3">
        <v>8.9544300000000003</v>
      </c>
      <c r="DY3">
        <v>13.038029999999999</v>
      </c>
      <c r="DZ3">
        <v>-11.11168</v>
      </c>
      <c r="EA3">
        <v>-0.17124890000000001</v>
      </c>
      <c r="EB3">
        <v>-8.9894399999999999E-2</v>
      </c>
      <c r="EC3">
        <v>-1.473276</v>
      </c>
      <c r="ED3">
        <v>-5.6772349999999996</v>
      </c>
      <c r="EE3">
        <v>-6.1455640000000002</v>
      </c>
      <c r="EF3">
        <v>29.764050000000001</v>
      </c>
      <c r="EG3">
        <v>106.2367</v>
      </c>
      <c r="EH3">
        <v>111.23390000000001</v>
      </c>
      <c r="EI3">
        <v>107.5463</v>
      </c>
      <c r="EJ3">
        <v>112.21680000000001</v>
      </c>
      <c r="EK3">
        <v>119.2286</v>
      </c>
      <c r="EL3">
        <v>115.6923</v>
      </c>
      <c r="EM3">
        <v>108.5712</v>
      </c>
      <c r="EN3">
        <v>96.451269999999994</v>
      </c>
      <c r="EO3">
        <v>74.785889999999995</v>
      </c>
      <c r="EP3">
        <v>50.96705</v>
      </c>
      <c r="EQ3">
        <v>39.379779999999997</v>
      </c>
      <c r="ER3">
        <v>22.788889999999999</v>
      </c>
      <c r="ES3">
        <v>73.546120000000002</v>
      </c>
      <c r="ET3">
        <v>72.710239999999999</v>
      </c>
      <c r="EU3">
        <v>71.877719999999997</v>
      </c>
      <c r="EV3">
        <v>70.743930000000006</v>
      </c>
      <c r="EW3">
        <v>69.899439999999998</v>
      </c>
      <c r="EX3">
        <v>69.365499999999997</v>
      </c>
      <c r="EY3">
        <v>68.769869999999997</v>
      </c>
      <c r="EZ3">
        <v>69.187920000000005</v>
      </c>
      <c r="FA3">
        <v>71.34854</v>
      </c>
      <c r="FB3">
        <v>74.317570000000003</v>
      </c>
      <c r="FC3">
        <v>77.603070000000002</v>
      </c>
      <c r="FD3">
        <v>80.8489</v>
      </c>
      <c r="FE3">
        <v>84.022199999999998</v>
      </c>
      <c r="FF3">
        <v>86.451930000000004</v>
      </c>
      <c r="FG3">
        <v>87.586190000000002</v>
      </c>
      <c r="FH3">
        <v>87.410160000000005</v>
      </c>
      <c r="FI3">
        <v>87.222660000000005</v>
      </c>
      <c r="FJ3">
        <v>85.383759999999995</v>
      </c>
      <c r="FK3">
        <v>84.088939999999994</v>
      </c>
      <c r="FL3">
        <v>83.885469999999998</v>
      </c>
      <c r="FM3">
        <v>81.590239999999994</v>
      </c>
      <c r="FN3">
        <v>79.117689999999996</v>
      </c>
      <c r="FO3">
        <v>77.839029999999994</v>
      </c>
      <c r="FP3">
        <v>76.633129999999994</v>
      </c>
      <c r="FQ3">
        <v>2.4591780000000001</v>
      </c>
      <c r="FR3">
        <v>1</v>
      </c>
    </row>
    <row r="4" spans="1:174" x14ac:dyDescent="0.2">
      <c r="A4" t="s">
        <v>1</v>
      </c>
      <c r="B4">
        <v>42215</v>
      </c>
      <c r="C4">
        <v>485</v>
      </c>
      <c r="D4" s="65">
        <v>784</v>
      </c>
      <c r="E4">
        <v>574.14390000000003</v>
      </c>
      <c r="F4">
        <v>567.21109999999999</v>
      </c>
      <c r="G4">
        <v>561.03020000000004</v>
      </c>
      <c r="H4">
        <v>562.84699999999998</v>
      </c>
      <c r="I4">
        <v>581.27809999999999</v>
      </c>
      <c r="J4">
        <v>619.12120000000004</v>
      </c>
      <c r="K4">
        <v>668.95659999999998</v>
      </c>
      <c r="L4">
        <v>693.15229999999997</v>
      </c>
      <c r="M4">
        <v>706.6902</v>
      </c>
      <c r="N4">
        <v>719.97810000000004</v>
      </c>
      <c r="O4">
        <v>733.0693</v>
      </c>
      <c r="P4">
        <v>729.51350000000002</v>
      </c>
      <c r="Q4">
        <v>729.57389999999998</v>
      </c>
      <c r="R4">
        <v>731.54349999999999</v>
      </c>
      <c r="S4">
        <v>731.21640000000002</v>
      </c>
      <c r="T4">
        <v>718.41</v>
      </c>
      <c r="U4">
        <v>710.28369999999995</v>
      </c>
      <c r="V4">
        <v>698.87959999999998</v>
      </c>
      <c r="W4">
        <v>674.23580000000004</v>
      </c>
      <c r="X4">
        <v>664.80539999999996</v>
      </c>
      <c r="Y4">
        <v>655.05399999999997</v>
      </c>
      <c r="Z4">
        <v>625.15319999999997</v>
      </c>
      <c r="AA4">
        <v>601.96169999999995</v>
      </c>
      <c r="AB4">
        <v>590.94460000000004</v>
      </c>
      <c r="AC4">
        <v>15.173310000000001</v>
      </c>
      <c r="AD4">
        <v>11.9937</v>
      </c>
      <c r="AE4">
        <v>11.12588</v>
      </c>
      <c r="AF4">
        <v>15.760210000000001</v>
      </c>
      <c r="AG4">
        <v>23.028919999999999</v>
      </c>
      <c r="AH4">
        <v>-5.3531579999999996</v>
      </c>
      <c r="AI4">
        <v>-3.1140859999999999</v>
      </c>
      <c r="AJ4">
        <v>1.0341480000000001</v>
      </c>
      <c r="AK4">
        <v>-0.27769270000000001</v>
      </c>
      <c r="AL4">
        <v>9.5508609999999994</v>
      </c>
      <c r="AM4">
        <v>14.332420000000001</v>
      </c>
      <c r="AN4">
        <v>73.709620000000001</v>
      </c>
      <c r="AO4">
        <v>105.0442</v>
      </c>
      <c r="AP4">
        <v>101.38979999999999</v>
      </c>
      <c r="AQ4">
        <v>94.009219999999999</v>
      </c>
      <c r="AR4">
        <v>94.914940000000001</v>
      </c>
      <c r="AS4">
        <v>91.079790000000003</v>
      </c>
      <c r="AT4">
        <v>85.385220000000004</v>
      </c>
      <c r="AU4">
        <v>84.962100000000007</v>
      </c>
      <c r="AV4">
        <v>86.822100000000006</v>
      </c>
      <c r="AW4">
        <v>65.238460000000003</v>
      </c>
      <c r="AX4">
        <v>42.09301</v>
      </c>
      <c r="AY4">
        <v>32.898940000000003</v>
      </c>
      <c r="AZ4">
        <v>6.1660370000000002</v>
      </c>
      <c r="BA4">
        <v>17.120460000000001</v>
      </c>
      <c r="BB4">
        <v>14.03927</v>
      </c>
      <c r="BC4">
        <v>13.113429999999999</v>
      </c>
      <c r="BD4">
        <v>17.42643</v>
      </c>
      <c r="BE4">
        <v>25.470120000000001</v>
      </c>
      <c r="BF4">
        <v>-2.6069969999999998</v>
      </c>
      <c r="BG4">
        <v>-0.3274051</v>
      </c>
      <c r="BH4">
        <v>3.5693039999999998</v>
      </c>
      <c r="BI4">
        <v>2.1506820000000002</v>
      </c>
      <c r="BJ4">
        <v>11.99072</v>
      </c>
      <c r="BK4">
        <v>16.933900000000001</v>
      </c>
      <c r="BL4">
        <v>76.411739999999995</v>
      </c>
      <c r="BM4">
        <v>108.1854</v>
      </c>
      <c r="BN4">
        <v>104.63509999999999</v>
      </c>
      <c r="BO4">
        <v>97.93141</v>
      </c>
      <c r="BP4">
        <v>98.384479999999996</v>
      </c>
      <c r="BQ4">
        <v>94.365840000000006</v>
      </c>
      <c r="BR4">
        <v>88.699619999999996</v>
      </c>
      <c r="BS4">
        <v>88.493750000000006</v>
      </c>
      <c r="BT4">
        <v>90.164619999999999</v>
      </c>
      <c r="BU4">
        <v>68.765259999999998</v>
      </c>
      <c r="BV4">
        <v>45.934190000000001</v>
      </c>
      <c r="BW4">
        <v>35.838279999999997</v>
      </c>
      <c r="BX4">
        <v>8.7094159999999992</v>
      </c>
      <c r="BY4">
        <v>18.469059999999999</v>
      </c>
      <c r="BZ4">
        <v>15.45603</v>
      </c>
      <c r="CA4">
        <v>14.49</v>
      </c>
      <c r="CB4">
        <v>18.580439999999999</v>
      </c>
      <c r="CC4">
        <v>27.160889999999998</v>
      </c>
      <c r="CD4">
        <v>-0.70501349999999996</v>
      </c>
      <c r="CE4">
        <v>1.602641</v>
      </c>
      <c r="CF4">
        <v>5.3251460000000002</v>
      </c>
      <c r="CG4">
        <v>3.8325670000000001</v>
      </c>
      <c r="CH4">
        <v>13.68055</v>
      </c>
      <c r="CI4">
        <v>18.735679999999999</v>
      </c>
      <c r="CJ4">
        <v>78.28322</v>
      </c>
      <c r="CK4">
        <v>110.3609</v>
      </c>
      <c r="CL4">
        <v>106.88290000000001</v>
      </c>
      <c r="CM4">
        <v>100.64790000000001</v>
      </c>
      <c r="CN4">
        <v>100.78749999999999</v>
      </c>
      <c r="CO4">
        <v>96.641760000000005</v>
      </c>
      <c r="CP4">
        <v>90.995170000000002</v>
      </c>
      <c r="CQ4">
        <v>90.939760000000007</v>
      </c>
      <c r="CR4">
        <v>92.479640000000003</v>
      </c>
      <c r="CS4">
        <v>71.207909999999998</v>
      </c>
      <c r="CT4">
        <v>48.594569999999997</v>
      </c>
      <c r="CU4">
        <v>37.874049999999997</v>
      </c>
      <c r="CV4">
        <v>10.47095</v>
      </c>
      <c r="CW4">
        <v>19.81765</v>
      </c>
      <c r="CX4">
        <v>16.872789999999998</v>
      </c>
      <c r="CY4">
        <v>15.866569999999999</v>
      </c>
      <c r="CZ4">
        <v>19.734459999999999</v>
      </c>
      <c r="DA4">
        <v>28.851659999999999</v>
      </c>
      <c r="DB4">
        <v>1.1969700000000001</v>
      </c>
      <c r="DC4">
        <v>3.5326879999999998</v>
      </c>
      <c r="DD4">
        <v>7.0809879999999996</v>
      </c>
      <c r="DE4">
        <v>5.5144520000000004</v>
      </c>
      <c r="DF4">
        <v>15.37039</v>
      </c>
      <c r="DG4">
        <v>20.53745</v>
      </c>
      <c r="DH4">
        <v>80.154700000000005</v>
      </c>
      <c r="DI4">
        <v>112.5364</v>
      </c>
      <c r="DJ4">
        <v>109.1306</v>
      </c>
      <c r="DK4">
        <v>103.3644</v>
      </c>
      <c r="DL4">
        <v>103.1905</v>
      </c>
      <c r="DM4">
        <v>98.917680000000004</v>
      </c>
      <c r="DN4">
        <v>93.290719999999993</v>
      </c>
      <c r="DO4">
        <v>93.385769999999994</v>
      </c>
      <c r="DP4">
        <v>94.794669999999996</v>
      </c>
      <c r="DQ4">
        <v>73.650559999999999</v>
      </c>
      <c r="DR4">
        <v>51.254959999999997</v>
      </c>
      <c r="DS4">
        <v>39.909820000000003</v>
      </c>
      <c r="DT4">
        <v>12.23249</v>
      </c>
      <c r="DU4">
        <v>21.764800000000001</v>
      </c>
      <c r="DV4">
        <v>18.91836</v>
      </c>
      <c r="DW4">
        <v>17.854120000000002</v>
      </c>
      <c r="DX4">
        <v>21.400680000000001</v>
      </c>
      <c r="DY4">
        <v>31.292860000000001</v>
      </c>
      <c r="DZ4">
        <v>3.9431310000000002</v>
      </c>
      <c r="EA4">
        <v>6.319369</v>
      </c>
      <c r="EB4">
        <v>9.6161449999999995</v>
      </c>
      <c r="EC4">
        <v>7.9428260000000002</v>
      </c>
      <c r="ED4">
        <v>17.81024</v>
      </c>
      <c r="EE4">
        <v>23.138929999999998</v>
      </c>
      <c r="EF4">
        <v>82.856819999999999</v>
      </c>
      <c r="EG4">
        <v>115.6776</v>
      </c>
      <c r="EH4">
        <v>112.3759</v>
      </c>
      <c r="EI4">
        <v>107.28660000000001</v>
      </c>
      <c r="EJ4">
        <v>106.66</v>
      </c>
      <c r="EK4">
        <v>102.2037</v>
      </c>
      <c r="EL4">
        <v>96.605130000000003</v>
      </c>
      <c r="EM4">
        <v>96.917410000000004</v>
      </c>
      <c r="EN4">
        <v>98.137190000000004</v>
      </c>
      <c r="EO4">
        <v>77.177350000000004</v>
      </c>
      <c r="EP4">
        <v>55.096130000000002</v>
      </c>
      <c r="EQ4">
        <v>42.849159999999998</v>
      </c>
      <c r="ER4">
        <v>14.775869999999999</v>
      </c>
      <c r="ES4">
        <v>75.586359999999999</v>
      </c>
      <c r="ET4">
        <v>75.136060000000001</v>
      </c>
      <c r="EU4">
        <v>74.841130000000007</v>
      </c>
      <c r="EV4">
        <v>73.743809999999996</v>
      </c>
      <c r="EW4">
        <v>73.030739999999994</v>
      </c>
      <c r="EX4">
        <v>72.823400000000007</v>
      </c>
      <c r="EY4">
        <v>73.10951</v>
      </c>
      <c r="EZ4">
        <v>73.057360000000003</v>
      </c>
      <c r="FA4">
        <v>74.146190000000004</v>
      </c>
      <c r="FB4">
        <v>75.283280000000005</v>
      </c>
      <c r="FC4">
        <v>78.112350000000006</v>
      </c>
      <c r="FD4">
        <v>80.457840000000004</v>
      </c>
      <c r="FE4">
        <v>83.245720000000006</v>
      </c>
      <c r="FF4">
        <v>85.462680000000006</v>
      </c>
      <c r="FG4">
        <v>86.846069999999997</v>
      </c>
      <c r="FH4">
        <v>87.180850000000007</v>
      </c>
      <c r="FI4">
        <v>86.718130000000002</v>
      </c>
      <c r="FJ4">
        <v>86.808409999999995</v>
      </c>
      <c r="FK4">
        <v>85.730189999999993</v>
      </c>
      <c r="FL4">
        <v>81.568150000000003</v>
      </c>
      <c r="FM4">
        <v>79.916929999999994</v>
      </c>
      <c r="FN4">
        <v>78.666679999999999</v>
      </c>
      <c r="FO4">
        <v>77.473200000000006</v>
      </c>
      <c r="FP4">
        <v>76.180359999999993</v>
      </c>
      <c r="FQ4">
        <v>2.6207669999999998</v>
      </c>
      <c r="FR4">
        <v>1</v>
      </c>
    </row>
    <row r="5" spans="1:174" x14ac:dyDescent="0.2">
      <c r="A5" t="s">
        <v>1</v>
      </c>
      <c r="B5">
        <v>42233</v>
      </c>
      <c r="C5">
        <v>470</v>
      </c>
      <c r="D5" s="65">
        <v>798</v>
      </c>
      <c r="E5">
        <v>522.21770000000004</v>
      </c>
      <c r="F5">
        <v>524.43299999999999</v>
      </c>
      <c r="G5">
        <v>527.13310000000001</v>
      </c>
      <c r="H5">
        <v>539.28679999999997</v>
      </c>
      <c r="I5">
        <v>565.43050000000005</v>
      </c>
      <c r="J5">
        <v>608.75009999999997</v>
      </c>
      <c r="K5">
        <v>657.72720000000004</v>
      </c>
      <c r="L5">
        <v>678.029</v>
      </c>
      <c r="M5">
        <v>701.24829999999997</v>
      </c>
      <c r="N5">
        <v>727.53279999999995</v>
      </c>
      <c r="O5">
        <v>748.05899999999997</v>
      </c>
      <c r="P5">
        <v>734.77800000000002</v>
      </c>
      <c r="Q5">
        <v>726.82510000000002</v>
      </c>
      <c r="R5">
        <v>726.21019999999999</v>
      </c>
      <c r="S5">
        <v>725.27610000000004</v>
      </c>
      <c r="T5">
        <v>713.8999</v>
      </c>
      <c r="U5">
        <v>700.69880000000001</v>
      </c>
      <c r="V5">
        <v>677.41150000000005</v>
      </c>
      <c r="W5">
        <v>658.92629999999997</v>
      </c>
      <c r="X5">
        <v>650.61249999999995</v>
      </c>
      <c r="Y5">
        <v>633.92650000000003</v>
      </c>
      <c r="Z5">
        <v>615.61609999999996</v>
      </c>
      <c r="AA5">
        <v>595.00310000000002</v>
      </c>
      <c r="AB5">
        <v>577.47119999999995</v>
      </c>
      <c r="AC5">
        <v>-5.8683399999999999</v>
      </c>
      <c r="AD5">
        <v>-6.4116330000000001</v>
      </c>
      <c r="AE5">
        <v>-7.663856</v>
      </c>
      <c r="AF5">
        <v>2.0714610000000002</v>
      </c>
      <c r="AG5">
        <v>2.8110590000000002</v>
      </c>
      <c r="AH5">
        <v>-22.872</v>
      </c>
      <c r="AI5">
        <v>-9.4895709999999998</v>
      </c>
      <c r="AJ5">
        <v>-1.0081260000000001</v>
      </c>
      <c r="AK5">
        <v>-7.6350090000000002</v>
      </c>
      <c r="AL5">
        <v>5.8283149999999999</v>
      </c>
      <c r="AM5">
        <v>18.644819999999999</v>
      </c>
      <c r="AN5">
        <v>55.855890000000002</v>
      </c>
      <c r="AO5">
        <v>103.75790000000001</v>
      </c>
      <c r="AP5">
        <v>95.084950000000006</v>
      </c>
      <c r="AQ5">
        <v>90.892570000000006</v>
      </c>
      <c r="AR5">
        <v>91.606669999999994</v>
      </c>
      <c r="AS5">
        <v>96.412840000000003</v>
      </c>
      <c r="AT5">
        <v>85.914709999999999</v>
      </c>
      <c r="AU5">
        <v>82.617609999999999</v>
      </c>
      <c r="AV5">
        <v>76.721599999999995</v>
      </c>
      <c r="AW5">
        <v>48.886319999999998</v>
      </c>
      <c r="AX5">
        <v>34.824199999999998</v>
      </c>
      <c r="AY5">
        <v>29.697559999999999</v>
      </c>
      <c r="AZ5">
        <v>11.32212</v>
      </c>
      <c r="BA5">
        <v>-2.5769630000000001</v>
      </c>
      <c r="BB5">
        <v>-2.7036769999999999</v>
      </c>
      <c r="BC5">
        <v>-4.2008390000000002</v>
      </c>
      <c r="BD5">
        <v>4.6352380000000002</v>
      </c>
      <c r="BE5">
        <v>7.304297</v>
      </c>
      <c r="BF5">
        <v>-19.186869999999999</v>
      </c>
      <c r="BG5">
        <v>-6.4376490000000004</v>
      </c>
      <c r="BH5">
        <v>2.2029540000000001</v>
      </c>
      <c r="BI5">
        <v>-3.6784129999999999</v>
      </c>
      <c r="BJ5">
        <v>9.4839420000000008</v>
      </c>
      <c r="BK5">
        <v>22.33663</v>
      </c>
      <c r="BL5">
        <v>60.160670000000003</v>
      </c>
      <c r="BM5">
        <v>108.8233</v>
      </c>
      <c r="BN5">
        <v>100.96680000000001</v>
      </c>
      <c r="BO5">
        <v>96.909899999999993</v>
      </c>
      <c r="BP5">
        <v>97.116849999999999</v>
      </c>
      <c r="BQ5">
        <v>102.00790000000001</v>
      </c>
      <c r="BR5">
        <v>91.771060000000006</v>
      </c>
      <c r="BS5">
        <v>89.507689999999997</v>
      </c>
      <c r="BT5">
        <v>82.857280000000003</v>
      </c>
      <c r="BU5">
        <v>55.330939999999998</v>
      </c>
      <c r="BV5">
        <v>40.8947</v>
      </c>
      <c r="BW5">
        <v>34.375830000000001</v>
      </c>
      <c r="BX5">
        <v>15.84282</v>
      </c>
      <c r="BY5">
        <v>-0.29736560000000001</v>
      </c>
      <c r="BZ5">
        <v>-0.1355577</v>
      </c>
      <c r="CA5">
        <v>-1.8023629999999999</v>
      </c>
      <c r="CB5">
        <v>6.4109020000000001</v>
      </c>
      <c r="CC5">
        <v>10.4163</v>
      </c>
      <c r="CD5">
        <v>-16.634550000000001</v>
      </c>
      <c r="CE5">
        <v>-4.3238969999999997</v>
      </c>
      <c r="CF5">
        <v>4.4269379999999998</v>
      </c>
      <c r="CG5">
        <v>-0.93808619999999998</v>
      </c>
      <c r="CH5">
        <v>12.01582</v>
      </c>
      <c r="CI5">
        <v>24.893560000000001</v>
      </c>
      <c r="CJ5">
        <v>63.142139999999998</v>
      </c>
      <c r="CK5">
        <v>112.33159999999999</v>
      </c>
      <c r="CL5">
        <v>105.04049999999999</v>
      </c>
      <c r="CM5">
        <v>101.0775</v>
      </c>
      <c r="CN5">
        <v>100.9332</v>
      </c>
      <c r="CO5">
        <v>105.8831</v>
      </c>
      <c r="CP5">
        <v>95.827160000000006</v>
      </c>
      <c r="CQ5">
        <v>94.279740000000004</v>
      </c>
      <c r="CR5">
        <v>87.106849999999994</v>
      </c>
      <c r="CS5">
        <v>59.794469999999997</v>
      </c>
      <c r="CT5">
        <v>45.099110000000003</v>
      </c>
      <c r="CU5">
        <v>37.615989999999996</v>
      </c>
      <c r="CV5">
        <v>18.973839999999999</v>
      </c>
      <c r="CW5">
        <v>1.982232</v>
      </c>
      <c r="CX5">
        <v>2.4325619999999999</v>
      </c>
      <c r="CY5">
        <v>0.59611170000000002</v>
      </c>
      <c r="CZ5">
        <v>8.1865649999999999</v>
      </c>
      <c r="DA5">
        <v>13.5283</v>
      </c>
      <c r="DB5">
        <v>-14.082240000000001</v>
      </c>
      <c r="DC5">
        <v>-2.2101459999999999</v>
      </c>
      <c r="DD5">
        <v>6.6509219999999996</v>
      </c>
      <c r="DE5">
        <v>1.8022400000000001</v>
      </c>
      <c r="DF5">
        <v>14.547689999999999</v>
      </c>
      <c r="DG5">
        <v>27.450500000000002</v>
      </c>
      <c r="DH5">
        <v>66.123620000000003</v>
      </c>
      <c r="DI5">
        <v>115.8398</v>
      </c>
      <c r="DJ5">
        <v>109.1143</v>
      </c>
      <c r="DK5">
        <v>105.24509999999999</v>
      </c>
      <c r="DL5">
        <v>104.7495</v>
      </c>
      <c r="DM5">
        <v>109.7582</v>
      </c>
      <c r="DN5">
        <v>99.883260000000007</v>
      </c>
      <c r="DO5">
        <v>99.051789999999997</v>
      </c>
      <c r="DP5">
        <v>91.356409999999997</v>
      </c>
      <c r="DQ5">
        <v>64.257999999999996</v>
      </c>
      <c r="DR5">
        <v>49.303519999999999</v>
      </c>
      <c r="DS5">
        <v>40.85615</v>
      </c>
      <c r="DT5">
        <v>22.104859999999999</v>
      </c>
      <c r="DU5">
        <v>5.2736099999999997</v>
      </c>
      <c r="DV5">
        <v>6.1405180000000001</v>
      </c>
      <c r="DW5">
        <v>4.0591290000000004</v>
      </c>
      <c r="DX5">
        <v>10.75034</v>
      </c>
      <c r="DY5">
        <v>18.021540000000002</v>
      </c>
      <c r="DZ5">
        <v>-10.39711</v>
      </c>
      <c r="EA5">
        <v>0.84177570000000002</v>
      </c>
      <c r="EB5">
        <v>9.8620020000000004</v>
      </c>
      <c r="EC5">
        <v>5.7588369999999998</v>
      </c>
      <c r="ED5">
        <v>18.203320000000001</v>
      </c>
      <c r="EE5">
        <v>31.142309999999998</v>
      </c>
      <c r="EF5">
        <v>70.428389999999993</v>
      </c>
      <c r="EG5">
        <v>120.90519999999999</v>
      </c>
      <c r="EH5">
        <v>114.9961</v>
      </c>
      <c r="EI5">
        <v>111.2624</v>
      </c>
      <c r="EJ5">
        <v>110.2597</v>
      </c>
      <c r="EK5">
        <v>115.3533</v>
      </c>
      <c r="EL5">
        <v>105.7396</v>
      </c>
      <c r="EM5">
        <v>105.9419</v>
      </c>
      <c r="EN5">
        <v>97.492099999999994</v>
      </c>
      <c r="EO5">
        <v>70.702610000000007</v>
      </c>
      <c r="EP5">
        <v>55.374020000000002</v>
      </c>
      <c r="EQ5">
        <v>45.534419999999997</v>
      </c>
      <c r="ER5">
        <v>26.62556</v>
      </c>
      <c r="ES5">
        <v>79.491200000000006</v>
      </c>
      <c r="ET5">
        <v>78.133750000000006</v>
      </c>
      <c r="EU5">
        <v>77.150499999999994</v>
      </c>
      <c r="EV5">
        <v>75.906720000000007</v>
      </c>
      <c r="EW5">
        <v>74.789860000000004</v>
      </c>
      <c r="EX5">
        <v>74.313450000000003</v>
      </c>
      <c r="EY5">
        <v>73.885729999999995</v>
      </c>
      <c r="EZ5">
        <v>73.903300000000002</v>
      </c>
      <c r="FA5">
        <v>76.462779999999995</v>
      </c>
      <c r="FB5">
        <v>80.416979999999995</v>
      </c>
      <c r="FC5">
        <v>84.128469999999993</v>
      </c>
      <c r="FD5">
        <v>85.875910000000005</v>
      </c>
      <c r="FE5">
        <v>87.272300000000001</v>
      </c>
      <c r="FF5">
        <v>88.024730000000005</v>
      </c>
      <c r="FG5">
        <v>88.424580000000006</v>
      </c>
      <c r="FH5">
        <v>88.386359999999996</v>
      </c>
      <c r="FI5">
        <v>88.310339999999997</v>
      </c>
      <c r="FJ5">
        <v>87.522559999999999</v>
      </c>
      <c r="FK5">
        <v>86.717349999999996</v>
      </c>
      <c r="FL5">
        <v>84.651899999999998</v>
      </c>
      <c r="FM5">
        <v>81.41628</v>
      </c>
      <c r="FN5">
        <v>78.87594</v>
      </c>
      <c r="FO5">
        <v>77.31335</v>
      </c>
      <c r="FP5">
        <v>75.838719999999995</v>
      </c>
      <c r="FQ5">
        <v>3.2631239999999999</v>
      </c>
      <c r="FR5">
        <v>1</v>
      </c>
    </row>
    <row r="6" spans="1:174" x14ac:dyDescent="0.2">
      <c r="A6" t="s">
        <v>1</v>
      </c>
      <c r="B6">
        <v>42242</v>
      </c>
      <c r="C6">
        <v>502</v>
      </c>
      <c r="D6" s="65">
        <v>797</v>
      </c>
      <c r="E6">
        <v>580.90610000000004</v>
      </c>
      <c r="F6">
        <v>577.25710000000004</v>
      </c>
      <c r="G6">
        <v>573.95500000000004</v>
      </c>
      <c r="H6">
        <v>577.21420000000001</v>
      </c>
      <c r="I6">
        <v>597.99609999999996</v>
      </c>
      <c r="J6">
        <v>639.99929999999995</v>
      </c>
      <c r="K6">
        <v>689.58249999999998</v>
      </c>
      <c r="L6">
        <v>712.85770000000002</v>
      </c>
      <c r="M6">
        <v>729.25440000000003</v>
      </c>
      <c r="N6">
        <v>742.86850000000004</v>
      </c>
      <c r="O6">
        <v>756.73159999999996</v>
      </c>
      <c r="P6">
        <v>754.51080000000002</v>
      </c>
      <c r="Q6">
        <v>748.05769999999995</v>
      </c>
      <c r="R6">
        <v>746.46929999999998</v>
      </c>
      <c r="S6">
        <v>745.40660000000003</v>
      </c>
      <c r="T6">
        <v>730.48270000000002</v>
      </c>
      <c r="U6">
        <v>718.65300000000002</v>
      </c>
      <c r="V6">
        <v>700.41210000000001</v>
      </c>
      <c r="W6">
        <v>675.84979999999996</v>
      </c>
      <c r="X6">
        <v>670.78579999999999</v>
      </c>
      <c r="Y6">
        <v>654.29660000000001</v>
      </c>
      <c r="Z6">
        <v>625.11220000000003</v>
      </c>
      <c r="AA6">
        <v>599.01179999999999</v>
      </c>
      <c r="AB6">
        <v>586.68020000000001</v>
      </c>
      <c r="AC6">
        <v>0.87343669999999995</v>
      </c>
      <c r="AD6">
        <v>3.6480739999999998</v>
      </c>
      <c r="AE6">
        <v>3.8345539999999998</v>
      </c>
      <c r="AF6">
        <v>5.2525339999999998</v>
      </c>
      <c r="AG6">
        <v>-2.6675040000000001</v>
      </c>
      <c r="AH6">
        <v>-21.75404</v>
      </c>
      <c r="AI6">
        <v>-9.1865000000000006</v>
      </c>
      <c r="AJ6">
        <v>0.89931519999999998</v>
      </c>
      <c r="AK6">
        <v>-8.3383979999999998</v>
      </c>
      <c r="AL6">
        <v>-0.38028260000000003</v>
      </c>
      <c r="AM6">
        <v>3.131929</v>
      </c>
      <c r="AN6">
        <v>51.428690000000003</v>
      </c>
      <c r="AO6">
        <v>107.0196</v>
      </c>
      <c r="AP6">
        <v>108.89919999999999</v>
      </c>
      <c r="AQ6">
        <v>117.5067</v>
      </c>
      <c r="AR6">
        <v>117.0381</v>
      </c>
      <c r="AS6">
        <v>105.62439999999999</v>
      </c>
      <c r="AT6">
        <v>103.8959</v>
      </c>
      <c r="AU6">
        <v>108.30240000000001</v>
      </c>
      <c r="AV6">
        <v>102.2343</v>
      </c>
      <c r="AW6">
        <v>32.279769999999999</v>
      </c>
      <c r="AX6">
        <v>33.163600000000002</v>
      </c>
      <c r="AY6">
        <v>17.18309</v>
      </c>
      <c r="AZ6">
        <v>44.651969999999999</v>
      </c>
      <c r="BA6">
        <v>3.0697580000000002</v>
      </c>
      <c r="BB6">
        <v>5.7374919999999996</v>
      </c>
      <c r="BC6">
        <v>5.9111269999999996</v>
      </c>
      <c r="BD6">
        <v>7.1296220000000003</v>
      </c>
      <c r="BE6">
        <v>3.85051E-2</v>
      </c>
      <c r="BF6">
        <v>-18.824950000000001</v>
      </c>
      <c r="BG6">
        <v>-6.5512870000000003</v>
      </c>
      <c r="BH6">
        <v>3.0780729999999998</v>
      </c>
      <c r="BI6">
        <v>-6.1825359999999998</v>
      </c>
      <c r="BJ6">
        <v>1.9338519999999999</v>
      </c>
      <c r="BK6">
        <v>5.5855509999999997</v>
      </c>
      <c r="BL6">
        <v>54.074629999999999</v>
      </c>
      <c r="BM6">
        <v>109.9734</v>
      </c>
      <c r="BN6">
        <v>111.8374</v>
      </c>
      <c r="BO6">
        <v>120.84059999999999</v>
      </c>
      <c r="BP6">
        <v>120.0694</v>
      </c>
      <c r="BQ6">
        <v>108.5802</v>
      </c>
      <c r="BR6">
        <v>106.93219999999999</v>
      </c>
      <c r="BS6">
        <v>111.5883</v>
      </c>
      <c r="BT6">
        <v>105.51649999999999</v>
      </c>
      <c r="BU6">
        <v>35.5899</v>
      </c>
      <c r="BV6">
        <v>36.674259999999997</v>
      </c>
      <c r="BW6">
        <v>19.806819999999998</v>
      </c>
      <c r="BX6">
        <v>47.051670000000001</v>
      </c>
      <c r="BY6">
        <v>4.5909240000000002</v>
      </c>
      <c r="BZ6">
        <v>7.1846160000000001</v>
      </c>
      <c r="CA6">
        <v>7.3493539999999999</v>
      </c>
      <c r="CB6">
        <v>8.4296880000000005</v>
      </c>
      <c r="CC6">
        <v>1.912679</v>
      </c>
      <c r="CD6">
        <v>-16.79627</v>
      </c>
      <c r="CE6">
        <v>-4.726146</v>
      </c>
      <c r="CF6">
        <v>4.5870740000000003</v>
      </c>
      <c r="CG6">
        <v>-4.6893929999999999</v>
      </c>
      <c r="CH6">
        <v>3.5366149999999998</v>
      </c>
      <c r="CI6">
        <v>7.2849209999999998</v>
      </c>
      <c r="CJ6">
        <v>55.907209999999999</v>
      </c>
      <c r="CK6">
        <v>112.0192</v>
      </c>
      <c r="CL6">
        <v>113.8723</v>
      </c>
      <c r="CM6">
        <v>123.14960000000001</v>
      </c>
      <c r="CN6">
        <v>122.16889999999999</v>
      </c>
      <c r="CO6">
        <v>110.62730000000001</v>
      </c>
      <c r="CP6">
        <v>109.0352</v>
      </c>
      <c r="CQ6">
        <v>113.86409999999999</v>
      </c>
      <c r="CR6">
        <v>107.7897</v>
      </c>
      <c r="CS6">
        <v>37.882489999999997</v>
      </c>
      <c r="CT6">
        <v>39.105730000000001</v>
      </c>
      <c r="CU6">
        <v>21.624009999999998</v>
      </c>
      <c r="CV6">
        <v>48.713700000000003</v>
      </c>
      <c r="CW6">
        <v>6.1120900000000002</v>
      </c>
      <c r="CX6">
        <v>8.6317409999999999</v>
      </c>
      <c r="CY6">
        <v>8.7875820000000004</v>
      </c>
      <c r="CZ6">
        <v>9.7297539999999998</v>
      </c>
      <c r="DA6">
        <v>3.7868529999999998</v>
      </c>
      <c r="DB6">
        <v>-14.7676</v>
      </c>
      <c r="DC6">
        <v>-2.9010060000000002</v>
      </c>
      <c r="DD6">
        <v>6.0960760000000001</v>
      </c>
      <c r="DE6">
        <v>-3.1962489999999999</v>
      </c>
      <c r="DF6">
        <v>5.1393769999999996</v>
      </c>
      <c r="DG6">
        <v>8.9842919999999999</v>
      </c>
      <c r="DH6">
        <v>57.739780000000003</v>
      </c>
      <c r="DI6">
        <v>114.065</v>
      </c>
      <c r="DJ6">
        <v>115.9072</v>
      </c>
      <c r="DK6">
        <v>125.4586</v>
      </c>
      <c r="DL6">
        <v>124.2683</v>
      </c>
      <c r="DM6">
        <v>112.67440000000001</v>
      </c>
      <c r="DN6">
        <v>111.13809999999999</v>
      </c>
      <c r="DO6">
        <v>116.1399</v>
      </c>
      <c r="DP6">
        <v>110.0629</v>
      </c>
      <c r="DQ6">
        <v>40.175069999999998</v>
      </c>
      <c r="DR6">
        <v>41.537199999999999</v>
      </c>
      <c r="DS6">
        <v>23.441189999999999</v>
      </c>
      <c r="DT6">
        <v>50.375720000000001</v>
      </c>
      <c r="DU6">
        <v>8.3084120000000006</v>
      </c>
      <c r="DV6">
        <v>10.721159999999999</v>
      </c>
      <c r="DW6">
        <v>10.86415</v>
      </c>
      <c r="DX6">
        <v>11.60684</v>
      </c>
      <c r="DY6">
        <v>6.4928619999999997</v>
      </c>
      <c r="DZ6">
        <v>-11.838509999999999</v>
      </c>
      <c r="EA6">
        <v>-0.26579249999999999</v>
      </c>
      <c r="EB6">
        <v>8.2748340000000002</v>
      </c>
      <c r="EC6">
        <v>-1.040387</v>
      </c>
      <c r="ED6">
        <v>7.4535119999999999</v>
      </c>
      <c r="EE6">
        <v>11.43791</v>
      </c>
      <c r="EF6">
        <v>60.385719999999999</v>
      </c>
      <c r="EG6">
        <v>117.0189</v>
      </c>
      <c r="EH6">
        <v>118.8454</v>
      </c>
      <c r="EI6">
        <v>128.79249999999999</v>
      </c>
      <c r="EJ6">
        <v>127.2996</v>
      </c>
      <c r="EK6">
        <v>115.6301</v>
      </c>
      <c r="EL6">
        <v>114.17449999999999</v>
      </c>
      <c r="EM6">
        <v>119.4258</v>
      </c>
      <c r="EN6">
        <v>113.3451</v>
      </c>
      <c r="EO6">
        <v>43.485199999999999</v>
      </c>
      <c r="EP6">
        <v>45.047849999999997</v>
      </c>
      <c r="EQ6">
        <v>26.064920000000001</v>
      </c>
      <c r="ER6">
        <v>52.775419999999997</v>
      </c>
      <c r="ES6">
        <v>78.692149999999998</v>
      </c>
      <c r="ET6">
        <v>77.791089999999997</v>
      </c>
      <c r="EU6">
        <v>77.204710000000006</v>
      </c>
      <c r="EV6">
        <v>76.655360000000002</v>
      </c>
      <c r="EW6">
        <v>75.826949999999997</v>
      </c>
      <c r="EX6">
        <v>75.03886</v>
      </c>
      <c r="EY6">
        <v>74.688000000000002</v>
      </c>
      <c r="EZ6">
        <v>74.462180000000004</v>
      </c>
      <c r="FA6">
        <v>75.171869999999998</v>
      </c>
      <c r="FB6">
        <v>77.960390000000004</v>
      </c>
      <c r="FC6">
        <v>81.371480000000005</v>
      </c>
      <c r="FD6">
        <v>84.701130000000006</v>
      </c>
      <c r="FE6">
        <v>87.430250000000001</v>
      </c>
      <c r="FF6">
        <v>89.188299999999998</v>
      </c>
      <c r="FG6">
        <v>90.902439999999999</v>
      </c>
      <c r="FH6">
        <v>91.810609999999997</v>
      </c>
      <c r="FI6">
        <v>92.049549999999996</v>
      </c>
      <c r="FJ6">
        <v>91.74006</v>
      </c>
      <c r="FK6">
        <v>91.204279999999997</v>
      </c>
      <c r="FL6">
        <v>88.826549999999997</v>
      </c>
      <c r="FM6">
        <v>85.465739999999997</v>
      </c>
      <c r="FN6">
        <v>82.49512</v>
      </c>
      <c r="FO6">
        <v>80.933850000000007</v>
      </c>
      <c r="FP6">
        <v>79.304360000000003</v>
      </c>
      <c r="FQ6">
        <v>2.338981</v>
      </c>
      <c r="FR6">
        <v>1</v>
      </c>
    </row>
    <row r="7" spans="1:174" x14ac:dyDescent="0.2">
      <c r="A7" t="s">
        <v>1</v>
      </c>
      <c r="B7">
        <v>42243</v>
      </c>
      <c r="C7">
        <v>489</v>
      </c>
      <c r="D7" s="65">
        <v>797</v>
      </c>
      <c r="E7">
        <v>578.09749999999997</v>
      </c>
      <c r="F7">
        <v>573.06240000000003</v>
      </c>
      <c r="G7">
        <v>568.84429999999998</v>
      </c>
      <c r="H7">
        <v>572.1096</v>
      </c>
      <c r="I7">
        <v>592.56510000000003</v>
      </c>
      <c r="J7">
        <v>634.33090000000004</v>
      </c>
      <c r="K7">
        <v>682.57270000000005</v>
      </c>
      <c r="L7">
        <v>705.04100000000005</v>
      </c>
      <c r="M7">
        <v>723.56330000000003</v>
      </c>
      <c r="N7">
        <v>743.33500000000004</v>
      </c>
      <c r="O7">
        <v>761.32370000000003</v>
      </c>
      <c r="P7">
        <v>754.51229999999998</v>
      </c>
      <c r="Q7">
        <v>745.72659999999996</v>
      </c>
      <c r="R7">
        <v>746.40260000000001</v>
      </c>
      <c r="S7">
        <v>747.14490000000001</v>
      </c>
      <c r="T7">
        <v>730.09270000000004</v>
      </c>
      <c r="U7">
        <v>718.79819999999995</v>
      </c>
      <c r="V7">
        <v>702.19579999999996</v>
      </c>
      <c r="W7">
        <v>675.29679999999996</v>
      </c>
      <c r="X7">
        <v>673.30020000000002</v>
      </c>
      <c r="Y7">
        <v>654.95320000000004</v>
      </c>
      <c r="Z7">
        <v>631.42409999999995</v>
      </c>
      <c r="AA7">
        <v>602.31209999999999</v>
      </c>
      <c r="AB7">
        <v>586.26919999999996</v>
      </c>
      <c r="AC7">
        <v>45.348709999999997</v>
      </c>
      <c r="AD7">
        <v>54.177050000000001</v>
      </c>
      <c r="AE7">
        <v>45.594920000000002</v>
      </c>
      <c r="AF7">
        <v>43.769869999999997</v>
      </c>
      <c r="AG7">
        <v>45.328479999999999</v>
      </c>
      <c r="AH7">
        <v>17.935590000000001</v>
      </c>
      <c r="AI7">
        <v>26.06298</v>
      </c>
      <c r="AJ7">
        <v>27.65354</v>
      </c>
      <c r="AK7">
        <v>24.392330000000001</v>
      </c>
      <c r="AL7">
        <v>32.423740000000002</v>
      </c>
      <c r="AM7">
        <v>36.790129999999998</v>
      </c>
      <c r="AN7">
        <v>49.566809999999997</v>
      </c>
      <c r="AO7">
        <v>87.022229999999993</v>
      </c>
      <c r="AP7">
        <v>91.118650000000002</v>
      </c>
      <c r="AQ7">
        <v>90.234530000000007</v>
      </c>
      <c r="AR7">
        <v>89.250820000000004</v>
      </c>
      <c r="AS7">
        <v>93.032219999999995</v>
      </c>
      <c r="AT7">
        <v>95.830479999999994</v>
      </c>
      <c r="AU7">
        <v>86.768979999999999</v>
      </c>
      <c r="AV7">
        <v>79.113780000000006</v>
      </c>
      <c r="AW7">
        <v>4.8815720000000002</v>
      </c>
      <c r="AX7">
        <v>-10.057119999999999</v>
      </c>
      <c r="AY7">
        <v>-5.9795299999999996</v>
      </c>
      <c r="AZ7">
        <v>-4.9952439999999996</v>
      </c>
      <c r="BA7">
        <v>47.848059999999997</v>
      </c>
      <c r="BB7">
        <v>57.09357</v>
      </c>
      <c r="BC7">
        <v>48.659419999999997</v>
      </c>
      <c r="BD7">
        <v>46.338859999999997</v>
      </c>
      <c r="BE7">
        <v>48.5655</v>
      </c>
      <c r="BF7">
        <v>21.064720000000001</v>
      </c>
      <c r="BG7">
        <v>28.92746</v>
      </c>
      <c r="BH7">
        <v>30.19097</v>
      </c>
      <c r="BI7">
        <v>27.190439999999999</v>
      </c>
      <c r="BJ7">
        <v>35.298609999999996</v>
      </c>
      <c r="BK7">
        <v>39.996789999999997</v>
      </c>
      <c r="BL7">
        <v>53.078960000000002</v>
      </c>
      <c r="BM7">
        <v>90.962599999999995</v>
      </c>
      <c r="BN7">
        <v>95.436490000000006</v>
      </c>
      <c r="BO7">
        <v>94.99288</v>
      </c>
      <c r="BP7">
        <v>93.64434</v>
      </c>
      <c r="BQ7">
        <v>97.450469999999996</v>
      </c>
      <c r="BR7">
        <v>100.4892</v>
      </c>
      <c r="BS7">
        <v>91.81129</v>
      </c>
      <c r="BT7">
        <v>84.166979999999995</v>
      </c>
      <c r="BU7">
        <v>9.8478150000000007</v>
      </c>
      <c r="BV7">
        <v>-5.0737389999999998</v>
      </c>
      <c r="BW7">
        <v>-1.8398920000000001</v>
      </c>
      <c r="BX7">
        <v>-0.96094029999999997</v>
      </c>
      <c r="BY7">
        <v>49.57911</v>
      </c>
      <c r="BZ7">
        <v>59.11354</v>
      </c>
      <c r="CA7">
        <v>50.781880000000001</v>
      </c>
      <c r="CB7">
        <v>48.118130000000001</v>
      </c>
      <c r="CC7">
        <v>50.807450000000003</v>
      </c>
      <c r="CD7">
        <v>23.231950000000001</v>
      </c>
      <c r="CE7">
        <v>30.911390000000001</v>
      </c>
      <c r="CF7">
        <v>31.94838</v>
      </c>
      <c r="CG7">
        <v>29.128409999999999</v>
      </c>
      <c r="CH7">
        <v>37.289740000000002</v>
      </c>
      <c r="CI7">
        <v>42.217709999999997</v>
      </c>
      <c r="CJ7">
        <v>55.51146</v>
      </c>
      <c r="CK7">
        <v>93.691689999999994</v>
      </c>
      <c r="CL7">
        <v>98.427009999999996</v>
      </c>
      <c r="CM7">
        <v>98.288499999999999</v>
      </c>
      <c r="CN7">
        <v>96.687290000000004</v>
      </c>
      <c r="CO7">
        <v>100.51049999999999</v>
      </c>
      <c r="CP7">
        <v>103.7157</v>
      </c>
      <c r="CQ7">
        <v>95.303579999999997</v>
      </c>
      <c r="CR7">
        <v>87.666809999999998</v>
      </c>
      <c r="CS7">
        <v>13.287419999999999</v>
      </c>
      <c r="CT7">
        <v>-1.6222620000000001</v>
      </c>
      <c r="CU7">
        <v>1.02721</v>
      </c>
      <c r="CV7">
        <v>1.8332059999999999</v>
      </c>
      <c r="CW7">
        <v>51.310160000000003</v>
      </c>
      <c r="CX7">
        <v>61.133510000000001</v>
      </c>
      <c r="CY7">
        <v>52.904339999999998</v>
      </c>
      <c r="CZ7">
        <v>49.897399999999998</v>
      </c>
      <c r="DA7">
        <v>53.049399999999999</v>
      </c>
      <c r="DB7">
        <v>25.399180000000001</v>
      </c>
      <c r="DC7">
        <v>32.895319999999998</v>
      </c>
      <c r="DD7">
        <v>33.705800000000004</v>
      </c>
      <c r="DE7">
        <v>31.066379999999999</v>
      </c>
      <c r="DF7">
        <v>39.28087</v>
      </c>
      <c r="DG7">
        <v>44.438639999999999</v>
      </c>
      <c r="DH7">
        <v>57.94397</v>
      </c>
      <c r="DI7">
        <v>96.420779999999993</v>
      </c>
      <c r="DJ7">
        <v>101.4175</v>
      </c>
      <c r="DK7">
        <v>101.58410000000001</v>
      </c>
      <c r="DL7">
        <v>99.730230000000006</v>
      </c>
      <c r="DM7">
        <v>103.5706</v>
      </c>
      <c r="DN7">
        <v>106.9423</v>
      </c>
      <c r="DO7">
        <v>98.795869999999994</v>
      </c>
      <c r="DP7">
        <v>91.166640000000001</v>
      </c>
      <c r="DQ7">
        <v>16.72702</v>
      </c>
      <c r="DR7">
        <v>1.829215</v>
      </c>
      <c r="DS7">
        <v>3.8943110000000001</v>
      </c>
      <c r="DT7">
        <v>4.6273520000000001</v>
      </c>
      <c r="DU7">
        <v>53.809510000000003</v>
      </c>
      <c r="DV7">
        <v>64.050030000000007</v>
      </c>
      <c r="DW7">
        <v>55.96884</v>
      </c>
      <c r="DX7">
        <v>52.466389999999997</v>
      </c>
      <c r="DY7">
        <v>56.28642</v>
      </c>
      <c r="DZ7">
        <v>28.528320000000001</v>
      </c>
      <c r="EA7">
        <v>35.759799999999998</v>
      </c>
      <c r="EB7">
        <v>36.243220000000001</v>
      </c>
      <c r="EC7">
        <v>33.864490000000004</v>
      </c>
      <c r="ED7">
        <v>42.155740000000002</v>
      </c>
      <c r="EE7">
        <v>47.645290000000003</v>
      </c>
      <c r="EF7">
        <v>61.456119999999999</v>
      </c>
      <c r="EG7">
        <v>100.36109999999999</v>
      </c>
      <c r="EH7">
        <v>105.7354</v>
      </c>
      <c r="EI7">
        <v>106.3425</v>
      </c>
      <c r="EJ7">
        <v>104.1238</v>
      </c>
      <c r="EK7">
        <v>107.9889</v>
      </c>
      <c r="EL7">
        <v>111.601</v>
      </c>
      <c r="EM7">
        <v>103.8382</v>
      </c>
      <c r="EN7">
        <v>96.219840000000005</v>
      </c>
      <c r="EO7">
        <v>21.693269999999998</v>
      </c>
      <c r="EP7">
        <v>6.8125989999999996</v>
      </c>
      <c r="EQ7">
        <v>8.0339489999999998</v>
      </c>
      <c r="ER7">
        <v>8.6616540000000004</v>
      </c>
      <c r="ES7">
        <v>78.337440000000001</v>
      </c>
      <c r="ET7">
        <v>77.312920000000005</v>
      </c>
      <c r="EU7">
        <v>76.205699999999993</v>
      </c>
      <c r="EV7">
        <v>75.365160000000003</v>
      </c>
      <c r="EW7">
        <v>74.527919999999995</v>
      </c>
      <c r="EX7">
        <v>74.079890000000006</v>
      </c>
      <c r="EY7">
        <v>72.68768</v>
      </c>
      <c r="EZ7">
        <v>72.576740000000001</v>
      </c>
      <c r="FA7">
        <v>75.255920000000003</v>
      </c>
      <c r="FB7">
        <v>79.552750000000003</v>
      </c>
      <c r="FC7">
        <v>83.629549999999995</v>
      </c>
      <c r="FD7">
        <v>86.790400000000005</v>
      </c>
      <c r="FE7">
        <v>88.759280000000004</v>
      </c>
      <c r="FF7">
        <v>90.784310000000005</v>
      </c>
      <c r="FG7">
        <v>92.326480000000004</v>
      </c>
      <c r="FH7">
        <v>93.167919999999995</v>
      </c>
      <c r="FI7">
        <v>93.764139999999998</v>
      </c>
      <c r="FJ7">
        <v>93.488029999999995</v>
      </c>
      <c r="FK7">
        <v>92.622720000000001</v>
      </c>
      <c r="FL7">
        <v>90.112279999999998</v>
      </c>
      <c r="FM7">
        <v>86.857039999999998</v>
      </c>
      <c r="FN7">
        <v>84.173990000000003</v>
      </c>
      <c r="FO7">
        <v>82.369960000000006</v>
      </c>
      <c r="FP7">
        <v>80.726380000000006</v>
      </c>
      <c r="FQ7">
        <v>2.808792</v>
      </c>
      <c r="FR7">
        <v>1</v>
      </c>
    </row>
    <row r="8" spans="1:174" x14ac:dyDescent="0.2">
      <c r="A8" t="s">
        <v>1</v>
      </c>
      <c r="B8">
        <v>42244</v>
      </c>
      <c r="C8">
        <v>493</v>
      </c>
      <c r="D8" s="65">
        <v>797</v>
      </c>
      <c r="E8">
        <v>580.80790000000002</v>
      </c>
      <c r="F8">
        <v>580.04920000000004</v>
      </c>
      <c r="G8">
        <v>577.46360000000004</v>
      </c>
      <c r="H8">
        <v>580.2636</v>
      </c>
      <c r="I8">
        <v>599.60770000000002</v>
      </c>
      <c r="J8">
        <v>634.6028</v>
      </c>
      <c r="K8">
        <v>677.66520000000003</v>
      </c>
      <c r="L8">
        <v>698.48050000000001</v>
      </c>
      <c r="M8">
        <v>718.77919999999995</v>
      </c>
      <c r="N8">
        <v>739.1653</v>
      </c>
      <c r="O8">
        <v>755.55579999999998</v>
      </c>
      <c r="P8">
        <v>747.63289999999995</v>
      </c>
      <c r="Q8">
        <v>733.8134</v>
      </c>
      <c r="R8">
        <v>731.14300000000003</v>
      </c>
      <c r="S8">
        <v>720.40959999999995</v>
      </c>
      <c r="T8">
        <v>706.93010000000004</v>
      </c>
      <c r="U8">
        <v>694.87509999999997</v>
      </c>
      <c r="V8">
        <v>680.16060000000004</v>
      </c>
      <c r="W8">
        <v>650.45699999999999</v>
      </c>
      <c r="X8">
        <v>650.86599999999999</v>
      </c>
      <c r="Y8">
        <v>626.53589999999997</v>
      </c>
      <c r="Z8">
        <v>602.23850000000004</v>
      </c>
      <c r="AA8">
        <v>582.77459999999996</v>
      </c>
      <c r="AB8">
        <v>564.36879999999996</v>
      </c>
      <c r="AC8">
        <v>-0.2905393</v>
      </c>
      <c r="AD8">
        <v>2.3473739999999998</v>
      </c>
      <c r="AE8">
        <v>1.6824699999999999</v>
      </c>
      <c r="AF8">
        <v>5.7833180000000004</v>
      </c>
      <c r="AG8">
        <v>-1.862331</v>
      </c>
      <c r="AH8">
        <v>-5.197057</v>
      </c>
      <c r="AI8">
        <v>-7.3388809999999998</v>
      </c>
      <c r="AJ8">
        <v>-6.6632499999999997</v>
      </c>
      <c r="AK8">
        <v>-10.597009999999999</v>
      </c>
      <c r="AL8">
        <v>-7.2977780000000001</v>
      </c>
      <c r="AM8">
        <v>-7.3284320000000003</v>
      </c>
      <c r="AN8">
        <v>19.874490000000002</v>
      </c>
      <c r="AO8">
        <v>73.255420000000001</v>
      </c>
      <c r="AP8">
        <v>74.338949999999997</v>
      </c>
      <c r="AQ8">
        <v>68.146910000000005</v>
      </c>
      <c r="AR8">
        <v>63.26249</v>
      </c>
      <c r="AS8">
        <v>74.588059999999999</v>
      </c>
      <c r="AT8">
        <v>70.3934</v>
      </c>
      <c r="AU8">
        <v>65.508200000000002</v>
      </c>
      <c r="AV8">
        <v>54.988329999999998</v>
      </c>
      <c r="AW8">
        <v>-27.098279999999999</v>
      </c>
      <c r="AX8">
        <v>-48.565069999999999</v>
      </c>
      <c r="AY8">
        <v>-35.246589999999998</v>
      </c>
      <c r="AZ8">
        <v>-5.1837119999999999</v>
      </c>
      <c r="BA8">
        <v>2.4599790000000001</v>
      </c>
      <c r="BB8">
        <v>5.3395640000000002</v>
      </c>
      <c r="BC8">
        <v>4.5789070000000001</v>
      </c>
      <c r="BD8">
        <v>8.1404960000000006</v>
      </c>
      <c r="BE8">
        <v>1.67631</v>
      </c>
      <c r="BF8">
        <v>-2.230191</v>
      </c>
      <c r="BG8">
        <v>-3.9575469999999999</v>
      </c>
      <c r="BH8">
        <v>-3.6722510000000002</v>
      </c>
      <c r="BI8">
        <v>-7.4748250000000001</v>
      </c>
      <c r="BJ8">
        <v>-3.9977520000000002</v>
      </c>
      <c r="BK8">
        <v>-3.749784</v>
      </c>
      <c r="BL8">
        <v>23.385940000000002</v>
      </c>
      <c r="BM8">
        <v>77.056299999999993</v>
      </c>
      <c r="BN8">
        <v>79.07696</v>
      </c>
      <c r="BO8">
        <v>73.456549999999993</v>
      </c>
      <c r="BP8">
        <v>68.430949999999996</v>
      </c>
      <c r="BQ8">
        <v>79.879840000000002</v>
      </c>
      <c r="BR8">
        <v>75.84093</v>
      </c>
      <c r="BS8">
        <v>71.646259999999998</v>
      </c>
      <c r="BT8">
        <v>61.000100000000003</v>
      </c>
      <c r="BU8">
        <v>-21.689440000000001</v>
      </c>
      <c r="BV8">
        <v>-44.318980000000003</v>
      </c>
      <c r="BW8">
        <v>-31.76117</v>
      </c>
      <c r="BX8">
        <v>-1.7492970000000001</v>
      </c>
      <c r="BY8">
        <v>4.3649800000000001</v>
      </c>
      <c r="BZ8">
        <v>7.4119450000000002</v>
      </c>
      <c r="CA8">
        <v>6.5849710000000004</v>
      </c>
      <c r="CB8">
        <v>9.7730709999999998</v>
      </c>
      <c r="CC8">
        <v>4.1271620000000002</v>
      </c>
      <c r="CD8">
        <v>-0.1753479</v>
      </c>
      <c r="CE8">
        <v>-1.615645</v>
      </c>
      <c r="CF8">
        <v>-1.600695</v>
      </c>
      <c r="CG8">
        <v>-5.3124099999999999</v>
      </c>
      <c r="CH8">
        <v>-1.712164</v>
      </c>
      <c r="CI8">
        <v>-1.2712239999999999</v>
      </c>
      <c r="CJ8">
        <v>25.817959999999999</v>
      </c>
      <c r="CK8">
        <v>79.688770000000005</v>
      </c>
      <c r="CL8">
        <v>82.358490000000003</v>
      </c>
      <c r="CM8">
        <v>77.134</v>
      </c>
      <c r="CN8">
        <v>72.010620000000003</v>
      </c>
      <c r="CO8">
        <v>83.544910000000002</v>
      </c>
      <c r="CP8">
        <v>79.613879999999995</v>
      </c>
      <c r="CQ8">
        <v>75.897459999999995</v>
      </c>
      <c r="CR8">
        <v>65.163830000000004</v>
      </c>
      <c r="CS8">
        <v>-17.943300000000001</v>
      </c>
      <c r="CT8">
        <v>-41.378140000000002</v>
      </c>
      <c r="CU8">
        <v>-29.347180000000002</v>
      </c>
      <c r="CV8">
        <v>0.62936709999999996</v>
      </c>
      <c r="CW8">
        <v>6.2699809999999996</v>
      </c>
      <c r="CX8">
        <v>9.4843259999999994</v>
      </c>
      <c r="CY8">
        <v>8.5910349999999998</v>
      </c>
      <c r="CZ8">
        <v>11.40565</v>
      </c>
      <c r="DA8">
        <v>6.5780149999999997</v>
      </c>
      <c r="DB8">
        <v>1.8794949999999999</v>
      </c>
      <c r="DC8">
        <v>0.72625669999999998</v>
      </c>
      <c r="DD8">
        <v>0.47086169999999999</v>
      </c>
      <c r="DE8">
        <v>-3.1499950000000001</v>
      </c>
      <c r="DF8">
        <v>0.57342420000000005</v>
      </c>
      <c r="DG8">
        <v>1.207336</v>
      </c>
      <c r="DH8">
        <v>28.249980000000001</v>
      </c>
      <c r="DI8">
        <v>82.321250000000006</v>
      </c>
      <c r="DJ8">
        <v>85.640020000000007</v>
      </c>
      <c r="DK8">
        <v>80.811440000000005</v>
      </c>
      <c r="DL8">
        <v>75.590289999999996</v>
      </c>
      <c r="DM8">
        <v>87.209980000000002</v>
      </c>
      <c r="DN8">
        <v>83.38682</v>
      </c>
      <c r="DO8">
        <v>80.148660000000007</v>
      </c>
      <c r="DP8">
        <v>69.327569999999994</v>
      </c>
      <c r="DQ8">
        <v>-14.197150000000001</v>
      </c>
      <c r="DR8">
        <v>-38.4373</v>
      </c>
      <c r="DS8">
        <v>-26.93319</v>
      </c>
      <c r="DT8">
        <v>3.008032</v>
      </c>
      <c r="DU8">
        <v>9.0205000000000002</v>
      </c>
      <c r="DV8">
        <v>12.476520000000001</v>
      </c>
      <c r="DW8">
        <v>11.48747</v>
      </c>
      <c r="DX8">
        <v>13.762829999999999</v>
      </c>
      <c r="DY8">
        <v>10.11666</v>
      </c>
      <c r="DZ8">
        <v>4.8463609999999999</v>
      </c>
      <c r="EA8">
        <v>4.1075910000000002</v>
      </c>
      <c r="EB8">
        <v>3.4618600000000002</v>
      </c>
      <c r="EC8">
        <v>-2.7811599999999999E-2</v>
      </c>
      <c r="ED8">
        <v>3.8734510000000002</v>
      </c>
      <c r="EE8">
        <v>4.785984</v>
      </c>
      <c r="EF8">
        <v>31.761430000000001</v>
      </c>
      <c r="EG8">
        <v>86.122129999999999</v>
      </c>
      <c r="EH8">
        <v>90.378029999999995</v>
      </c>
      <c r="EI8">
        <v>86.121080000000006</v>
      </c>
      <c r="EJ8">
        <v>80.758750000000006</v>
      </c>
      <c r="EK8">
        <v>92.501750000000001</v>
      </c>
      <c r="EL8">
        <v>88.834350000000001</v>
      </c>
      <c r="EM8">
        <v>86.286720000000003</v>
      </c>
      <c r="EN8">
        <v>75.339340000000007</v>
      </c>
      <c r="EO8">
        <v>-8.7883110000000002</v>
      </c>
      <c r="EP8">
        <v>-34.191200000000002</v>
      </c>
      <c r="EQ8">
        <v>-23.447769999999998</v>
      </c>
      <c r="ER8">
        <v>6.4424460000000003</v>
      </c>
      <c r="ES8">
        <v>79.322879999999998</v>
      </c>
      <c r="ET8">
        <v>78.266329999999996</v>
      </c>
      <c r="EU8">
        <v>77.407669999999996</v>
      </c>
      <c r="EV8">
        <v>76.526169999999993</v>
      </c>
      <c r="EW8">
        <v>75.788060000000002</v>
      </c>
      <c r="EX8">
        <v>75.03304</v>
      </c>
      <c r="EY8">
        <v>74.492360000000005</v>
      </c>
      <c r="EZ8">
        <v>73.937330000000003</v>
      </c>
      <c r="FA8">
        <v>76.577839999999995</v>
      </c>
      <c r="FB8">
        <v>81.143069999999994</v>
      </c>
      <c r="FC8">
        <v>86.210369999999998</v>
      </c>
      <c r="FD8">
        <v>89.806290000000004</v>
      </c>
      <c r="FE8">
        <v>92.163790000000006</v>
      </c>
      <c r="FF8">
        <v>94.153459999999995</v>
      </c>
      <c r="FG8">
        <v>95.465130000000002</v>
      </c>
      <c r="FH8">
        <v>95.960329999999999</v>
      </c>
      <c r="FI8">
        <v>95.550190000000001</v>
      </c>
      <c r="FJ8">
        <v>94.73545</v>
      </c>
      <c r="FK8">
        <v>93.421260000000004</v>
      </c>
      <c r="FL8">
        <v>90.838130000000007</v>
      </c>
      <c r="FM8">
        <v>87.670509999999993</v>
      </c>
      <c r="FN8">
        <v>84.852000000000004</v>
      </c>
      <c r="FO8">
        <v>83.271960000000007</v>
      </c>
      <c r="FP8">
        <v>81.568309999999997</v>
      </c>
      <c r="FQ8">
        <v>3.192275</v>
      </c>
      <c r="FR8">
        <v>1</v>
      </c>
    </row>
    <row r="9" spans="1:174" x14ac:dyDescent="0.2">
      <c r="A9" t="s">
        <v>1</v>
      </c>
      <c r="B9">
        <v>42256</v>
      </c>
      <c r="C9">
        <v>506</v>
      </c>
      <c r="D9" s="65">
        <v>800</v>
      </c>
      <c r="E9">
        <v>555.93820000000005</v>
      </c>
      <c r="F9">
        <v>553.76930000000004</v>
      </c>
      <c r="G9">
        <v>550.41359999999997</v>
      </c>
      <c r="H9">
        <v>553.47670000000005</v>
      </c>
      <c r="I9">
        <v>578.45519999999999</v>
      </c>
      <c r="J9">
        <v>617.65909999999997</v>
      </c>
      <c r="K9">
        <v>667.94709999999998</v>
      </c>
      <c r="L9">
        <v>691.25570000000005</v>
      </c>
      <c r="M9">
        <v>710.1454</v>
      </c>
      <c r="N9">
        <v>732.70960000000002</v>
      </c>
      <c r="O9">
        <v>754.40390000000002</v>
      </c>
      <c r="P9">
        <v>758.59289999999999</v>
      </c>
      <c r="Q9">
        <v>754.45979999999997</v>
      </c>
      <c r="R9">
        <v>760.57389999999998</v>
      </c>
      <c r="S9">
        <v>760.35440000000006</v>
      </c>
      <c r="T9">
        <v>740.6617</v>
      </c>
      <c r="U9">
        <v>722.66250000000002</v>
      </c>
      <c r="V9">
        <v>703.45320000000004</v>
      </c>
      <c r="W9">
        <v>688.63940000000002</v>
      </c>
      <c r="X9">
        <v>683.19039999999995</v>
      </c>
      <c r="Y9">
        <v>668.98009999999999</v>
      </c>
      <c r="Z9">
        <v>644.89520000000005</v>
      </c>
      <c r="AA9">
        <v>622.2133</v>
      </c>
      <c r="AB9">
        <v>608.20169999999996</v>
      </c>
      <c r="AC9">
        <v>7.103631</v>
      </c>
      <c r="AD9">
        <v>1.0558419999999999</v>
      </c>
      <c r="AE9">
        <v>-3.1144699999999998</v>
      </c>
      <c r="AF9">
        <v>-3.747411</v>
      </c>
      <c r="AG9">
        <v>2.3306589999999998</v>
      </c>
      <c r="AH9">
        <v>2.3564240000000001</v>
      </c>
      <c r="AI9">
        <v>-4.3180649999999998</v>
      </c>
      <c r="AJ9">
        <v>-19.016529999999999</v>
      </c>
      <c r="AK9">
        <v>-19.542899999999999</v>
      </c>
      <c r="AL9">
        <v>-17.582270000000001</v>
      </c>
      <c r="AM9">
        <v>-17.99934</v>
      </c>
      <c r="AN9">
        <v>48.072180000000003</v>
      </c>
      <c r="AO9">
        <v>125.0579</v>
      </c>
      <c r="AP9">
        <v>125.8933</v>
      </c>
      <c r="AQ9">
        <v>128.92529999999999</v>
      </c>
      <c r="AR9">
        <v>127.1832</v>
      </c>
      <c r="AS9">
        <v>133.49950000000001</v>
      </c>
      <c r="AT9">
        <v>124.09399999999999</v>
      </c>
      <c r="AU9">
        <v>121.4002</v>
      </c>
      <c r="AV9">
        <v>104.11409999999999</v>
      </c>
      <c r="AW9">
        <v>70.934849999999997</v>
      </c>
      <c r="AX9">
        <v>42.568379999999998</v>
      </c>
      <c r="AY9">
        <v>39.819929999999999</v>
      </c>
      <c r="AZ9">
        <v>35.431660000000001</v>
      </c>
      <c r="BA9">
        <v>9.6127559999999992</v>
      </c>
      <c r="BB9">
        <v>3.715662</v>
      </c>
      <c r="BC9">
        <v>-0.51266440000000002</v>
      </c>
      <c r="BD9">
        <v>-1.400496</v>
      </c>
      <c r="BE9">
        <v>5.5575590000000004</v>
      </c>
      <c r="BF9">
        <v>5.7568089999999996</v>
      </c>
      <c r="BG9">
        <v>-0.78116180000000002</v>
      </c>
      <c r="BH9">
        <v>-16.081209999999999</v>
      </c>
      <c r="BI9">
        <v>-16.44417</v>
      </c>
      <c r="BJ9">
        <v>-14.33243</v>
      </c>
      <c r="BK9">
        <v>-14.456110000000001</v>
      </c>
      <c r="BL9">
        <v>51.570360000000001</v>
      </c>
      <c r="BM9">
        <v>129.00069999999999</v>
      </c>
      <c r="BN9">
        <v>130.06129999999999</v>
      </c>
      <c r="BO9">
        <v>133.58349999999999</v>
      </c>
      <c r="BP9">
        <v>131.45590000000001</v>
      </c>
      <c r="BQ9">
        <v>138.0318</v>
      </c>
      <c r="BR9">
        <v>128.73310000000001</v>
      </c>
      <c r="BS9">
        <v>126.38</v>
      </c>
      <c r="BT9">
        <v>108.8061</v>
      </c>
      <c r="BU9">
        <v>75.813779999999994</v>
      </c>
      <c r="BV9">
        <v>47.141509999999997</v>
      </c>
      <c r="BW9">
        <v>43.281370000000003</v>
      </c>
      <c r="BX9">
        <v>38.646569999999997</v>
      </c>
      <c r="BY9">
        <v>11.350569999999999</v>
      </c>
      <c r="BZ9">
        <v>5.5578450000000004</v>
      </c>
      <c r="CA9">
        <v>1.2893380000000001</v>
      </c>
      <c r="CB9">
        <v>0.22497049999999999</v>
      </c>
      <c r="CC9">
        <v>7.7925009999999997</v>
      </c>
      <c r="CD9">
        <v>8.1119059999999994</v>
      </c>
      <c r="CE9">
        <v>1.6684870000000001</v>
      </c>
      <c r="CF9">
        <v>-14.048220000000001</v>
      </c>
      <c r="CG9">
        <v>-14.29799</v>
      </c>
      <c r="CH9">
        <v>-12.08161</v>
      </c>
      <c r="CI9">
        <v>-12.002079999999999</v>
      </c>
      <c r="CJ9">
        <v>53.993189999999998</v>
      </c>
      <c r="CK9">
        <v>131.73150000000001</v>
      </c>
      <c r="CL9">
        <v>132.94800000000001</v>
      </c>
      <c r="CM9">
        <v>136.8098</v>
      </c>
      <c r="CN9">
        <v>134.4151</v>
      </c>
      <c r="CO9">
        <v>141.17089999999999</v>
      </c>
      <c r="CP9">
        <v>131.9461</v>
      </c>
      <c r="CQ9">
        <v>129.82900000000001</v>
      </c>
      <c r="CR9">
        <v>112.0557</v>
      </c>
      <c r="CS9">
        <v>79.192909999999998</v>
      </c>
      <c r="CT9">
        <v>50.308839999999996</v>
      </c>
      <c r="CU9">
        <v>45.678750000000001</v>
      </c>
      <c r="CV9">
        <v>40.87321</v>
      </c>
      <c r="CW9">
        <v>13.088380000000001</v>
      </c>
      <c r="CX9">
        <v>7.4000279999999998</v>
      </c>
      <c r="CY9">
        <v>3.0913400000000002</v>
      </c>
      <c r="CZ9">
        <v>1.8504370000000001</v>
      </c>
      <c r="DA9">
        <v>10.02744</v>
      </c>
      <c r="DB9">
        <v>10.467000000000001</v>
      </c>
      <c r="DC9">
        <v>4.1181349999999997</v>
      </c>
      <c r="DD9">
        <v>-12.015230000000001</v>
      </c>
      <c r="DE9">
        <v>-12.151820000000001</v>
      </c>
      <c r="DF9">
        <v>-9.8307800000000007</v>
      </c>
      <c r="DG9">
        <v>-9.548057</v>
      </c>
      <c r="DH9">
        <v>56.416020000000003</v>
      </c>
      <c r="DI9">
        <v>134.4623</v>
      </c>
      <c r="DJ9">
        <v>135.8347</v>
      </c>
      <c r="DK9">
        <v>140.036</v>
      </c>
      <c r="DL9">
        <v>137.37430000000001</v>
      </c>
      <c r="DM9">
        <v>144.31</v>
      </c>
      <c r="DN9">
        <v>135.1591</v>
      </c>
      <c r="DO9">
        <v>133.27799999999999</v>
      </c>
      <c r="DP9">
        <v>115.3053</v>
      </c>
      <c r="DQ9">
        <v>82.572040000000001</v>
      </c>
      <c r="DR9">
        <v>53.476170000000003</v>
      </c>
      <c r="DS9">
        <v>48.076120000000003</v>
      </c>
      <c r="DT9">
        <v>43.099850000000004</v>
      </c>
      <c r="DU9">
        <v>15.59751</v>
      </c>
      <c r="DV9">
        <v>10.059850000000001</v>
      </c>
      <c r="DW9">
        <v>5.6931459999999996</v>
      </c>
      <c r="DX9">
        <v>4.1973520000000004</v>
      </c>
      <c r="DY9">
        <v>13.254339999999999</v>
      </c>
      <c r="DZ9">
        <v>13.86739</v>
      </c>
      <c r="EA9">
        <v>7.6550390000000004</v>
      </c>
      <c r="EB9">
        <v>-9.0799079999999996</v>
      </c>
      <c r="EC9">
        <v>-9.0530869999999997</v>
      </c>
      <c r="ED9">
        <v>-6.5809449999999998</v>
      </c>
      <c r="EE9">
        <v>-6.0048310000000003</v>
      </c>
      <c r="EF9">
        <v>59.914200000000001</v>
      </c>
      <c r="EG9">
        <v>138.40520000000001</v>
      </c>
      <c r="EH9">
        <v>140.0027</v>
      </c>
      <c r="EI9">
        <v>144.6942</v>
      </c>
      <c r="EJ9">
        <v>141.64699999999999</v>
      </c>
      <c r="EK9">
        <v>148.8424</v>
      </c>
      <c r="EL9">
        <v>139.79810000000001</v>
      </c>
      <c r="EM9">
        <v>138.2578</v>
      </c>
      <c r="EN9">
        <v>119.99720000000001</v>
      </c>
      <c r="EO9">
        <v>87.450969999999998</v>
      </c>
      <c r="EP9">
        <v>58.049289999999999</v>
      </c>
      <c r="EQ9">
        <v>51.537559999999999</v>
      </c>
      <c r="ER9">
        <v>46.314770000000003</v>
      </c>
      <c r="ES9">
        <v>81.532660000000007</v>
      </c>
      <c r="ET9">
        <v>80.663449999999997</v>
      </c>
      <c r="EU9">
        <v>80.019490000000005</v>
      </c>
      <c r="EV9">
        <v>79.186920000000001</v>
      </c>
      <c r="EW9">
        <v>78.624920000000003</v>
      </c>
      <c r="EX9">
        <v>78.20393</v>
      </c>
      <c r="EY9">
        <v>77.616470000000007</v>
      </c>
      <c r="EZ9">
        <v>77.594189999999998</v>
      </c>
      <c r="FA9">
        <v>79.757559999999998</v>
      </c>
      <c r="FB9">
        <v>83.728930000000005</v>
      </c>
      <c r="FC9">
        <v>87.951490000000007</v>
      </c>
      <c r="FD9">
        <v>90.920400000000001</v>
      </c>
      <c r="FE9">
        <v>93.043430000000001</v>
      </c>
      <c r="FF9">
        <v>94.783709999999999</v>
      </c>
      <c r="FG9">
        <v>95.604839999999996</v>
      </c>
      <c r="FH9">
        <v>94.566829999999996</v>
      </c>
      <c r="FI9">
        <v>91.427040000000005</v>
      </c>
      <c r="FJ9">
        <v>88.324309999999997</v>
      </c>
      <c r="FK9">
        <v>88.877849999999995</v>
      </c>
      <c r="FL9">
        <v>87.53837</v>
      </c>
      <c r="FM9">
        <v>85.993870000000001</v>
      </c>
      <c r="FN9">
        <v>84.554019999999994</v>
      </c>
      <c r="FO9">
        <v>83.103589999999997</v>
      </c>
      <c r="FP9">
        <v>81.864069999999998</v>
      </c>
      <c r="FQ9">
        <v>2.9541400000000002</v>
      </c>
      <c r="FR9">
        <v>1</v>
      </c>
    </row>
    <row r="10" spans="1:174" x14ac:dyDescent="0.2">
      <c r="A10" t="s">
        <v>1</v>
      </c>
      <c r="B10">
        <v>42257</v>
      </c>
      <c r="C10">
        <v>500</v>
      </c>
      <c r="D10" s="65">
        <v>800</v>
      </c>
      <c r="E10">
        <v>588.12400000000002</v>
      </c>
      <c r="F10">
        <v>584.10770000000002</v>
      </c>
      <c r="G10">
        <v>580.52189999999996</v>
      </c>
      <c r="H10">
        <v>587.05380000000002</v>
      </c>
      <c r="I10">
        <v>608.32259999999997</v>
      </c>
      <c r="J10">
        <v>649.16949999999997</v>
      </c>
      <c r="K10">
        <v>690.55399999999997</v>
      </c>
      <c r="L10">
        <v>704.47239999999999</v>
      </c>
      <c r="M10">
        <v>722.79970000000003</v>
      </c>
      <c r="N10">
        <v>748.01769999999999</v>
      </c>
      <c r="O10">
        <v>769.07039999999995</v>
      </c>
      <c r="P10">
        <v>759.00869999999998</v>
      </c>
      <c r="Q10">
        <v>758.05870000000004</v>
      </c>
      <c r="R10">
        <v>758.05430000000001</v>
      </c>
      <c r="S10">
        <v>754.99879999999996</v>
      </c>
      <c r="T10">
        <v>740.87750000000005</v>
      </c>
      <c r="U10">
        <v>727.92859999999996</v>
      </c>
      <c r="V10">
        <v>707.52919999999995</v>
      </c>
      <c r="W10">
        <v>685.26149999999996</v>
      </c>
      <c r="X10">
        <v>678.76089999999999</v>
      </c>
      <c r="Y10">
        <v>657.48829999999998</v>
      </c>
      <c r="Z10">
        <v>631.29160000000002</v>
      </c>
      <c r="AA10">
        <v>604.57399999999996</v>
      </c>
      <c r="AB10">
        <v>595.15809999999999</v>
      </c>
      <c r="AC10">
        <v>26.99502</v>
      </c>
      <c r="AD10">
        <v>25.24896</v>
      </c>
      <c r="AE10">
        <v>24.19323</v>
      </c>
      <c r="AF10">
        <v>29.720960000000002</v>
      </c>
      <c r="AG10">
        <v>39.264989999999997</v>
      </c>
      <c r="AH10">
        <v>40.175379999999997</v>
      </c>
      <c r="AI10">
        <v>13.885859999999999</v>
      </c>
      <c r="AJ10">
        <v>18.807449999999999</v>
      </c>
      <c r="AK10">
        <v>30.655909999999999</v>
      </c>
      <c r="AL10">
        <v>20.192900000000002</v>
      </c>
      <c r="AM10">
        <v>32.450060000000001</v>
      </c>
      <c r="AN10">
        <v>38.700270000000003</v>
      </c>
      <c r="AO10">
        <v>98.225210000000004</v>
      </c>
      <c r="AP10">
        <v>100.6387</v>
      </c>
      <c r="AQ10">
        <v>95.778779999999998</v>
      </c>
      <c r="AR10">
        <v>89.680449999999993</v>
      </c>
      <c r="AS10">
        <v>90.929310000000001</v>
      </c>
      <c r="AT10">
        <v>87.705399999999997</v>
      </c>
      <c r="AU10">
        <v>83.74145</v>
      </c>
      <c r="AV10">
        <v>73.053269999999998</v>
      </c>
      <c r="AW10">
        <v>48.185760000000002</v>
      </c>
      <c r="AX10">
        <v>28.16507</v>
      </c>
      <c r="AY10">
        <v>8.2720420000000008</v>
      </c>
      <c r="AZ10">
        <v>10.71264</v>
      </c>
      <c r="BA10">
        <v>29.791350000000001</v>
      </c>
      <c r="BB10">
        <v>28.390260000000001</v>
      </c>
      <c r="BC10">
        <v>27.398510000000002</v>
      </c>
      <c r="BD10">
        <v>32.46058</v>
      </c>
      <c r="BE10">
        <v>42.685459999999999</v>
      </c>
      <c r="BF10">
        <v>43.670650000000002</v>
      </c>
      <c r="BG10">
        <v>17.559329999999999</v>
      </c>
      <c r="BH10">
        <v>22.026260000000001</v>
      </c>
      <c r="BI10">
        <v>34.276020000000003</v>
      </c>
      <c r="BJ10">
        <v>23.902979999999999</v>
      </c>
      <c r="BK10">
        <v>36.672490000000003</v>
      </c>
      <c r="BL10">
        <v>43.169449999999998</v>
      </c>
      <c r="BM10">
        <v>103.10720000000001</v>
      </c>
      <c r="BN10">
        <v>105.80549999999999</v>
      </c>
      <c r="BO10">
        <v>101.5274</v>
      </c>
      <c r="BP10">
        <v>94.943560000000005</v>
      </c>
      <c r="BQ10">
        <v>96.343530000000001</v>
      </c>
      <c r="BR10">
        <v>93.245059999999995</v>
      </c>
      <c r="BS10">
        <v>89.586489999999998</v>
      </c>
      <c r="BT10">
        <v>78.794730000000001</v>
      </c>
      <c r="BU10">
        <v>54.239220000000003</v>
      </c>
      <c r="BV10">
        <v>33.767949999999999</v>
      </c>
      <c r="BW10">
        <v>12.88734</v>
      </c>
      <c r="BX10">
        <v>15.238329999999999</v>
      </c>
      <c r="BY10">
        <v>31.728079999999999</v>
      </c>
      <c r="BZ10">
        <v>30.565909999999999</v>
      </c>
      <c r="CA10">
        <v>29.618469999999999</v>
      </c>
      <c r="CB10">
        <v>34.358040000000003</v>
      </c>
      <c r="CC10">
        <v>45.054459999999999</v>
      </c>
      <c r="CD10">
        <v>46.091470000000001</v>
      </c>
      <c r="CE10">
        <v>20.103560000000002</v>
      </c>
      <c r="CF10">
        <v>24.255600000000001</v>
      </c>
      <c r="CG10">
        <v>36.783299999999997</v>
      </c>
      <c r="CH10">
        <v>26.472580000000001</v>
      </c>
      <c r="CI10">
        <v>39.59693</v>
      </c>
      <c r="CJ10">
        <v>46.264789999999998</v>
      </c>
      <c r="CK10">
        <v>106.4884</v>
      </c>
      <c r="CL10">
        <v>109.384</v>
      </c>
      <c r="CM10">
        <v>105.5089</v>
      </c>
      <c r="CN10">
        <v>98.588769999999997</v>
      </c>
      <c r="CO10">
        <v>100.0934</v>
      </c>
      <c r="CP10">
        <v>97.081819999999993</v>
      </c>
      <c r="CQ10">
        <v>93.63476</v>
      </c>
      <c r="CR10">
        <v>82.771249999999995</v>
      </c>
      <c r="CS10">
        <v>58.431820000000002</v>
      </c>
      <c r="CT10">
        <v>37.648490000000002</v>
      </c>
      <c r="CU10">
        <v>16.083880000000001</v>
      </c>
      <c r="CV10">
        <v>18.372810000000001</v>
      </c>
      <c r="CW10">
        <v>33.664810000000003</v>
      </c>
      <c r="CX10">
        <v>32.741549999999997</v>
      </c>
      <c r="CY10">
        <v>31.838429999999999</v>
      </c>
      <c r="CZ10">
        <v>36.255490000000002</v>
      </c>
      <c r="DA10">
        <v>47.423459999999999</v>
      </c>
      <c r="DB10">
        <v>48.512279999999997</v>
      </c>
      <c r="DC10">
        <v>22.647790000000001</v>
      </c>
      <c r="DD10">
        <v>26.484940000000002</v>
      </c>
      <c r="DE10">
        <v>39.290579999999999</v>
      </c>
      <c r="DF10">
        <v>29.042169999999999</v>
      </c>
      <c r="DG10">
        <v>42.521369999999997</v>
      </c>
      <c r="DH10">
        <v>49.360129999999998</v>
      </c>
      <c r="DI10">
        <v>109.86969999999999</v>
      </c>
      <c r="DJ10">
        <v>112.96250000000001</v>
      </c>
      <c r="DK10">
        <v>109.49039999999999</v>
      </c>
      <c r="DL10">
        <v>102.23399999999999</v>
      </c>
      <c r="DM10">
        <v>103.8433</v>
      </c>
      <c r="DN10">
        <v>100.9186</v>
      </c>
      <c r="DO10">
        <v>97.683019999999999</v>
      </c>
      <c r="DP10">
        <v>86.74776</v>
      </c>
      <c r="DQ10">
        <v>62.624429999999997</v>
      </c>
      <c r="DR10">
        <v>41.529040000000002</v>
      </c>
      <c r="DS10">
        <v>19.280419999999999</v>
      </c>
      <c r="DT10">
        <v>21.507290000000001</v>
      </c>
      <c r="DU10">
        <v>36.461150000000004</v>
      </c>
      <c r="DV10">
        <v>35.882849999999998</v>
      </c>
      <c r="DW10">
        <v>35.043709999999997</v>
      </c>
      <c r="DX10">
        <v>38.995109999999997</v>
      </c>
      <c r="DY10">
        <v>50.84393</v>
      </c>
      <c r="DZ10">
        <v>52.007550000000002</v>
      </c>
      <c r="EA10">
        <v>26.321259999999999</v>
      </c>
      <c r="EB10">
        <v>29.703749999999999</v>
      </c>
      <c r="EC10">
        <v>42.910690000000002</v>
      </c>
      <c r="ED10">
        <v>32.75226</v>
      </c>
      <c r="EE10">
        <v>46.7438</v>
      </c>
      <c r="EF10">
        <v>53.829300000000003</v>
      </c>
      <c r="EG10">
        <v>114.7516</v>
      </c>
      <c r="EH10">
        <v>118.1293</v>
      </c>
      <c r="EI10">
        <v>115.239</v>
      </c>
      <c r="EJ10">
        <v>107.4971</v>
      </c>
      <c r="EK10">
        <v>109.25749999999999</v>
      </c>
      <c r="EL10">
        <v>106.45820000000001</v>
      </c>
      <c r="EM10">
        <v>103.52809999999999</v>
      </c>
      <c r="EN10">
        <v>92.489230000000006</v>
      </c>
      <c r="EO10">
        <v>68.677890000000005</v>
      </c>
      <c r="EP10">
        <v>47.131920000000001</v>
      </c>
      <c r="EQ10">
        <v>23.895710000000001</v>
      </c>
      <c r="ER10">
        <v>26.032979999999998</v>
      </c>
      <c r="ES10">
        <v>80.278109999999998</v>
      </c>
      <c r="ET10">
        <v>78.93459</v>
      </c>
      <c r="EU10">
        <v>78.152079999999998</v>
      </c>
      <c r="EV10">
        <v>77.019220000000004</v>
      </c>
      <c r="EW10">
        <v>76.31568</v>
      </c>
      <c r="EX10">
        <v>75.525890000000004</v>
      </c>
      <c r="EY10">
        <v>75.491919999999993</v>
      </c>
      <c r="EZ10">
        <v>75.931550000000001</v>
      </c>
      <c r="FA10">
        <v>76.980639999999994</v>
      </c>
      <c r="FB10">
        <v>80.281490000000005</v>
      </c>
      <c r="FC10">
        <v>84.719430000000003</v>
      </c>
      <c r="FD10">
        <v>88.080100000000002</v>
      </c>
      <c r="FE10">
        <v>89.531909999999996</v>
      </c>
      <c r="FF10">
        <v>91.021680000000003</v>
      </c>
      <c r="FG10">
        <v>92.062719999999999</v>
      </c>
      <c r="FH10">
        <v>92.323809999999995</v>
      </c>
      <c r="FI10">
        <v>92.436850000000007</v>
      </c>
      <c r="FJ10">
        <v>92.067859999999996</v>
      </c>
      <c r="FK10">
        <v>90.881320000000002</v>
      </c>
      <c r="FL10">
        <v>89.009990000000002</v>
      </c>
      <c r="FM10">
        <v>86.309939999999997</v>
      </c>
      <c r="FN10">
        <v>84.63091</v>
      </c>
      <c r="FO10">
        <v>83.076070000000001</v>
      </c>
      <c r="FP10">
        <v>81.78098</v>
      </c>
      <c r="FQ10">
        <v>3.0800329999999998</v>
      </c>
      <c r="FR10">
        <v>1</v>
      </c>
    </row>
    <row r="11" spans="1:174" x14ac:dyDescent="0.2">
      <c r="A11" t="s">
        <v>1</v>
      </c>
      <c r="B11">
        <v>42258</v>
      </c>
      <c r="C11">
        <v>501</v>
      </c>
      <c r="D11" s="65">
        <v>801</v>
      </c>
      <c r="E11">
        <v>594.73540000000003</v>
      </c>
      <c r="F11">
        <v>592.62239999999997</v>
      </c>
      <c r="G11">
        <v>588.27769999999998</v>
      </c>
      <c r="H11">
        <v>592.88670000000002</v>
      </c>
      <c r="I11">
        <v>610.3655</v>
      </c>
      <c r="J11">
        <v>641.83140000000003</v>
      </c>
      <c r="K11">
        <v>690.14499999999998</v>
      </c>
      <c r="L11">
        <v>709.57550000000003</v>
      </c>
      <c r="M11">
        <v>733.96360000000004</v>
      </c>
      <c r="N11">
        <v>753.55039999999997</v>
      </c>
      <c r="O11">
        <v>769.94090000000006</v>
      </c>
      <c r="P11">
        <v>762.15160000000003</v>
      </c>
      <c r="Q11">
        <v>752.7672</v>
      </c>
      <c r="R11">
        <v>749.28</v>
      </c>
      <c r="S11">
        <v>742.80859999999996</v>
      </c>
      <c r="T11">
        <v>723.93859999999995</v>
      </c>
      <c r="U11">
        <v>712.47220000000004</v>
      </c>
      <c r="V11">
        <v>691.61130000000003</v>
      </c>
      <c r="W11">
        <v>668.89229999999998</v>
      </c>
      <c r="X11">
        <v>660.97940000000006</v>
      </c>
      <c r="Y11">
        <v>637.32860000000005</v>
      </c>
      <c r="Z11">
        <v>615.13930000000005</v>
      </c>
      <c r="AA11">
        <v>593.1644</v>
      </c>
      <c r="AB11">
        <v>574.86069999999995</v>
      </c>
      <c r="AC11">
        <v>15.435930000000001</v>
      </c>
      <c r="AD11">
        <v>8.7461129999999994</v>
      </c>
      <c r="AE11">
        <v>11.299329999999999</v>
      </c>
      <c r="AF11">
        <v>9.9847230000000007</v>
      </c>
      <c r="AG11">
        <v>15.028689999999999</v>
      </c>
      <c r="AH11">
        <v>16.533519999999999</v>
      </c>
      <c r="AI11">
        <v>4.6847000000000003</v>
      </c>
      <c r="AJ11">
        <v>-8.0472560000000009</v>
      </c>
      <c r="AK11">
        <v>-19.14452</v>
      </c>
      <c r="AL11">
        <v>-14.40849</v>
      </c>
      <c r="AM11">
        <v>30.001639999999998</v>
      </c>
      <c r="AN11">
        <v>41.62191</v>
      </c>
      <c r="AO11">
        <v>67.693989999999999</v>
      </c>
      <c r="AP11">
        <v>76.669290000000004</v>
      </c>
      <c r="AQ11">
        <v>80.710999999999999</v>
      </c>
      <c r="AR11">
        <v>75.817189999999997</v>
      </c>
      <c r="AS11">
        <v>73.617249999999999</v>
      </c>
      <c r="AT11">
        <v>67.754180000000005</v>
      </c>
      <c r="AU11">
        <v>59.867930000000001</v>
      </c>
      <c r="AV11">
        <v>51.560580000000002</v>
      </c>
      <c r="AW11">
        <v>-21.93233</v>
      </c>
      <c r="AX11">
        <v>-36.651009999999999</v>
      </c>
      <c r="AY11">
        <v>-14.04491</v>
      </c>
      <c r="AZ11">
        <v>-17.47193</v>
      </c>
      <c r="BA11">
        <v>18.19755</v>
      </c>
      <c r="BB11">
        <v>11.736079999999999</v>
      </c>
      <c r="BC11">
        <v>14.2357</v>
      </c>
      <c r="BD11">
        <v>12.45537</v>
      </c>
      <c r="BE11">
        <v>18.593699999999998</v>
      </c>
      <c r="BF11">
        <v>19.81607</v>
      </c>
      <c r="BG11">
        <v>8.4327909999999999</v>
      </c>
      <c r="BH11">
        <v>-4.7485220000000004</v>
      </c>
      <c r="BI11">
        <v>-15.708500000000001</v>
      </c>
      <c r="BJ11">
        <v>-10.775690000000001</v>
      </c>
      <c r="BK11">
        <v>33.960209999999996</v>
      </c>
      <c r="BL11">
        <v>45.581159999999997</v>
      </c>
      <c r="BM11">
        <v>71.850409999999997</v>
      </c>
      <c r="BN11">
        <v>81.617350000000002</v>
      </c>
      <c r="BO11">
        <v>86.201679999999996</v>
      </c>
      <c r="BP11">
        <v>81.310689999999994</v>
      </c>
      <c r="BQ11">
        <v>79.328159999999997</v>
      </c>
      <c r="BR11">
        <v>73.483969999999999</v>
      </c>
      <c r="BS11">
        <v>66.203400000000002</v>
      </c>
      <c r="BT11">
        <v>57.863410000000002</v>
      </c>
      <c r="BU11">
        <v>-15.838950000000001</v>
      </c>
      <c r="BV11">
        <v>-32.248959999999997</v>
      </c>
      <c r="BW11">
        <v>-10.29959</v>
      </c>
      <c r="BX11">
        <v>-13.70462</v>
      </c>
      <c r="BY11">
        <v>20.110240000000001</v>
      </c>
      <c r="BZ11">
        <v>13.80692</v>
      </c>
      <c r="CA11">
        <v>16.269410000000001</v>
      </c>
      <c r="CB11">
        <v>14.166539999999999</v>
      </c>
      <c r="CC11">
        <v>21.062819999999999</v>
      </c>
      <c r="CD11">
        <v>22.089559999999999</v>
      </c>
      <c r="CE11">
        <v>11.02871</v>
      </c>
      <c r="CF11">
        <v>-2.463829</v>
      </c>
      <c r="CG11">
        <v>-13.328720000000001</v>
      </c>
      <c r="CH11">
        <v>-8.25962</v>
      </c>
      <c r="CI11">
        <v>36.701900000000002</v>
      </c>
      <c r="CJ11">
        <v>48.323329999999999</v>
      </c>
      <c r="CK11">
        <v>74.729129999999998</v>
      </c>
      <c r="CL11">
        <v>85.044359999999998</v>
      </c>
      <c r="CM11">
        <v>90.004519999999999</v>
      </c>
      <c r="CN11">
        <v>85.115480000000005</v>
      </c>
      <c r="CO11">
        <v>83.283529999999999</v>
      </c>
      <c r="CP11">
        <v>77.452399999999997</v>
      </c>
      <c r="CQ11">
        <v>70.591319999999996</v>
      </c>
      <c r="CR11">
        <v>62.228740000000002</v>
      </c>
      <c r="CS11">
        <v>-11.618690000000001</v>
      </c>
      <c r="CT11">
        <v>-29.200109999999999</v>
      </c>
      <c r="CU11">
        <v>-7.7055850000000001</v>
      </c>
      <c r="CV11">
        <v>-11.0954</v>
      </c>
      <c r="CW11">
        <v>22.022929999999999</v>
      </c>
      <c r="CX11">
        <v>15.87776</v>
      </c>
      <c r="CY11">
        <v>18.303129999999999</v>
      </c>
      <c r="CZ11">
        <v>15.877700000000001</v>
      </c>
      <c r="DA11">
        <v>23.531939999999999</v>
      </c>
      <c r="DB11">
        <v>24.363040000000002</v>
      </c>
      <c r="DC11">
        <v>13.62462</v>
      </c>
      <c r="DD11">
        <v>-0.1791364</v>
      </c>
      <c r="DE11">
        <v>-10.94895</v>
      </c>
      <c r="DF11">
        <v>-5.7435520000000002</v>
      </c>
      <c r="DG11">
        <v>39.443600000000004</v>
      </c>
      <c r="DH11">
        <v>51.0655</v>
      </c>
      <c r="DI11">
        <v>77.607839999999996</v>
      </c>
      <c r="DJ11">
        <v>88.471369999999993</v>
      </c>
      <c r="DK11">
        <v>93.80735</v>
      </c>
      <c r="DL11">
        <v>88.920270000000002</v>
      </c>
      <c r="DM11">
        <v>87.238900000000001</v>
      </c>
      <c r="DN11">
        <v>81.420829999999995</v>
      </c>
      <c r="DO11">
        <v>74.979249999999993</v>
      </c>
      <c r="DP11">
        <v>66.594059999999999</v>
      </c>
      <c r="DQ11">
        <v>-7.3984350000000001</v>
      </c>
      <c r="DR11">
        <v>-26.151260000000001</v>
      </c>
      <c r="DS11">
        <v>-5.1115849999999998</v>
      </c>
      <c r="DT11">
        <v>-8.4861760000000004</v>
      </c>
      <c r="DU11">
        <v>24.784549999999999</v>
      </c>
      <c r="DV11">
        <v>18.867719999999998</v>
      </c>
      <c r="DW11">
        <v>21.2395</v>
      </c>
      <c r="DX11">
        <v>18.34835</v>
      </c>
      <c r="DY11">
        <v>27.09695</v>
      </c>
      <c r="DZ11">
        <v>27.645600000000002</v>
      </c>
      <c r="EA11">
        <v>17.372710000000001</v>
      </c>
      <c r="EB11">
        <v>3.1195970000000002</v>
      </c>
      <c r="EC11">
        <v>-7.5129299999999999</v>
      </c>
      <c r="ED11">
        <v>-2.1107499999999999</v>
      </c>
      <c r="EE11">
        <v>43.402169999999998</v>
      </c>
      <c r="EF11">
        <v>55.024749999999997</v>
      </c>
      <c r="EG11">
        <v>81.764259999999993</v>
      </c>
      <c r="EH11">
        <v>93.419430000000006</v>
      </c>
      <c r="EI11">
        <v>99.298029999999997</v>
      </c>
      <c r="EJ11">
        <v>94.413759999999996</v>
      </c>
      <c r="EK11">
        <v>92.949809999999999</v>
      </c>
      <c r="EL11">
        <v>87.150620000000004</v>
      </c>
      <c r="EM11">
        <v>81.314719999999994</v>
      </c>
      <c r="EN11">
        <v>72.896900000000002</v>
      </c>
      <c r="EO11">
        <v>-1.3050520000000001</v>
      </c>
      <c r="EP11">
        <v>-21.749210000000001</v>
      </c>
      <c r="EQ11">
        <v>-1.3662609999999999</v>
      </c>
      <c r="ER11">
        <v>-4.7188699999999999</v>
      </c>
      <c r="ES11">
        <v>80.703639999999993</v>
      </c>
      <c r="ET11">
        <v>79.518680000000003</v>
      </c>
      <c r="EU11">
        <v>78.542410000000004</v>
      </c>
      <c r="EV11">
        <v>77.796009999999995</v>
      </c>
      <c r="EW11">
        <v>76.737390000000005</v>
      </c>
      <c r="EX11">
        <v>76.180570000000003</v>
      </c>
      <c r="EY11">
        <v>75.737189999999998</v>
      </c>
      <c r="EZ11">
        <v>75.560190000000006</v>
      </c>
      <c r="FA11">
        <v>77.559010000000001</v>
      </c>
      <c r="FB11">
        <v>81.337069999999997</v>
      </c>
      <c r="FC11">
        <v>84.848969999999994</v>
      </c>
      <c r="FD11">
        <v>88.122150000000005</v>
      </c>
      <c r="FE11">
        <v>90.114609999999999</v>
      </c>
      <c r="FF11">
        <v>91.518559999999994</v>
      </c>
      <c r="FG11">
        <v>92.923180000000002</v>
      </c>
      <c r="FH11">
        <v>92.900859999999994</v>
      </c>
      <c r="FI11">
        <v>92.379869999999997</v>
      </c>
      <c r="FJ11">
        <v>91.927580000000006</v>
      </c>
      <c r="FK11">
        <v>90.044569999999993</v>
      </c>
      <c r="FL11">
        <v>87.024039999999999</v>
      </c>
      <c r="FM11">
        <v>84.174980000000005</v>
      </c>
      <c r="FN11">
        <v>81.949380000000005</v>
      </c>
      <c r="FO11">
        <v>80.253680000000003</v>
      </c>
      <c r="FP11">
        <v>79.033720000000002</v>
      </c>
      <c r="FQ11">
        <v>3.1191849999999999</v>
      </c>
      <c r="FR11">
        <v>1</v>
      </c>
    </row>
    <row r="12" spans="1:174" x14ac:dyDescent="0.2">
      <c r="A12" t="s">
        <v>1</v>
      </c>
      <c r="B12" t="s">
        <v>2</v>
      </c>
      <c r="C12">
        <v>491.4</v>
      </c>
      <c r="D12" s="65">
        <v>794.1</v>
      </c>
      <c r="E12">
        <v>568.31479999999999</v>
      </c>
      <c r="F12">
        <v>564.92830000000004</v>
      </c>
      <c r="G12">
        <v>559.9221</v>
      </c>
      <c r="H12">
        <v>562.60829999999999</v>
      </c>
      <c r="I12">
        <v>583.91769999999997</v>
      </c>
      <c r="J12">
        <v>623.2885</v>
      </c>
      <c r="K12">
        <v>670.76160000000004</v>
      </c>
      <c r="L12">
        <v>691.0942</v>
      </c>
      <c r="M12">
        <v>708.61540000000002</v>
      </c>
      <c r="N12">
        <v>727.52179999999998</v>
      </c>
      <c r="O12">
        <v>744.40980000000002</v>
      </c>
      <c r="P12">
        <v>739.35680000000002</v>
      </c>
      <c r="Q12">
        <v>733.55409999999995</v>
      </c>
      <c r="R12">
        <v>733.8546</v>
      </c>
      <c r="S12">
        <v>731.82510000000002</v>
      </c>
      <c r="T12">
        <v>717.78110000000004</v>
      </c>
      <c r="U12">
        <v>706.89369999999997</v>
      </c>
      <c r="V12">
        <v>689.80070000000001</v>
      </c>
      <c r="W12">
        <v>666.9846</v>
      </c>
      <c r="X12">
        <v>661.68349999999998</v>
      </c>
      <c r="Y12">
        <v>645.3184</v>
      </c>
      <c r="Z12">
        <v>620.65409999999997</v>
      </c>
      <c r="AA12">
        <v>596.46669999999995</v>
      </c>
      <c r="AB12">
        <v>582.3614</v>
      </c>
      <c r="AC12">
        <v>10.97986</v>
      </c>
      <c r="AD12">
        <v>10.59925</v>
      </c>
      <c r="AE12">
        <v>9.3018719999999995</v>
      </c>
      <c r="AF12">
        <v>11.43689</v>
      </c>
      <c r="AG12">
        <v>13.240959999999999</v>
      </c>
      <c r="AH12">
        <v>-4.1560629999999996</v>
      </c>
      <c r="AI12">
        <v>-0.69527879999999997</v>
      </c>
      <c r="AJ12">
        <v>1.2763640000000001</v>
      </c>
      <c r="AK12">
        <v>-1.377027</v>
      </c>
      <c r="AL12">
        <v>-0.47717850000000001</v>
      </c>
      <c r="AM12">
        <v>8.0520119999999995</v>
      </c>
      <c r="AN12">
        <v>40.065049999999999</v>
      </c>
      <c r="AO12">
        <v>93.041489999999996</v>
      </c>
      <c r="AP12">
        <v>95.170869999999994</v>
      </c>
      <c r="AQ12">
        <v>93.105990000000006</v>
      </c>
      <c r="AR12">
        <v>92.936239999999998</v>
      </c>
      <c r="AS12">
        <v>95.606070000000003</v>
      </c>
      <c r="AT12">
        <v>90.991569999999996</v>
      </c>
      <c r="AU12">
        <v>87.532619999999994</v>
      </c>
      <c r="AV12">
        <v>78.326980000000006</v>
      </c>
      <c r="AW12">
        <v>27.56146</v>
      </c>
      <c r="AX12">
        <v>10.82957</v>
      </c>
      <c r="AY12">
        <v>8.4165650000000003</v>
      </c>
      <c r="AZ12">
        <v>8.08005</v>
      </c>
      <c r="BA12">
        <v>13.75225</v>
      </c>
      <c r="BB12">
        <v>13.281359999999999</v>
      </c>
      <c r="BC12">
        <v>11.767580000000001</v>
      </c>
      <c r="BD12">
        <v>13.576969999999999</v>
      </c>
      <c r="BE12">
        <v>16.313669999999998</v>
      </c>
      <c r="BF12">
        <v>-0.13926330000000001</v>
      </c>
      <c r="BG12">
        <v>2.1335649999999999</v>
      </c>
      <c r="BH12">
        <v>3.9536220000000002</v>
      </c>
      <c r="BI12">
        <v>1.7218009999999999</v>
      </c>
      <c r="BJ12">
        <v>2.5293070000000002</v>
      </c>
      <c r="BK12">
        <v>12.00506</v>
      </c>
      <c r="BL12">
        <v>44.792020000000001</v>
      </c>
      <c r="BM12">
        <v>97.736969999999999</v>
      </c>
      <c r="BN12">
        <v>100.1555</v>
      </c>
      <c r="BO12">
        <v>98.535380000000004</v>
      </c>
      <c r="BP12">
        <v>98.159329999999997</v>
      </c>
      <c r="BQ12">
        <v>100.8733</v>
      </c>
      <c r="BR12">
        <v>96.357560000000007</v>
      </c>
      <c r="BS12">
        <v>93.174999999999997</v>
      </c>
      <c r="BT12">
        <v>83.813900000000004</v>
      </c>
      <c r="BU12">
        <v>35.254829999999998</v>
      </c>
      <c r="BV12">
        <v>17.803319999999999</v>
      </c>
      <c r="BW12">
        <v>13.92281</v>
      </c>
      <c r="BX12">
        <v>12.44829</v>
      </c>
      <c r="BY12">
        <v>15.672409999999999</v>
      </c>
      <c r="BZ12">
        <v>15.13899</v>
      </c>
      <c r="CA12">
        <v>13.47533</v>
      </c>
      <c r="CB12">
        <v>15.05918</v>
      </c>
      <c r="CC12">
        <v>18.44182</v>
      </c>
      <c r="CD12">
        <v>2.64276</v>
      </c>
      <c r="CE12">
        <v>4.0928139999999997</v>
      </c>
      <c r="CF12">
        <v>5.8078830000000004</v>
      </c>
      <c r="CG12">
        <v>3.8680400000000001</v>
      </c>
      <c r="CH12">
        <v>4.6115890000000004</v>
      </c>
      <c r="CI12">
        <v>14.742929999999999</v>
      </c>
      <c r="CJ12">
        <v>48.065899999999999</v>
      </c>
      <c r="CK12">
        <v>100.989</v>
      </c>
      <c r="CL12">
        <v>103.6079</v>
      </c>
      <c r="CM12">
        <v>102.2958</v>
      </c>
      <c r="CN12">
        <v>101.77679999999999</v>
      </c>
      <c r="CO12">
        <v>104.5214</v>
      </c>
      <c r="CP12">
        <v>100.074</v>
      </c>
      <c r="CQ12">
        <v>97.082890000000006</v>
      </c>
      <c r="CR12">
        <v>87.614140000000006</v>
      </c>
      <c r="CS12">
        <v>40.583240000000004</v>
      </c>
      <c r="CT12">
        <v>22.633320000000001</v>
      </c>
      <c r="CU12">
        <v>17.736419999999999</v>
      </c>
      <c r="CV12">
        <v>15.47372</v>
      </c>
      <c r="CW12">
        <v>17.592559999999999</v>
      </c>
      <c r="CX12">
        <v>16.99661</v>
      </c>
      <c r="CY12">
        <v>15.18308</v>
      </c>
      <c r="CZ12">
        <v>16.541399999999999</v>
      </c>
      <c r="DA12">
        <v>20.569980000000001</v>
      </c>
      <c r="DB12">
        <v>5.4247829999999997</v>
      </c>
      <c r="DC12">
        <v>6.0520630000000004</v>
      </c>
      <c r="DD12">
        <v>7.6621439999999996</v>
      </c>
      <c r="DE12">
        <v>6.0142790000000002</v>
      </c>
      <c r="DF12">
        <v>6.6938709999999997</v>
      </c>
      <c r="DG12">
        <v>17.480799999999999</v>
      </c>
      <c r="DH12">
        <v>51.339779999999998</v>
      </c>
      <c r="DI12">
        <v>104.2411</v>
      </c>
      <c r="DJ12">
        <v>107.06019999999999</v>
      </c>
      <c r="DK12">
        <v>106.0561</v>
      </c>
      <c r="DL12">
        <v>105.3943</v>
      </c>
      <c r="DM12">
        <v>108.1695</v>
      </c>
      <c r="DN12">
        <v>103.79049999999999</v>
      </c>
      <c r="DO12">
        <v>100.99079999999999</v>
      </c>
      <c r="DP12">
        <v>91.414370000000005</v>
      </c>
      <c r="DQ12">
        <v>45.911650000000002</v>
      </c>
      <c r="DR12">
        <v>27.46332</v>
      </c>
      <c r="DS12">
        <v>21.55003</v>
      </c>
      <c r="DT12">
        <v>18.49915</v>
      </c>
      <c r="DU12">
        <v>20.36496</v>
      </c>
      <c r="DV12">
        <v>19.678719999999998</v>
      </c>
      <c r="DW12">
        <v>17.648790000000002</v>
      </c>
      <c r="DX12">
        <v>18.681480000000001</v>
      </c>
      <c r="DY12">
        <v>23.642690000000002</v>
      </c>
      <c r="DZ12">
        <v>9.4415829999999996</v>
      </c>
      <c r="EA12">
        <v>8.8809070000000006</v>
      </c>
      <c r="EB12">
        <v>10.339399999999999</v>
      </c>
      <c r="EC12">
        <v>9.1131069999999994</v>
      </c>
      <c r="ED12">
        <v>9.7003559999999993</v>
      </c>
      <c r="EE12">
        <v>21.43384</v>
      </c>
      <c r="EF12">
        <v>56.066740000000003</v>
      </c>
      <c r="EG12">
        <v>108.9366</v>
      </c>
      <c r="EH12">
        <v>112.0448</v>
      </c>
      <c r="EI12">
        <v>111.4855</v>
      </c>
      <c r="EJ12">
        <v>110.6174</v>
      </c>
      <c r="EK12">
        <v>113.43680000000001</v>
      </c>
      <c r="EL12">
        <v>109.15649999999999</v>
      </c>
      <c r="EM12">
        <v>106.6331</v>
      </c>
      <c r="EN12">
        <v>96.901290000000003</v>
      </c>
      <c r="EO12">
        <v>53.605020000000003</v>
      </c>
      <c r="EP12">
        <v>34.437069999999999</v>
      </c>
      <c r="EQ12">
        <v>27.056280000000001</v>
      </c>
      <c r="ER12">
        <v>22.86739</v>
      </c>
      <c r="ES12">
        <v>78.555040000000005</v>
      </c>
      <c r="ET12">
        <v>77.560770000000005</v>
      </c>
      <c r="EU12">
        <v>76.753619999999998</v>
      </c>
      <c r="EV12">
        <v>75.841419999999999</v>
      </c>
      <c r="EW12">
        <v>75.071780000000004</v>
      </c>
      <c r="EX12">
        <v>74.42653</v>
      </c>
      <c r="EY12">
        <v>73.896510000000006</v>
      </c>
      <c r="EZ12">
        <v>73.915019999999998</v>
      </c>
      <c r="FA12">
        <v>75.767880000000005</v>
      </c>
      <c r="FB12">
        <v>79.108469999999997</v>
      </c>
      <c r="FC12">
        <v>82.706760000000003</v>
      </c>
      <c r="FD12">
        <v>85.521609999999995</v>
      </c>
      <c r="FE12">
        <v>87.694460000000007</v>
      </c>
      <c r="FF12">
        <v>89.321870000000004</v>
      </c>
      <c r="FG12">
        <v>90.475629999999995</v>
      </c>
      <c r="FH12">
        <v>90.666060000000002</v>
      </c>
      <c r="FI12">
        <v>90.313310000000001</v>
      </c>
      <c r="FJ12">
        <v>89.495320000000007</v>
      </c>
      <c r="FK12">
        <v>88.66525</v>
      </c>
      <c r="FL12">
        <v>86.560329999999993</v>
      </c>
      <c r="FM12">
        <v>83.983050000000006</v>
      </c>
      <c r="FN12">
        <v>81.764579999999995</v>
      </c>
      <c r="FO12">
        <v>80.243979999999993</v>
      </c>
      <c r="FP12">
        <v>78.810190000000006</v>
      </c>
      <c r="FQ12">
        <v>2.4869669999999999</v>
      </c>
      <c r="FR12">
        <v>1</v>
      </c>
    </row>
    <row r="13" spans="1:174" x14ac:dyDescent="0.2">
      <c r="A13" t="s">
        <v>63</v>
      </c>
      <c r="B13">
        <v>42186</v>
      </c>
      <c r="C13">
        <v>367</v>
      </c>
      <c r="D13" s="65">
        <v>639</v>
      </c>
      <c r="E13">
        <v>331.15769999999998</v>
      </c>
      <c r="F13">
        <v>328.3415</v>
      </c>
      <c r="G13">
        <v>324.7645</v>
      </c>
      <c r="H13">
        <v>328.94450000000001</v>
      </c>
      <c r="I13">
        <v>347.70580000000001</v>
      </c>
      <c r="J13">
        <v>380.83409999999998</v>
      </c>
      <c r="K13">
        <v>421.52760000000001</v>
      </c>
      <c r="L13">
        <v>438.25170000000003</v>
      </c>
      <c r="M13">
        <v>449.38409999999999</v>
      </c>
      <c r="N13">
        <v>460.0213</v>
      </c>
      <c r="O13">
        <v>472.33420000000001</v>
      </c>
      <c r="P13">
        <v>462.81110000000001</v>
      </c>
      <c r="Q13">
        <v>459.19099999999997</v>
      </c>
      <c r="R13">
        <v>459.5917</v>
      </c>
      <c r="S13">
        <v>454.02069999999998</v>
      </c>
      <c r="T13">
        <v>447.1617</v>
      </c>
      <c r="U13">
        <v>444.2192</v>
      </c>
      <c r="V13">
        <v>432.11739999999998</v>
      </c>
      <c r="W13">
        <v>406.10430000000002</v>
      </c>
      <c r="X13">
        <v>396.9006</v>
      </c>
      <c r="Y13">
        <v>384.54880000000003</v>
      </c>
      <c r="Z13">
        <v>367.31729999999999</v>
      </c>
      <c r="AA13">
        <v>345.06290000000001</v>
      </c>
      <c r="AB13">
        <v>334.15519999999998</v>
      </c>
      <c r="AC13">
        <v>-4.6305180000000004</v>
      </c>
      <c r="AD13">
        <v>-2.5648170000000001</v>
      </c>
      <c r="AE13">
        <v>-1.9419999999999999</v>
      </c>
      <c r="AF13">
        <v>0.23297200000000001</v>
      </c>
      <c r="AG13">
        <v>0.1885259</v>
      </c>
      <c r="AH13">
        <v>-23.856030000000001</v>
      </c>
      <c r="AI13">
        <v>-10.25079</v>
      </c>
      <c r="AJ13">
        <v>1.7432240000000001</v>
      </c>
      <c r="AK13">
        <v>8.2143069999999998</v>
      </c>
      <c r="AL13">
        <v>-16.32328</v>
      </c>
      <c r="AM13">
        <v>-2.4563429999999999</v>
      </c>
      <c r="AN13">
        <v>20.169740000000001</v>
      </c>
      <c r="AO13">
        <v>70.839470000000006</v>
      </c>
      <c r="AP13">
        <v>73.631730000000005</v>
      </c>
      <c r="AQ13">
        <v>70.659419999999997</v>
      </c>
      <c r="AR13">
        <v>74.917180000000002</v>
      </c>
      <c r="AS13">
        <v>82.901120000000006</v>
      </c>
      <c r="AT13">
        <v>79.833939999999998</v>
      </c>
      <c r="AU13">
        <v>76.312049999999999</v>
      </c>
      <c r="AV13">
        <v>65.301860000000005</v>
      </c>
      <c r="AW13">
        <v>34.774760000000001</v>
      </c>
      <c r="AX13">
        <v>24.944769999999998</v>
      </c>
      <c r="AY13">
        <v>13.638109999999999</v>
      </c>
      <c r="AZ13">
        <v>10.885719999999999</v>
      </c>
      <c r="BA13">
        <v>-2.6112669999999998</v>
      </c>
      <c r="BB13">
        <v>-0.34686040000000001</v>
      </c>
      <c r="BC13">
        <v>0.16551270000000001</v>
      </c>
      <c r="BD13">
        <v>1.9454979999999999</v>
      </c>
      <c r="BE13">
        <v>2.9028170000000002</v>
      </c>
      <c r="BF13">
        <v>-21.074549999999999</v>
      </c>
      <c r="BG13">
        <v>-7.6551850000000004</v>
      </c>
      <c r="BH13">
        <v>3.9622570000000001</v>
      </c>
      <c r="BI13">
        <v>10.654170000000001</v>
      </c>
      <c r="BJ13">
        <v>-13.836040000000001</v>
      </c>
      <c r="BK13">
        <v>0.47902099999999997</v>
      </c>
      <c r="BL13">
        <v>23.344069999999999</v>
      </c>
      <c r="BM13">
        <v>74.665319999999994</v>
      </c>
      <c r="BN13">
        <v>77.359530000000007</v>
      </c>
      <c r="BO13">
        <v>74.437520000000006</v>
      </c>
      <c r="BP13">
        <v>78.379840000000002</v>
      </c>
      <c r="BQ13">
        <v>86.586299999999994</v>
      </c>
      <c r="BR13">
        <v>83.503380000000007</v>
      </c>
      <c r="BS13">
        <v>80.397900000000007</v>
      </c>
      <c r="BT13">
        <v>69.221549999999993</v>
      </c>
      <c r="BU13">
        <v>39.112490000000001</v>
      </c>
      <c r="BV13">
        <v>28.871379999999998</v>
      </c>
      <c r="BW13">
        <v>16.433859999999999</v>
      </c>
      <c r="BX13">
        <v>13.65049</v>
      </c>
      <c r="BY13">
        <v>-1.2127399999999999</v>
      </c>
      <c r="BZ13">
        <v>1.18929</v>
      </c>
      <c r="CA13">
        <v>1.62517</v>
      </c>
      <c r="CB13">
        <v>3.1315879999999998</v>
      </c>
      <c r="CC13">
        <v>4.7827260000000003</v>
      </c>
      <c r="CD13">
        <v>-19.148109999999999</v>
      </c>
      <c r="CE13">
        <v>-5.8574760000000001</v>
      </c>
      <c r="CF13">
        <v>5.4991539999999999</v>
      </c>
      <c r="CG13">
        <v>12.344010000000001</v>
      </c>
      <c r="CH13">
        <v>-12.113379999999999</v>
      </c>
      <c r="CI13">
        <v>2.5120450000000001</v>
      </c>
      <c r="CJ13">
        <v>25.54261</v>
      </c>
      <c r="CK13">
        <v>77.315089999999998</v>
      </c>
      <c r="CL13">
        <v>79.941389999999998</v>
      </c>
      <c r="CM13">
        <v>77.054209999999998</v>
      </c>
      <c r="CN13">
        <v>80.77807</v>
      </c>
      <c r="CO13">
        <v>89.138649999999998</v>
      </c>
      <c r="CP13">
        <v>86.044820000000001</v>
      </c>
      <c r="CQ13">
        <v>83.22775</v>
      </c>
      <c r="CR13">
        <v>71.936319999999995</v>
      </c>
      <c r="CS13">
        <v>42.116779999999999</v>
      </c>
      <c r="CT13">
        <v>31.59093</v>
      </c>
      <c r="CU13">
        <v>18.370180000000001</v>
      </c>
      <c r="CV13">
        <v>15.56536</v>
      </c>
      <c r="CW13">
        <v>0.18578720000000001</v>
      </c>
      <c r="CX13">
        <v>2.7254399999999999</v>
      </c>
      <c r="CY13">
        <v>3.0848270000000002</v>
      </c>
      <c r="CZ13">
        <v>4.317679</v>
      </c>
      <c r="DA13">
        <v>6.6626349999999999</v>
      </c>
      <c r="DB13">
        <v>-17.22167</v>
      </c>
      <c r="DC13">
        <v>-4.0597669999999999</v>
      </c>
      <c r="DD13">
        <v>7.0360500000000004</v>
      </c>
      <c r="DE13">
        <v>14.033860000000001</v>
      </c>
      <c r="DF13">
        <v>-10.39072</v>
      </c>
      <c r="DG13">
        <v>4.5450689999999998</v>
      </c>
      <c r="DH13">
        <v>27.741140000000001</v>
      </c>
      <c r="DI13">
        <v>79.964870000000005</v>
      </c>
      <c r="DJ13">
        <v>82.523250000000004</v>
      </c>
      <c r="DK13">
        <v>79.670910000000006</v>
      </c>
      <c r="DL13">
        <v>83.176299999999998</v>
      </c>
      <c r="DM13">
        <v>91.690989999999999</v>
      </c>
      <c r="DN13">
        <v>88.586269999999999</v>
      </c>
      <c r="DO13">
        <v>86.057590000000005</v>
      </c>
      <c r="DP13">
        <v>74.651079999999993</v>
      </c>
      <c r="DQ13">
        <v>45.121079999999999</v>
      </c>
      <c r="DR13">
        <v>34.310490000000001</v>
      </c>
      <c r="DS13">
        <v>20.306509999999999</v>
      </c>
      <c r="DT13">
        <v>17.480229999999999</v>
      </c>
      <c r="DU13">
        <v>2.2050380000000001</v>
      </c>
      <c r="DV13">
        <v>4.943397</v>
      </c>
      <c r="DW13">
        <v>5.1923399999999997</v>
      </c>
      <c r="DX13">
        <v>6.0302049999999996</v>
      </c>
      <c r="DY13">
        <v>9.376925</v>
      </c>
      <c r="DZ13">
        <v>-14.440200000000001</v>
      </c>
      <c r="EA13">
        <v>-1.464161</v>
      </c>
      <c r="EB13">
        <v>9.2550840000000001</v>
      </c>
      <c r="EC13">
        <v>16.47372</v>
      </c>
      <c r="ED13">
        <v>-7.903467</v>
      </c>
      <c r="EE13">
        <v>7.4804329999999997</v>
      </c>
      <c r="EF13">
        <v>30.915479999999999</v>
      </c>
      <c r="EG13">
        <v>83.790719999999993</v>
      </c>
      <c r="EH13">
        <v>86.251050000000006</v>
      </c>
      <c r="EI13">
        <v>83.449010000000001</v>
      </c>
      <c r="EJ13">
        <v>86.638959999999997</v>
      </c>
      <c r="EK13">
        <v>95.376180000000005</v>
      </c>
      <c r="EL13">
        <v>92.255709999999993</v>
      </c>
      <c r="EM13">
        <v>90.143439999999998</v>
      </c>
      <c r="EN13">
        <v>78.570769999999996</v>
      </c>
      <c r="EO13">
        <v>49.45881</v>
      </c>
      <c r="EP13">
        <v>38.237090000000002</v>
      </c>
      <c r="EQ13">
        <v>23.102250000000002</v>
      </c>
      <c r="ER13">
        <v>20.245000000000001</v>
      </c>
      <c r="ES13">
        <v>74.561610000000002</v>
      </c>
      <c r="ET13">
        <v>73.287840000000003</v>
      </c>
      <c r="EU13">
        <v>72.445160000000001</v>
      </c>
      <c r="EV13">
        <v>71.950190000000006</v>
      </c>
      <c r="EW13">
        <v>72.338809999999995</v>
      </c>
      <c r="EX13">
        <v>72.94135</v>
      </c>
      <c r="EY13">
        <v>72.080269999999999</v>
      </c>
      <c r="EZ13">
        <v>72.820740000000001</v>
      </c>
      <c r="FA13">
        <v>74.691270000000003</v>
      </c>
      <c r="FB13">
        <v>77.477770000000007</v>
      </c>
      <c r="FC13">
        <v>78.465289999999996</v>
      </c>
      <c r="FD13">
        <v>79.368139999999997</v>
      </c>
      <c r="FE13">
        <v>81.103449999999995</v>
      </c>
      <c r="FF13">
        <v>81.001909999999995</v>
      </c>
      <c r="FG13">
        <v>81.540049999999994</v>
      </c>
      <c r="FH13">
        <v>81.55247</v>
      </c>
      <c r="FI13">
        <v>81.345950000000002</v>
      </c>
      <c r="FJ13">
        <v>79.799809999999994</v>
      </c>
      <c r="FK13">
        <v>78.954179999999994</v>
      </c>
      <c r="FL13">
        <v>77.447699999999998</v>
      </c>
      <c r="FM13">
        <v>75.259640000000005</v>
      </c>
      <c r="FN13">
        <v>73.547880000000006</v>
      </c>
      <c r="FO13">
        <v>72.651669999999996</v>
      </c>
      <c r="FP13">
        <v>71.965639999999993</v>
      </c>
      <c r="FQ13">
        <v>2.0221460000000002</v>
      </c>
      <c r="FR13">
        <v>1</v>
      </c>
    </row>
    <row r="14" spans="1:174" x14ac:dyDescent="0.2">
      <c r="A14" t="s">
        <v>63</v>
      </c>
      <c r="B14">
        <v>42214</v>
      </c>
      <c r="C14">
        <v>373</v>
      </c>
      <c r="D14" s="65">
        <v>640</v>
      </c>
      <c r="E14">
        <v>331.8587</v>
      </c>
      <c r="F14">
        <v>329.43610000000001</v>
      </c>
      <c r="G14">
        <v>326.86520000000002</v>
      </c>
      <c r="H14">
        <v>330.56299999999999</v>
      </c>
      <c r="I14">
        <v>346.25420000000003</v>
      </c>
      <c r="J14">
        <v>380.08659999999998</v>
      </c>
      <c r="K14">
        <v>424.85700000000003</v>
      </c>
      <c r="L14">
        <v>444.37979999999999</v>
      </c>
      <c r="M14">
        <v>453.98919999999998</v>
      </c>
      <c r="N14">
        <v>462.49810000000002</v>
      </c>
      <c r="O14">
        <v>470.4203</v>
      </c>
      <c r="P14">
        <v>471.99849999999998</v>
      </c>
      <c r="Q14">
        <v>471.9667</v>
      </c>
      <c r="R14">
        <v>470.0428</v>
      </c>
      <c r="S14">
        <v>471.93380000000002</v>
      </c>
      <c r="T14">
        <v>464.07580000000002</v>
      </c>
      <c r="U14">
        <v>459.58449999999999</v>
      </c>
      <c r="V14">
        <v>449.71350000000001</v>
      </c>
      <c r="W14">
        <v>421.78199999999998</v>
      </c>
      <c r="X14">
        <v>411.14699999999999</v>
      </c>
      <c r="Y14">
        <v>397.26859999999999</v>
      </c>
      <c r="Z14">
        <v>369.43299999999999</v>
      </c>
      <c r="AA14">
        <v>349.19009999999997</v>
      </c>
      <c r="AB14">
        <v>340.35320000000002</v>
      </c>
      <c r="AC14">
        <v>7.6462139999999996</v>
      </c>
      <c r="AD14">
        <v>5.5602980000000004</v>
      </c>
      <c r="AE14">
        <v>1.3796679999999999</v>
      </c>
      <c r="AF14">
        <v>1.927789</v>
      </c>
      <c r="AG14">
        <v>5.2697409999999998</v>
      </c>
      <c r="AH14">
        <v>-17.492290000000001</v>
      </c>
      <c r="AI14">
        <v>-12.5496</v>
      </c>
      <c r="AJ14">
        <v>-3.438707</v>
      </c>
      <c r="AK14">
        <v>-6.5594970000000004</v>
      </c>
      <c r="AL14">
        <v>-10.20983</v>
      </c>
      <c r="AM14">
        <v>-9.1695430000000009</v>
      </c>
      <c r="AN14">
        <v>25.28745</v>
      </c>
      <c r="AO14">
        <v>97.793559999999999</v>
      </c>
      <c r="AP14">
        <v>96.179119999999998</v>
      </c>
      <c r="AQ14">
        <v>97.395740000000004</v>
      </c>
      <c r="AR14">
        <v>100.5994</v>
      </c>
      <c r="AS14">
        <v>107.3817</v>
      </c>
      <c r="AT14">
        <v>105.28100000000001</v>
      </c>
      <c r="AU14">
        <v>94.358999999999995</v>
      </c>
      <c r="AV14">
        <v>86.25385</v>
      </c>
      <c r="AW14">
        <v>64.259749999999997</v>
      </c>
      <c r="AX14">
        <v>43.472580000000001</v>
      </c>
      <c r="AY14">
        <v>36.068399999999997</v>
      </c>
      <c r="AZ14">
        <v>19.948789999999999</v>
      </c>
      <c r="BA14">
        <v>9.0149589999999993</v>
      </c>
      <c r="BB14">
        <v>6.9986769999999998</v>
      </c>
      <c r="BC14">
        <v>2.851871</v>
      </c>
      <c r="BD14">
        <v>3.0737459999999999</v>
      </c>
      <c r="BE14">
        <v>6.935981</v>
      </c>
      <c r="BF14">
        <v>-15.536440000000001</v>
      </c>
      <c r="BG14">
        <v>-10.83446</v>
      </c>
      <c r="BH14">
        <v>-1.9411560000000001</v>
      </c>
      <c r="BI14">
        <v>-4.8462059999999996</v>
      </c>
      <c r="BJ14">
        <v>-8.3607999999999993</v>
      </c>
      <c r="BK14">
        <v>-7.3772539999999998</v>
      </c>
      <c r="BL14">
        <v>27.15296</v>
      </c>
      <c r="BM14">
        <v>100.2551</v>
      </c>
      <c r="BN14">
        <v>98.872690000000006</v>
      </c>
      <c r="BO14">
        <v>100.7701</v>
      </c>
      <c r="BP14">
        <v>103.3189</v>
      </c>
      <c r="BQ14">
        <v>109.7736</v>
      </c>
      <c r="BR14">
        <v>107.55329999999999</v>
      </c>
      <c r="BS14">
        <v>97.12106</v>
      </c>
      <c r="BT14">
        <v>88.913640000000001</v>
      </c>
      <c r="BU14">
        <v>67.030289999999994</v>
      </c>
      <c r="BV14">
        <v>46.354100000000003</v>
      </c>
      <c r="BW14">
        <v>37.951099999999997</v>
      </c>
      <c r="BX14">
        <v>21.526479999999999</v>
      </c>
      <c r="BY14">
        <v>9.9629480000000008</v>
      </c>
      <c r="BZ14">
        <v>7.9948940000000004</v>
      </c>
      <c r="CA14">
        <v>3.8715139999999999</v>
      </c>
      <c r="CB14">
        <v>3.8674330000000001</v>
      </c>
      <c r="CC14">
        <v>8.090014</v>
      </c>
      <c r="CD14">
        <v>-14.18182</v>
      </c>
      <c r="CE14">
        <v>-9.6465619999999994</v>
      </c>
      <c r="CF14">
        <v>-0.90395689999999995</v>
      </c>
      <c r="CG14">
        <v>-3.659586</v>
      </c>
      <c r="CH14">
        <v>-7.0801689999999997</v>
      </c>
      <c r="CI14">
        <v>-6.1359199999999996</v>
      </c>
      <c r="CJ14">
        <v>28.445</v>
      </c>
      <c r="CK14">
        <v>101.96</v>
      </c>
      <c r="CL14">
        <v>100.73820000000001</v>
      </c>
      <c r="CM14">
        <v>103.10720000000001</v>
      </c>
      <c r="CN14">
        <v>105.2025</v>
      </c>
      <c r="CO14">
        <v>111.4303</v>
      </c>
      <c r="CP14">
        <v>109.1271</v>
      </c>
      <c r="CQ14">
        <v>99.034059999999997</v>
      </c>
      <c r="CR14">
        <v>90.755790000000005</v>
      </c>
      <c r="CS14">
        <v>68.949160000000006</v>
      </c>
      <c r="CT14">
        <v>48.349820000000001</v>
      </c>
      <c r="CU14">
        <v>39.25506</v>
      </c>
      <c r="CV14">
        <v>22.61918</v>
      </c>
      <c r="CW14">
        <v>10.91094</v>
      </c>
      <c r="CX14">
        <v>8.9911110000000001</v>
      </c>
      <c r="CY14">
        <v>4.8911569999999998</v>
      </c>
      <c r="CZ14">
        <v>4.6611200000000004</v>
      </c>
      <c r="DA14">
        <v>9.2440460000000009</v>
      </c>
      <c r="DB14">
        <v>-12.827209999999999</v>
      </c>
      <c r="DC14">
        <v>-8.4586600000000001</v>
      </c>
      <c r="DD14">
        <v>0.13324240000000001</v>
      </c>
      <c r="DE14">
        <v>-2.472966</v>
      </c>
      <c r="DF14">
        <v>-5.7995380000000001</v>
      </c>
      <c r="DG14">
        <v>-4.8945850000000002</v>
      </c>
      <c r="DH14">
        <v>29.73705</v>
      </c>
      <c r="DI14">
        <v>103.6649</v>
      </c>
      <c r="DJ14">
        <v>102.60380000000001</v>
      </c>
      <c r="DK14">
        <v>105.4442</v>
      </c>
      <c r="DL14">
        <v>107.086</v>
      </c>
      <c r="DM14">
        <v>113.0869</v>
      </c>
      <c r="DN14">
        <v>110.7009</v>
      </c>
      <c r="DO14">
        <v>100.94710000000001</v>
      </c>
      <c r="DP14">
        <v>92.597949999999997</v>
      </c>
      <c r="DQ14">
        <v>70.868030000000005</v>
      </c>
      <c r="DR14">
        <v>50.34554</v>
      </c>
      <c r="DS14">
        <v>40.559010000000001</v>
      </c>
      <c r="DT14">
        <v>23.71189</v>
      </c>
      <c r="DU14">
        <v>12.279680000000001</v>
      </c>
      <c r="DV14">
        <v>10.429489999999999</v>
      </c>
      <c r="DW14">
        <v>6.363359</v>
      </c>
      <c r="DX14">
        <v>5.8070779999999997</v>
      </c>
      <c r="DY14">
        <v>10.91029</v>
      </c>
      <c r="DZ14">
        <v>-10.871359999999999</v>
      </c>
      <c r="EA14">
        <v>-6.743519</v>
      </c>
      <c r="EB14">
        <v>1.6307940000000001</v>
      </c>
      <c r="EC14">
        <v>-0.75967519999999999</v>
      </c>
      <c r="ED14">
        <v>-3.95051</v>
      </c>
      <c r="EE14">
        <v>-3.1022959999999999</v>
      </c>
      <c r="EF14">
        <v>31.602550000000001</v>
      </c>
      <c r="EG14">
        <v>106.12649999999999</v>
      </c>
      <c r="EH14">
        <v>105.2974</v>
      </c>
      <c r="EI14">
        <v>108.8186</v>
      </c>
      <c r="EJ14">
        <v>109.8056</v>
      </c>
      <c r="EK14">
        <v>115.4789</v>
      </c>
      <c r="EL14">
        <v>112.97320000000001</v>
      </c>
      <c r="EM14">
        <v>103.70910000000001</v>
      </c>
      <c r="EN14">
        <v>95.257729999999995</v>
      </c>
      <c r="EO14">
        <v>73.638570000000001</v>
      </c>
      <c r="EP14">
        <v>53.227049999999998</v>
      </c>
      <c r="EQ14">
        <v>42.441719999999997</v>
      </c>
      <c r="ER14">
        <v>25.289580000000001</v>
      </c>
      <c r="ES14">
        <v>70.244770000000003</v>
      </c>
      <c r="ET14">
        <v>69.640060000000005</v>
      </c>
      <c r="EU14">
        <v>69.082689999999999</v>
      </c>
      <c r="EV14">
        <v>68.526960000000003</v>
      </c>
      <c r="EW14">
        <v>68.111400000000003</v>
      </c>
      <c r="EX14">
        <v>68.259990000000002</v>
      </c>
      <c r="EY14">
        <v>68.178210000000007</v>
      </c>
      <c r="EZ14">
        <v>68.578040000000001</v>
      </c>
      <c r="FA14">
        <v>70.171080000000003</v>
      </c>
      <c r="FB14">
        <v>72.210179999999994</v>
      </c>
      <c r="FC14">
        <v>74.764399999999995</v>
      </c>
      <c r="FD14">
        <v>76.949389999999994</v>
      </c>
      <c r="FE14">
        <v>79.691299999999998</v>
      </c>
      <c r="FF14">
        <v>82.60651</v>
      </c>
      <c r="FG14">
        <v>83.922870000000003</v>
      </c>
      <c r="FH14">
        <v>83.500290000000007</v>
      </c>
      <c r="FI14">
        <v>83.008160000000004</v>
      </c>
      <c r="FJ14">
        <v>81.953220000000002</v>
      </c>
      <c r="FK14">
        <v>81.655760000000001</v>
      </c>
      <c r="FL14">
        <v>80.166120000000006</v>
      </c>
      <c r="FM14">
        <v>77.338279999999997</v>
      </c>
      <c r="FN14">
        <v>74.376189999999994</v>
      </c>
      <c r="FO14">
        <v>73.078720000000004</v>
      </c>
      <c r="FP14">
        <v>72.215220000000002</v>
      </c>
      <c r="FQ14">
        <v>1.828511</v>
      </c>
      <c r="FR14">
        <v>1</v>
      </c>
    </row>
    <row r="15" spans="1:174" x14ac:dyDescent="0.2">
      <c r="A15" t="s">
        <v>63</v>
      </c>
      <c r="B15">
        <v>42215</v>
      </c>
      <c r="C15">
        <v>371</v>
      </c>
      <c r="D15" s="65">
        <v>640</v>
      </c>
      <c r="E15">
        <v>339.14749999999998</v>
      </c>
      <c r="F15">
        <v>334.81900000000002</v>
      </c>
      <c r="G15">
        <v>332.02420000000001</v>
      </c>
      <c r="H15">
        <v>335.15129999999999</v>
      </c>
      <c r="I15">
        <v>351.48329999999999</v>
      </c>
      <c r="J15">
        <v>385.46429999999998</v>
      </c>
      <c r="K15">
        <v>428.91370000000001</v>
      </c>
      <c r="L15">
        <v>449.43520000000001</v>
      </c>
      <c r="M15">
        <v>460.2285</v>
      </c>
      <c r="N15">
        <v>469.0917</v>
      </c>
      <c r="O15">
        <v>479.08069999999998</v>
      </c>
      <c r="P15">
        <v>478.82510000000002</v>
      </c>
      <c r="Q15">
        <v>476.72030000000001</v>
      </c>
      <c r="R15">
        <v>475.9821</v>
      </c>
      <c r="S15">
        <v>477.33690000000001</v>
      </c>
      <c r="T15">
        <v>465.98379999999997</v>
      </c>
      <c r="U15">
        <v>462.3648</v>
      </c>
      <c r="V15">
        <v>454.31889999999999</v>
      </c>
      <c r="W15">
        <v>425.3974</v>
      </c>
      <c r="X15">
        <v>413.49740000000003</v>
      </c>
      <c r="Y15">
        <v>401.3827</v>
      </c>
      <c r="Z15">
        <v>374.36930000000001</v>
      </c>
      <c r="AA15">
        <v>354.04829999999998</v>
      </c>
      <c r="AB15">
        <v>344.19639999999998</v>
      </c>
      <c r="AC15">
        <v>16.484010000000001</v>
      </c>
      <c r="AD15">
        <v>12.755929999999999</v>
      </c>
      <c r="AE15">
        <v>12.37467</v>
      </c>
      <c r="AF15">
        <v>12.714600000000001</v>
      </c>
      <c r="AG15">
        <v>17.991969999999998</v>
      </c>
      <c r="AH15">
        <v>-11.505140000000001</v>
      </c>
      <c r="AI15">
        <v>-3.193902</v>
      </c>
      <c r="AJ15">
        <v>3.0117229999999999</v>
      </c>
      <c r="AK15">
        <v>2.2602500000000001E-2</v>
      </c>
      <c r="AL15">
        <v>10.28993</v>
      </c>
      <c r="AM15">
        <v>11.549770000000001</v>
      </c>
      <c r="AN15">
        <v>69.451599999999999</v>
      </c>
      <c r="AO15">
        <v>101.24120000000001</v>
      </c>
      <c r="AP15">
        <v>102.80370000000001</v>
      </c>
      <c r="AQ15">
        <v>100.69540000000001</v>
      </c>
      <c r="AR15">
        <v>97.560230000000004</v>
      </c>
      <c r="AS15">
        <v>97.589070000000007</v>
      </c>
      <c r="AT15">
        <v>97.399990000000003</v>
      </c>
      <c r="AU15">
        <v>87.860280000000003</v>
      </c>
      <c r="AV15">
        <v>83.478650000000002</v>
      </c>
      <c r="AW15">
        <v>65.388390000000001</v>
      </c>
      <c r="AX15">
        <v>45.51934</v>
      </c>
      <c r="AY15">
        <v>39.10239</v>
      </c>
      <c r="AZ15">
        <v>17.723859999999998</v>
      </c>
      <c r="BA15">
        <v>18.047280000000001</v>
      </c>
      <c r="BB15">
        <v>14.46935</v>
      </c>
      <c r="BC15">
        <v>14.098190000000001</v>
      </c>
      <c r="BD15">
        <v>14.10355</v>
      </c>
      <c r="BE15">
        <v>20.285340000000001</v>
      </c>
      <c r="BF15">
        <v>-8.9523689999999991</v>
      </c>
      <c r="BG15">
        <v>-0.57965699999999998</v>
      </c>
      <c r="BH15">
        <v>5.309183</v>
      </c>
      <c r="BI15">
        <v>2.115926</v>
      </c>
      <c r="BJ15">
        <v>12.343830000000001</v>
      </c>
      <c r="BK15">
        <v>13.69312</v>
      </c>
      <c r="BL15">
        <v>71.678280000000001</v>
      </c>
      <c r="BM15">
        <v>103.97920000000001</v>
      </c>
      <c r="BN15">
        <v>105.6454</v>
      </c>
      <c r="BO15">
        <v>104.2869</v>
      </c>
      <c r="BP15">
        <v>100.54600000000001</v>
      </c>
      <c r="BQ15">
        <v>100.44459999999999</v>
      </c>
      <c r="BR15">
        <v>100.30719999999999</v>
      </c>
      <c r="BS15">
        <v>91.079099999999997</v>
      </c>
      <c r="BT15">
        <v>86.531130000000005</v>
      </c>
      <c r="BU15">
        <v>68.543899999999994</v>
      </c>
      <c r="BV15">
        <v>49.022480000000002</v>
      </c>
      <c r="BW15">
        <v>41.633510000000001</v>
      </c>
      <c r="BX15">
        <v>19.862189999999998</v>
      </c>
      <c r="BY15">
        <v>19.129989999999999</v>
      </c>
      <c r="BZ15">
        <v>15.65606</v>
      </c>
      <c r="CA15">
        <v>15.2919</v>
      </c>
      <c r="CB15">
        <v>15.065530000000001</v>
      </c>
      <c r="CC15">
        <v>21.873719999999999</v>
      </c>
      <c r="CD15">
        <v>-7.1843269999999997</v>
      </c>
      <c r="CE15">
        <v>1.230961</v>
      </c>
      <c r="CF15">
        <v>6.9003969999999999</v>
      </c>
      <c r="CG15">
        <v>3.5657549999999998</v>
      </c>
      <c r="CH15">
        <v>13.766349999999999</v>
      </c>
      <c r="CI15">
        <v>15.17759</v>
      </c>
      <c r="CJ15">
        <v>73.220470000000006</v>
      </c>
      <c r="CK15">
        <v>105.8755</v>
      </c>
      <c r="CL15">
        <v>107.6135</v>
      </c>
      <c r="CM15">
        <v>106.7743</v>
      </c>
      <c r="CN15">
        <v>102.614</v>
      </c>
      <c r="CO15">
        <v>102.42230000000001</v>
      </c>
      <c r="CP15">
        <v>102.3207</v>
      </c>
      <c r="CQ15">
        <v>93.308449999999993</v>
      </c>
      <c r="CR15">
        <v>88.645269999999996</v>
      </c>
      <c r="CS15">
        <v>70.729399999999998</v>
      </c>
      <c r="CT15">
        <v>51.448740000000001</v>
      </c>
      <c r="CU15">
        <v>43.38655</v>
      </c>
      <c r="CV15">
        <v>21.34319</v>
      </c>
      <c r="CW15">
        <v>20.212700000000002</v>
      </c>
      <c r="CX15">
        <v>16.842770000000002</v>
      </c>
      <c r="CY15">
        <v>16.485610000000001</v>
      </c>
      <c r="CZ15">
        <v>16.027509999999999</v>
      </c>
      <c r="DA15">
        <v>23.4621</v>
      </c>
      <c r="DB15">
        <v>-5.4162850000000002</v>
      </c>
      <c r="DC15">
        <v>3.041579</v>
      </c>
      <c r="DD15">
        <v>8.4916110000000007</v>
      </c>
      <c r="DE15">
        <v>5.0155839999999996</v>
      </c>
      <c r="DF15">
        <v>15.188879999999999</v>
      </c>
      <c r="DG15">
        <v>16.66206</v>
      </c>
      <c r="DH15">
        <v>74.762659999999997</v>
      </c>
      <c r="DI15">
        <v>107.7718</v>
      </c>
      <c r="DJ15">
        <v>109.58159999999999</v>
      </c>
      <c r="DK15">
        <v>109.26179999999999</v>
      </c>
      <c r="DL15">
        <v>104.6819</v>
      </c>
      <c r="DM15">
        <v>104.40009999999999</v>
      </c>
      <c r="DN15">
        <v>104.3342</v>
      </c>
      <c r="DO15">
        <v>95.537800000000004</v>
      </c>
      <c r="DP15">
        <v>90.759410000000003</v>
      </c>
      <c r="DQ15">
        <v>72.914900000000003</v>
      </c>
      <c r="DR15">
        <v>53.875</v>
      </c>
      <c r="DS15">
        <v>45.139600000000002</v>
      </c>
      <c r="DT15">
        <v>22.824190000000002</v>
      </c>
      <c r="DU15">
        <v>21.775960000000001</v>
      </c>
      <c r="DV15">
        <v>18.556180000000001</v>
      </c>
      <c r="DW15">
        <v>18.209140000000001</v>
      </c>
      <c r="DX15">
        <v>17.416450000000001</v>
      </c>
      <c r="DY15">
        <v>25.755469999999999</v>
      </c>
      <c r="DZ15">
        <v>-2.8635130000000002</v>
      </c>
      <c r="EA15">
        <v>5.655824</v>
      </c>
      <c r="EB15">
        <v>10.789070000000001</v>
      </c>
      <c r="EC15">
        <v>7.1089079999999996</v>
      </c>
      <c r="ED15">
        <v>17.24278</v>
      </c>
      <c r="EE15">
        <v>18.805399999999999</v>
      </c>
      <c r="EF15">
        <v>76.989329999999995</v>
      </c>
      <c r="EG15">
        <v>110.5097</v>
      </c>
      <c r="EH15">
        <v>112.4233</v>
      </c>
      <c r="EI15">
        <v>112.8533</v>
      </c>
      <c r="EJ15">
        <v>107.6677</v>
      </c>
      <c r="EK15">
        <v>107.2556</v>
      </c>
      <c r="EL15">
        <v>107.2414</v>
      </c>
      <c r="EM15">
        <v>98.756619999999998</v>
      </c>
      <c r="EN15">
        <v>93.811899999999994</v>
      </c>
      <c r="EO15">
        <v>76.070409999999995</v>
      </c>
      <c r="EP15">
        <v>57.378140000000002</v>
      </c>
      <c r="EQ15">
        <v>47.670720000000003</v>
      </c>
      <c r="ER15">
        <v>24.962530000000001</v>
      </c>
      <c r="ES15">
        <v>71.785769999999999</v>
      </c>
      <c r="ET15">
        <v>71.747320000000002</v>
      </c>
      <c r="EU15">
        <v>71.766319999999993</v>
      </c>
      <c r="EV15">
        <v>71.118920000000003</v>
      </c>
      <c r="EW15">
        <v>70.77467</v>
      </c>
      <c r="EX15">
        <v>71.145039999999995</v>
      </c>
      <c r="EY15">
        <v>71.450550000000007</v>
      </c>
      <c r="EZ15">
        <v>71.687640000000002</v>
      </c>
      <c r="FA15">
        <v>72.762069999999994</v>
      </c>
      <c r="FB15">
        <v>73.909520000000001</v>
      </c>
      <c r="FC15">
        <v>76.627319999999997</v>
      </c>
      <c r="FD15">
        <v>78.456620000000001</v>
      </c>
      <c r="FE15">
        <v>81.319789999999998</v>
      </c>
      <c r="FF15">
        <v>83.420850000000002</v>
      </c>
      <c r="FG15">
        <v>84.781279999999995</v>
      </c>
      <c r="FH15">
        <v>85.04992</v>
      </c>
      <c r="FI15">
        <v>84.405429999999996</v>
      </c>
      <c r="FJ15">
        <v>83.865520000000004</v>
      </c>
      <c r="FK15">
        <v>82.731610000000003</v>
      </c>
      <c r="FL15">
        <v>79.639319999999998</v>
      </c>
      <c r="FM15">
        <v>77.780720000000002</v>
      </c>
      <c r="FN15">
        <v>76.381569999999996</v>
      </c>
      <c r="FO15">
        <v>75.065439999999995</v>
      </c>
      <c r="FP15">
        <v>73.835130000000007</v>
      </c>
      <c r="FQ15">
        <v>1.8424160000000001</v>
      </c>
      <c r="FR15">
        <v>1</v>
      </c>
    </row>
    <row r="16" spans="1:174" x14ac:dyDescent="0.2">
      <c r="A16" t="s">
        <v>63</v>
      </c>
      <c r="B16">
        <v>42233</v>
      </c>
      <c r="C16">
        <v>357</v>
      </c>
      <c r="D16" s="65">
        <v>654</v>
      </c>
      <c r="E16">
        <v>306.87580000000003</v>
      </c>
      <c r="F16">
        <v>310.55520000000001</v>
      </c>
      <c r="G16">
        <v>312.88249999999999</v>
      </c>
      <c r="H16">
        <v>325.13600000000002</v>
      </c>
      <c r="I16">
        <v>349.64420000000001</v>
      </c>
      <c r="J16">
        <v>385.26260000000002</v>
      </c>
      <c r="K16">
        <v>427.86110000000002</v>
      </c>
      <c r="L16">
        <v>444.76889999999997</v>
      </c>
      <c r="M16">
        <v>460.7602</v>
      </c>
      <c r="N16">
        <v>480.00540000000001</v>
      </c>
      <c r="O16">
        <v>495.53500000000003</v>
      </c>
      <c r="P16">
        <v>483.32049999999998</v>
      </c>
      <c r="Q16">
        <v>481.19670000000002</v>
      </c>
      <c r="R16">
        <v>481.6037</v>
      </c>
      <c r="S16">
        <v>480.3184</v>
      </c>
      <c r="T16">
        <v>474.29829999999998</v>
      </c>
      <c r="U16">
        <v>465.15550000000002</v>
      </c>
      <c r="V16">
        <v>449.77050000000003</v>
      </c>
      <c r="W16">
        <v>420.06240000000003</v>
      </c>
      <c r="X16">
        <v>403.83260000000001</v>
      </c>
      <c r="Y16">
        <v>386.91950000000003</v>
      </c>
      <c r="Z16">
        <v>371.37889999999999</v>
      </c>
      <c r="AA16">
        <v>354.21620000000001</v>
      </c>
      <c r="AB16">
        <v>340.1746</v>
      </c>
      <c r="AC16">
        <v>0.54566309999999996</v>
      </c>
      <c r="AD16">
        <v>-3.0816099999999999E-2</v>
      </c>
      <c r="AE16">
        <v>-0.45602759999999998</v>
      </c>
      <c r="AF16">
        <v>5.1554479999999998</v>
      </c>
      <c r="AG16">
        <v>-1.0094320000000001</v>
      </c>
      <c r="AH16">
        <v>-28.203199999999999</v>
      </c>
      <c r="AI16">
        <v>-9.9905980000000003</v>
      </c>
      <c r="AJ16">
        <v>-4.5132659999999998</v>
      </c>
      <c r="AK16">
        <v>-11.70579</v>
      </c>
      <c r="AL16">
        <v>-3.9213140000000002</v>
      </c>
      <c r="AM16">
        <v>5.1119279999999998</v>
      </c>
      <c r="AN16">
        <v>38.337269999999997</v>
      </c>
      <c r="AO16">
        <v>87.744029999999995</v>
      </c>
      <c r="AP16">
        <v>85.02758</v>
      </c>
      <c r="AQ16">
        <v>85.707599999999999</v>
      </c>
      <c r="AR16">
        <v>88.033019999999993</v>
      </c>
      <c r="AS16">
        <v>90.628960000000006</v>
      </c>
      <c r="AT16">
        <v>84.979190000000003</v>
      </c>
      <c r="AU16">
        <v>82.451970000000003</v>
      </c>
      <c r="AV16">
        <v>75.731750000000005</v>
      </c>
      <c r="AW16">
        <v>50.946820000000002</v>
      </c>
      <c r="AX16">
        <v>36.849020000000003</v>
      </c>
      <c r="AY16">
        <v>32.085540000000002</v>
      </c>
      <c r="AZ16">
        <v>11.762779999999999</v>
      </c>
      <c r="BA16">
        <v>3.6325090000000002</v>
      </c>
      <c r="BB16">
        <v>3.559939</v>
      </c>
      <c r="BC16">
        <v>2.8843760000000001</v>
      </c>
      <c r="BD16">
        <v>7.581575</v>
      </c>
      <c r="BE16">
        <v>3.4219580000000001</v>
      </c>
      <c r="BF16">
        <v>-24.62444</v>
      </c>
      <c r="BG16">
        <v>-7.0466870000000004</v>
      </c>
      <c r="BH16">
        <v>-1.4269559999999999</v>
      </c>
      <c r="BI16">
        <v>-7.8966130000000003</v>
      </c>
      <c r="BJ16">
        <v>-0.46136939999999999</v>
      </c>
      <c r="BK16">
        <v>8.5499200000000002</v>
      </c>
      <c r="BL16">
        <v>42.395000000000003</v>
      </c>
      <c r="BM16">
        <v>92.590170000000001</v>
      </c>
      <c r="BN16">
        <v>90.679519999999997</v>
      </c>
      <c r="BO16">
        <v>91.472329999999999</v>
      </c>
      <c r="BP16">
        <v>93.256110000000007</v>
      </c>
      <c r="BQ16">
        <v>95.971990000000005</v>
      </c>
      <c r="BR16">
        <v>90.581109999999995</v>
      </c>
      <c r="BS16">
        <v>89.113849999999999</v>
      </c>
      <c r="BT16">
        <v>81.636179999999996</v>
      </c>
      <c r="BU16">
        <v>57.17342</v>
      </c>
      <c r="BV16">
        <v>42.66874</v>
      </c>
      <c r="BW16">
        <v>36.450299999999999</v>
      </c>
      <c r="BX16">
        <v>15.95499</v>
      </c>
      <c r="BY16">
        <v>5.770448</v>
      </c>
      <c r="BZ16">
        <v>6.0468849999999996</v>
      </c>
      <c r="CA16">
        <v>5.1979290000000002</v>
      </c>
      <c r="CB16">
        <v>9.2619030000000002</v>
      </c>
      <c r="CC16">
        <v>6.4911250000000003</v>
      </c>
      <c r="CD16">
        <v>-22.145810000000001</v>
      </c>
      <c r="CE16">
        <v>-5.0077429999999996</v>
      </c>
      <c r="CF16">
        <v>0.71061289999999999</v>
      </c>
      <c r="CG16">
        <v>-5.2583909999999996</v>
      </c>
      <c r="CH16">
        <v>1.9349780000000001</v>
      </c>
      <c r="CI16">
        <v>10.93106</v>
      </c>
      <c r="CJ16">
        <v>45.205379999999998</v>
      </c>
      <c r="CK16">
        <v>95.94659</v>
      </c>
      <c r="CL16">
        <v>94.594040000000007</v>
      </c>
      <c r="CM16">
        <v>95.464960000000005</v>
      </c>
      <c r="CN16">
        <v>96.873609999999999</v>
      </c>
      <c r="CO16">
        <v>99.672569999999993</v>
      </c>
      <c r="CP16">
        <v>94.460970000000003</v>
      </c>
      <c r="CQ16">
        <v>93.72784</v>
      </c>
      <c r="CR16">
        <v>85.725579999999994</v>
      </c>
      <c r="CS16">
        <v>61.485950000000003</v>
      </c>
      <c r="CT16">
        <v>46.699449999999999</v>
      </c>
      <c r="CU16">
        <v>39.473309999999998</v>
      </c>
      <c r="CV16">
        <v>18.858499999999999</v>
      </c>
      <c r="CW16">
        <v>7.9083880000000004</v>
      </c>
      <c r="CX16">
        <v>8.5338309999999993</v>
      </c>
      <c r="CY16">
        <v>7.5114830000000001</v>
      </c>
      <c r="CZ16">
        <v>10.94223</v>
      </c>
      <c r="DA16">
        <v>9.5602909999999994</v>
      </c>
      <c r="DB16">
        <v>-19.667169999999999</v>
      </c>
      <c r="DC16">
        <v>-2.9687990000000002</v>
      </c>
      <c r="DD16">
        <v>2.848182</v>
      </c>
      <c r="DE16">
        <v>-2.6201699999999999</v>
      </c>
      <c r="DF16">
        <v>4.3313259999999998</v>
      </c>
      <c r="DG16">
        <v>13.31221</v>
      </c>
      <c r="DH16">
        <v>48.015749999999997</v>
      </c>
      <c r="DI16">
        <v>99.303020000000004</v>
      </c>
      <c r="DJ16">
        <v>98.508560000000003</v>
      </c>
      <c r="DK16">
        <v>99.457589999999996</v>
      </c>
      <c r="DL16">
        <v>100.4911</v>
      </c>
      <c r="DM16">
        <v>103.37309999999999</v>
      </c>
      <c r="DN16">
        <v>98.340829999999997</v>
      </c>
      <c r="DO16">
        <v>98.341840000000005</v>
      </c>
      <c r="DP16">
        <v>89.814970000000002</v>
      </c>
      <c r="DQ16">
        <v>65.798479999999998</v>
      </c>
      <c r="DR16">
        <v>50.730170000000001</v>
      </c>
      <c r="DS16">
        <v>42.49633</v>
      </c>
      <c r="DT16">
        <v>21.762</v>
      </c>
      <c r="DU16">
        <v>10.995229999999999</v>
      </c>
      <c r="DV16">
        <v>12.12459</v>
      </c>
      <c r="DW16">
        <v>10.851889999999999</v>
      </c>
      <c r="DX16">
        <v>13.368359999999999</v>
      </c>
      <c r="DY16">
        <v>13.991680000000001</v>
      </c>
      <c r="DZ16">
        <v>-16.08841</v>
      </c>
      <c r="EA16">
        <v>-2.4888E-2</v>
      </c>
      <c r="EB16">
        <v>5.9344919999999997</v>
      </c>
      <c r="EC16">
        <v>1.189003</v>
      </c>
      <c r="ED16">
        <v>7.7912699999999999</v>
      </c>
      <c r="EE16">
        <v>16.7502</v>
      </c>
      <c r="EF16">
        <v>52.07349</v>
      </c>
      <c r="EG16">
        <v>104.14919999999999</v>
      </c>
      <c r="EH16">
        <v>104.1605</v>
      </c>
      <c r="EI16">
        <v>105.2223</v>
      </c>
      <c r="EJ16">
        <v>105.71420000000001</v>
      </c>
      <c r="EK16">
        <v>108.7162</v>
      </c>
      <c r="EL16">
        <v>103.9427</v>
      </c>
      <c r="EM16">
        <v>105.00369999999999</v>
      </c>
      <c r="EN16">
        <v>95.719409999999996</v>
      </c>
      <c r="EO16">
        <v>72.025080000000003</v>
      </c>
      <c r="EP16">
        <v>56.549880000000002</v>
      </c>
      <c r="EQ16">
        <v>46.861080000000001</v>
      </c>
      <c r="ER16">
        <v>25.95421</v>
      </c>
      <c r="ES16">
        <v>75.815669999999997</v>
      </c>
      <c r="ET16">
        <v>74.577219999999997</v>
      </c>
      <c r="EU16">
        <v>73.373249999999999</v>
      </c>
      <c r="EV16">
        <v>72.290530000000004</v>
      </c>
      <c r="EW16">
        <v>71.93038</v>
      </c>
      <c r="EX16">
        <v>71.898769999999999</v>
      </c>
      <c r="EY16">
        <v>71.431439999999995</v>
      </c>
      <c r="EZ16">
        <v>71.622200000000007</v>
      </c>
      <c r="FA16">
        <v>73.930430000000001</v>
      </c>
      <c r="FB16">
        <v>78.178439999999995</v>
      </c>
      <c r="FC16">
        <v>81.611450000000005</v>
      </c>
      <c r="FD16">
        <v>81.993279999999999</v>
      </c>
      <c r="FE16">
        <v>82.743089999999995</v>
      </c>
      <c r="FF16">
        <v>83.24324</v>
      </c>
      <c r="FG16">
        <v>83.217140000000001</v>
      </c>
      <c r="FH16">
        <v>82.994039999999998</v>
      </c>
      <c r="FI16">
        <v>83.119770000000003</v>
      </c>
      <c r="FJ16">
        <v>82.676580000000001</v>
      </c>
      <c r="FK16">
        <v>81.778850000000006</v>
      </c>
      <c r="FL16">
        <v>79.552289999999999</v>
      </c>
      <c r="FM16">
        <v>76.542109999999994</v>
      </c>
      <c r="FN16">
        <v>74.182429999999997</v>
      </c>
      <c r="FO16">
        <v>72.521540000000002</v>
      </c>
      <c r="FP16">
        <v>71.587710000000001</v>
      </c>
      <c r="FQ16">
        <v>2.9695279999999999</v>
      </c>
      <c r="FR16">
        <v>1</v>
      </c>
    </row>
    <row r="17" spans="1:174" x14ac:dyDescent="0.2">
      <c r="A17" t="s">
        <v>63</v>
      </c>
      <c r="B17">
        <v>42242</v>
      </c>
      <c r="C17">
        <v>385</v>
      </c>
      <c r="D17" s="65">
        <v>653</v>
      </c>
      <c r="E17">
        <v>343.62099999999998</v>
      </c>
      <c r="F17">
        <v>341.57819999999998</v>
      </c>
      <c r="G17">
        <v>342.0933</v>
      </c>
      <c r="H17">
        <v>346.35289999999998</v>
      </c>
      <c r="I17">
        <v>364.96</v>
      </c>
      <c r="J17">
        <v>401.34629999999999</v>
      </c>
      <c r="K17">
        <v>445.58330000000001</v>
      </c>
      <c r="L17">
        <v>465.28530000000001</v>
      </c>
      <c r="M17">
        <v>478.12029999999999</v>
      </c>
      <c r="N17">
        <v>487.35169999999999</v>
      </c>
      <c r="O17">
        <v>497.76569999999998</v>
      </c>
      <c r="P17">
        <v>500.36070000000001</v>
      </c>
      <c r="Q17">
        <v>497.77620000000002</v>
      </c>
      <c r="R17">
        <v>495.02879999999999</v>
      </c>
      <c r="S17">
        <v>495.66199999999998</v>
      </c>
      <c r="T17">
        <v>485.01490000000001</v>
      </c>
      <c r="U17">
        <v>479.82420000000002</v>
      </c>
      <c r="V17">
        <v>466.79660000000001</v>
      </c>
      <c r="W17">
        <v>435.39229999999998</v>
      </c>
      <c r="X17">
        <v>426.2226</v>
      </c>
      <c r="Y17">
        <v>408.6891</v>
      </c>
      <c r="Z17">
        <v>381.71100000000001</v>
      </c>
      <c r="AA17">
        <v>360.6121</v>
      </c>
      <c r="AB17">
        <v>350.2987</v>
      </c>
      <c r="AC17">
        <v>2.0598450000000001</v>
      </c>
      <c r="AD17">
        <v>3.9141949999999999</v>
      </c>
      <c r="AE17">
        <v>4.318257</v>
      </c>
      <c r="AF17">
        <v>4.3076369999999997</v>
      </c>
      <c r="AG17">
        <v>-3.2817940000000001</v>
      </c>
      <c r="AH17">
        <v>-22.46181</v>
      </c>
      <c r="AI17">
        <v>-7.4480589999999998</v>
      </c>
      <c r="AJ17">
        <v>0.81265980000000004</v>
      </c>
      <c r="AK17">
        <v>-7.1868080000000001</v>
      </c>
      <c r="AL17">
        <v>-7.5442470000000004</v>
      </c>
      <c r="AM17">
        <v>0.32702589999999998</v>
      </c>
      <c r="AN17">
        <v>44.717599999999997</v>
      </c>
      <c r="AO17">
        <v>94.835809999999995</v>
      </c>
      <c r="AP17">
        <v>96.992270000000005</v>
      </c>
      <c r="AQ17">
        <v>102.98390000000001</v>
      </c>
      <c r="AR17">
        <v>102.7912</v>
      </c>
      <c r="AS17">
        <v>98.259079999999997</v>
      </c>
      <c r="AT17">
        <v>93.625820000000004</v>
      </c>
      <c r="AU17">
        <v>93.531300000000002</v>
      </c>
      <c r="AV17">
        <v>86.024389999999997</v>
      </c>
      <c r="AW17">
        <v>28.125910000000001</v>
      </c>
      <c r="AX17">
        <v>34.633560000000003</v>
      </c>
      <c r="AY17">
        <v>15.94961</v>
      </c>
      <c r="AZ17">
        <v>42.248959999999997</v>
      </c>
      <c r="BA17">
        <v>4.1372179999999998</v>
      </c>
      <c r="BB17">
        <v>5.8802750000000001</v>
      </c>
      <c r="BC17">
        <v>6.300173</v>
      </c>
      <c r="BD17">
        <v>6.0857510000000001</v>
      </c>
      <c r="BE17">
        <v>-0.63455819999999996</v>
      </c>
      <c r="BF17">
        <v>-19.5932</v>
      </c>
      <c r="BG17">
        <v>-4.8948700000000001</v>
      </c>
      <c r="BH17">
        <v>2.8421210000000001</v>
      </c>
      <c r="BI17">
        <v>-5.2116429999999996</v>
      </c>
      <c r="BJ17">
        <v>-5.4968360000000001</v>
      </c>
      <c r="BK17">
        <v>2.496524</v>
      </c>
      <c r="BL17">
        <v>47.071190000000001</v>
      </c>
      <c r="BM17">
        <v>97.525109999999998</v>
      </c>
      <c r="BN17">
        <v>99.639570000000006</v>
      </c>
      <c r="BO17">
        <v>106.04900000000001</v>
      </c>
      <c r="BP17">
        <v>105.47920000000001</v>
      </c>
      <c r="BQ17">
        <v>100.87779999999999</v>
      </c>
      <c r="BR17">
        <v>96.354200000000006</v>
      </c>
      <c r="BS17">
        <v>96.570980000000006</v>
      </c>
      <c r="BT17">
        <v>89.083709999999996</v>
      </c>
      <c r="BU17">
        <v>31.230340000000002</v>
      </c>
      <c r="BV17">
        <v>37.967959999999998</v>
      </c>
      <c r="BW17">
        <v>18.343730000000001</v>
      </c>
      <c r="BX17">
        <v>44.388309999999997</v>
      </c>
      <c r="BY17">
        <v>5.5759990000000004</v>
      </c>
      <c r="BZ17">
        <v>7.2419760000000002</v>
      </c>
      <c r="CA17">
        <v>7.6728420000000002</v>
      </c>
      <c r="CB17">
        <v>7.317266</v>
      </c>
      <c r="CC17">
        <v>1.198909</v>
      </c>
      <c r="CD17">
        <v>-17.60641</v>
      </c>
      <c r="CE17">
        <v>-3.1265390000000002</v>
      </c>
      <c r="CF17">
        <v>4.2477200000000002</v>
      </c>
      <c r="CG17">
        <v>-3.8436509999999999</v>
      </c>
      <c r="CH17">
        <v>-4.078805</v>
      </c>
      <c r="CI17">
        <v>3.9991120000000002</v>
      </c>
      <c r="CJ17">
        <v>48.70129</v>
      </c>
      <c r="CK17">
        <v>99.387699999999995</v>
      </c>
      <c r="CL17">
        <v>101.4731</v>
      </c>
      <c r="CM17">
        <v>108.17189999999999</v>
      </c>
      <c r="CN17">
        <v>107.34099999999999</v>
      </c>
      <c r="CO17">
        <v>102.6915</v>
      </c>
      <c r="CP17">
        <v>98.243870000000001</v>
      </c>
      <c r="CQ17">
        <v>98.676259999999999</v>
      </c>
      <c r="CR17">
        <v>91.202579999999998</v>
      </c>
      <c r="CS17">
        <v>33.380450000000003</v>
      </c>
      <c r="CT17">
        <v>40.277349999999998</v>
      </c>
      <c r="CU17">
        <v>20.001899999999999</v>
      </c>
      <c r="CV17">
        <v>45.870019999999997</v>
      </c>
      <c r="CW17">
        <v>7.0147810000000002</v>
      </c>
      <c r="CX17">
        <v>8.6036769999999994</v>
      </c>
      <c r="CY17">
        <v>9.0455100000000002</v>
      </c>
      <c r="CZ17">
        <v>8.5487819999999992</v>
      </c>
      <c r="DA17">
        <v>3.0323769999999999</v>
      </c>
      <c r="DB17">
        <v>-15.619619999999999</v>
      </c>
      <c r="DC17">
        <v>-1.3582080000000001</v>
      </c>
      <c r="DD17">
        <v>5.6533179999999996</v>
      </c>
      <c r="DE17">
        <v>-2.4756580000000001</v>
      </c>
      <c r="DF17">
        <v>-2.6607750000000001</v>
      </c>
      <c r="DG17">
        <v>5.5016999999999996</v>
      </c>
      <c r="DH17">
        <v>50.331389999999999</v>
      </c>
      <c r="DI17">
        <v>101.2503</v>
      </c>
      <c r="DJ17">
        <v>103.3066</v>
      </c>
      <c r="DK17">
        <v>110.2948</v>
      </c>
      <c r="DL17">
        <v>109.20269999999999</v>
      </c>
      <c r="DM17">
        <v>104.5052</v>
      </c>
      <c r="DN17">
        <v>100.1335</v>
      </c>
      <c r="DO17">
        <v>100.78149999999999</v>
      </c>
      <c r="DP17">
        <v>93.321460000000002</v>
      </c>
      <c r="DQ17">
        <v>35.530560000000001</v>
      </c>
      <c r="DR17">
        <v>42.586750000000002</v>
      </c>
      <c r="DS17">
        <v>21.660060000000001</v>
      </c>
      <c r="DT17">
        <v>47.351730000000003</v>
      </c>
      <c r="DU17">
        <v>9.0921540000000007</v>
      </c>
      <c r="DV17">
        <v>10.56976</v>
      </c>
      <c r="DW17">
        <v>11.027430000000001</v>
      </c>
      <c r="DX17">
        <v>10.3269</v>
      </c>
      <c r="DY17">
        <v>5.6796129999999998</v>
      </c>
      <c r="DZ17">
        <v>-12.751010000000001</v>
      </c>
      <c r="EA17">
        <v>1.1949810000000001</v>
      </c>
      <c r="EB17">
        <v>7.6827800000000002</v>
      </c>
      <c r="EC17">
        <v>-0.50049410000000005</v>
      </c>
      <c r="ED17">
        <v>-0.61336420000000003</v>
      </c>
      <c r="EE17">
        <v>7.6711989999999997</v>
      </c>
      <c r="EF17">
        <v>52.684980000000003</v>
      </c>
      <c r="EG17">
        <v>103.9396</v>
      </c>
      <c r="EH17">
        <v>105.9539</v>
      </c>
      <c r="EI17">
        <v>113.36</v>
      </c>
      <c r="EJ17">
        <v>111.8907</v>
      </c>
      <c r="EK17">
        <v>107.12390000000001</v>
      </c>
      <c r="EL17">
        <v>102.86190000000001</v>
      </c>
      <c r="EM17">
        <v>103.8212</v>
      </c>
      <c r="EN17">
        <v>96.380780000000001</v>
      </c>
      <c r="EO17">
        <v>38.634979999999999</v>
      </c>
      <c r="EP17">
        <v>45.921149999999997</v>
      </c>
      <c r="EQ17">
        <v>24.054179999999999</v>
      </c>
      <c r="ER17">
        <v>49.491079999999997</v>
      </c>
      <c r="ES17">
        <v>77.329210000000003</v>
      </c>
      <c r="ET17">
        <v>76.375209999999996</v>
      </c>
      <c r="EU17">
        <v>75.959130000000002</v>
      </c>
      <c r="EV17">
        <v>75.590339999999998</v>
      </c>
      <c r="EW17">
        <v>74.646739999999994</v>
      </c>
      <c r="EX17">
        <v>73.882990000000007</v>
      </c>
      <c r="EY17">
        <v>73.434510000000003</v>
      </c>
      <c r="EZ17">
        <v>73.251329999999996</v>
      </c>
      <c r="FA17">
        <v>73.962209999999999</v>
      </c>
      <c r="FB17">
        <v>76.605230000000006</v>
      </c>
      <c r="FC17">
        <v>80.061070000000001</v>
      </c>
      <c r="FD17">
        <v>83.291030000000006</v>
      </c>
      <c r="FE17">
        <v>85.92595</v>
      </c>
      <c r="FF17">
        <v>87.460419999999999</v>
      </c>
      <c r="FG17">
        <v>89.143519999999995</v>
      </c>
      <c r="FH17">
        <v>89.758970000000005</v>
      </c>
      <c r="FI17">
        <v>89.647670000000005</v>
      </c>
      <c r="FJ17">
        <v>89.377200000000002</v>
      </c>
      <c r="FK17">
        <v>88.819370000000006</v>
      </c>
      <c r="FL17">
        <v>86.14716</v>
      </c>
      <c r="FM17">
        <v>83.299270000000007</v>
      </c>
      <c r="FN17">
        <v>80.105670000000003</v>
      </c>
      <c r="FO17">
        <v>78.859759999999994</v>
      </c>
      <c r="FP17">
        <v>77.344890000000007</v>
      </c>
      <c r="FQ17">
        <v>1.8046660000000001</v>
      </c>
      <c r="FR17">
        <v>1</v>
      </c>
    </row>
    <row r="18" spans="1:174" x14ac:dyDescent="0.2">
      <c r="A18" t="s">
        <v>63</v>
      </c>
      <c r="B18">
        <v>42243</v>
      </c>
      <c r="C18">
        <v>376</v>
      </c>
      <c r="D18" s="65">
        <v>653</v>
      </c>
      <c r="E18">
        <v>340.60680000000002</v>
      </c>
      <c r="F18">
        <v>338.57499999999999</v>
      </c>
      <c r="G18">
        <v>336.46</v>
      </c>
      <c r="H18">
        <v>341.64359999999999</v>
      </c>
      <c r="I18">
        <v>361.99009999999998</v>
      </c>
      <c r="J18">
        <v>397.46199999999999</v>
      </c>
      <c r="K18">
        <v>440.34519999999998</v>
      </c>
      <c r="L18">
        <v>462.20890000000003</v>
      </c>
      <c r="M18">
        <v>477.40609999999998</v>
      </c>
      <c r="N18">
        <v>491.26100000000002</v>
      </c>
      <c r="O18">
        <v>504.27159999999998</v>
      </c>
      <c r="P18">
        <v>500.15809999999999</v>
      </c>
      <c r="Q18">
        <v>497.0908</v>
      </c>
      <c r="R18">
        <v>496.09379999999999</v>
      </c>
      <c r="S18">
        <v>496.26299999999998</v>
      </c>
      <c r="T18">
        <v>485.74009999999998</v>
      </c>
      <c r="U18">
        <v>479.66669999999999</v>
      </c>
      <c r="V18">
        <v>468.31849999999997</v>
      </c>
      <c r="W18">
        <v>436.28100000000001</v>
      </c>
      <c r="X18">
        <v>425.90449999999998</v>
      </c>
      <c r="Y18">
        <v>406.28449999999998</v>
      </c>
      <c r="Z18">
        <v>384.61090000000002</v>
      </c>
      <c r="AA18">
        <v>361.17720000000003</v>
      </c>
      <c r="AB18">
        <v>348.3295</v>
      </c>
      <c r="AC18">
        <v>38.676639999999999</v>
      </c>
      <c r="AD18">
        <v>43.960070000000002</v>
      </c>
      <c r="AE18">
        <v>39.92212</v>
      </c>
      <c r="AF18">
        <v>41.027290000000001</v>
      </c>
      <c r="AG18">
        <v>45.478850000000001</v>
      </c>
      <c r="AH18">
        <v>18.87932</v>
      </c>
      <c r="AI18">
        <v>30.71781</v>
      </c>
      <c r="AJ18">
        <v>35.862110000000001</v>
      </c>
      <c r="AK18">
        <v>28.365079999999999</v>
      </c>
      <c r="AL18">
        <v>30.44669</v>
      </c>
      <c r="AM18">
        <v>36.624319999999997</v>
      </c>
      <c r="AN18">
        <v>51.077480000000001</v>
      </c>
      <c r="AO18">
        <v>85.549719999999994</v>
      </c>
      <c r="AP18">
        <v>86.013159999999999</v>
      </c>
      <c r="AQ18">
        <v>82.840909999999994</v>
      </c>
      <c r="AR18">
        <v>79.380570000000006</v>
      </c>
      <c r="AS18">
        <v>82.733919999999998</v>
      </c>
      <c r="AT18">
        <v>85.253749999999997</v>
      </c>
      <c r="AU18">
        <v>81.681179999999998</v>
      </c>
      <c r="AV18">
        <v>73.393169999999998</v>
      </c>
      <c r="AW18">
        <v>6.3078469999999998</v>
      </c>
      <c r="AX18">
        <v>-7.008591</v>
      </c>
      <c r="AY18">
        <v>0.18489159999999999</v>
      </c>
      <c r="AZ18">
        <v>1.8581300000000001</v>
      </c>
      <c r="BA18">
        <v>41.066859999999998</v>
      </c>
      <c r="BB18">
        <v>46.790730000000003</v>
      </c>
      <c r="BC18">
        <v>42.91469</v>
      </c>
      <c r="BD18">
        <v>43.509720000000002</v>
      </c>
      <c r="BE18">
        <v>48.66901</v>
      </c>
      <c r="BF18">
        <v>21.951090000000001</v>
      </c>
      <c r="BG18">
        <v>33.519539999999999</v>
      </c>
      <c r="BH18">
        <v>38.302149999999997</v>
      </c>
      <c r="BI18">
        <v>31.04823</v>
      </c>
      <c r="BJ18">
        <v>33.17024</v>
      </c>
      <c r="BK18">
        <v>39.661459999999998</v>
      </c>
      <c r="BL18">
        <v>54.397080000000003</v>
      </c>
      <c r="BM18">
        <v>89.307379999999995</v>
      </c>
      <c r="BN18">
        <v>90.152670000000001</v>
      </c>
      <c r="BO18">
        <v>87.424639999999997</v>
      </c>
      <c r="BP18">
        <v>83.5685</v>
      </c>
      <c r="BQ18">
        <v>86.951689999999999</v>
      </c>
      <c r="BR18">
        <v>89.721090000000004</v>
      </c>
      <c r="BS18">
        <v>86.544899999999998</v>
      </c>
      <c r="BT18">
        <v>78.272639999999996</v>
      </c>
      <c r="BU18">
        <v>11.103999999999999</v>
      </c>
      <c r="BV18">
        <v>-2.1811389999999999</v>
      </c>
      <c r="BW18">
        <v>4.1607339999999997</v>
      </c>
      <c r="BX18">
        <v>5.7181350000000002</v>
      </c>
      <c r="BY18">
        <v>42.722320000000003</v>
      </c>
      <c r="BZ18">
        <v>48.75123</v>
      </c>
      <c r="CA18">
        <v>44.987340000000003</v>
      </c>
      <c r="CB18">
        <v>45.229039999999998</v>
      </c>
      <c r="CC18">
        <v>50.878520000000002</v>
      </c>
      <c r="CD18">
        <v>24.078589999999998</v>
      </c>
      <c r="CE18">
        <v>35.46</v>
      </c>
      <c r="CF18">
        <v>39.99212</v>
      </c>
      <c r="CG18">
        <v>32.906570000000002</v>
      </c>
      <c r="CH18">
        <v>35.056570000000001</v>
      </c>
      <c r="CI18">
        <v>41.764969999999998</v>
      </c>
      <c r="CJ18">
        <v>56.69623</v>
      </c>
      <c r="CK18">
        <v>91.909930000000003</v>
      </c>
      <c r="CL18">
        <v>93.019689999999997</v>
      </c>
      <c r="CM18">
        <v>90.599320000000006</v>
      </c>
      <c r="CN18">
        <v>86.469059999999999</v>
      </c>
      <c r="CO18">
        <v>89.872910000000005</v>
      </c>
      <c r="CP18">
        <v>92.815160000000006</v>
      </c>
      <c r="CQ18">
        <v>89.913510000000002</v>
      </c>
      <c r="CR18">
        <v>81.652150000000006</v>
      </c>
      <c r="CS18">
        <v>14.425800000000001</v>
      </c>
      <c r="CT18">
        <v>1.1623399999999999</v>
      </c>
      <c r="CU18">
        <v>6.91439</v>
      </c>
      <c r="CV18">
        <v>8.3915620000000004</v>
      </c>
      <c r="CW18">
        <v>44.377780000000001</v>
      </c>
      <c r="CX18">
        <v>50.711739999999999</v>
      </c>
      <c r="CY18">
        <v>47.059989999999999</v>
      </c>
      <c r="CZ18">
        <v>46.948360000000001</v>
      </c>
      <c r="DA18">
        <v>53.08802</v>
      </c>
      <c r="DB18">
        <v>26.206099999999999</v>
      </c>
      <c r="DC18">
        <v>37.400469999999999</v>
      </c>
      <c r="DD18">
        <v>41.682079999999999</v>
      </c>
      <c r="DE18">
        <v>34.764919999999996</v>
      </c>
      <c r="DF18">
        <v>36.942889999999998</v>
      </c>
      <c r="DG18">
        <v>43.868479999999998</v>
      </c>
      <c r="DH18">
        <v>58.995379999999997</v>
      </c>
      <c r="DI18">
        <v>94.512469999999993</v>
      </c>
      <c r="DJ18">
        <v>95.886709999999994</v>
      </c>
      <c r="DK18">
        <v>93.773989999999998</v>
      </c>
      <c r="DL18">
        <v>89.369609999999994</v>
      </c>
      <c r="DM18">
        <v>92.794129999999996</v>
      </c>
      <c r="DN18">
        <v>95.909229999999994</v>
      </c>
      <c r="DO18">
        <v>93.282110000000003</v>
      </c>
      <c r="DP18">
        <v>85.031649999999999</v>
      </c>
      <c r="DQ18">
        <v>17.747610000000002</v>
      </c>
      <c r="DR18">
        <v>4.5058189999999998</v>
      </c>
      <c r="DS18">
        <v>9.6680460000000004</v>
      </c>
      <c r="DT18">
        <v>11.06499</v>
      </c>
      <c r="DU18">
        <v>46.768000000000001</v>
      </c>
      <c r="DV18">
        <v>53.542400000000001</v>
      </c>
      <c r="DW18">
        <v>50.05256</v>
      </c>
      <c r="DX18">
        <v>49.430779999999999</v>
      </c>
      <c r="DY18">
        <v>56.278190000000002</v>
      </c>
      <c r="DZ18">
        <v>29.27787</v>
      </c>
      <c r="EA18">
        <v>40.202190000000002</v>
      </c>
      <c r="EB18">
        <v>44.122120000000002</v>
      </c>
      <c r="EC18">
        <v>37.448059999999998</v>
      </c>
      <c r="ED18">
        <v>39.666449999999998</v>
      </c>
      <c r="EE18">
        <v>46.905619999999999</v>
      </c>
      <c r="EF18">
        <v>62.314990000000002</v>
      </c>
      <c r="EG18">
        <v>98.270129999999995</v>
      </c>
      <c r="EH18">
        <v>100.0262</v>
      </c>
      <c r="EI18">
        <v>98.357730000000004</v>
      </c>
      <c r="EJ18">
        <v>93.557540000000003</v>
      </c>
      <c r="EK18">
        <v>97.011899999999997</v>
      </c>
      <c r="EL18">
        <v>100.3766</v>
      </c>
      <c r="EM18">
        <v>98.145840000000007</v>
      </c>
      <c r="EN18">
        <v>89.911119999999997</v>
      </c>
      <c r="EO18">
        <v>22.543759999999999</v>
      </c>
      <c r="EP18">
        <v>9.3332709999999999</v>
      </c>
      <c r="EQ18">
        <v>13.643890000000001</v>
      </c>
      <c r="ER18">
        <v>14.924989999999999</v>
      </c>
      <c r="ES18">
        <v>76.515209999999996</v>
      </c>
      <c r="ET18">
        <v>75.504360000000005</v>
      </c>
      <c r="EU18">
        <v>74.348879999999994</v>
      </c>
      <c r="EV18">
        <v>73.730260000000001</v>
      </c>
      <c r="EW18">
        <v>72.994039999999998</v>
      </c>
      <c r="EX18">
        <v>72.831370000000007</v>
      </c>
      <c r="EY18">
        <v>72.195260000000005</v>
      </c>
      <c r="EZ18">
        <v>72.273679999999999</v>
      </c>
      <c r="FA18">
        <v>75.164860000000004</v>
      </c>
      <c r="FB18">
        <v>79.003429999999994</v>
      </c>
      <c r="FC18">
        <v>83.138379999999998</v>
      </c>
      <c r="FD18">
        <v>86.295879999999997</v>
      </c>
      <c r="FE18">
        <v>87.455309999999997</v>
      </c>
      <c r="FF18">
        <v>89.211600000000004</v>
      </c>
      <c r="FG18">
        <v>90.547529999999995</v>
      </c>
      <c r="FH18">
        <v>91.336089999999999</v>
      </c>
      <c r="FI18">
        <v>91.873609999999999</v>
      </c>
      <c r="FJ18">
        <v>91.088390000000004</v>
      </c>
      <c r="FK18">
        <v>89.917879999999997</v>
      </c>
      <c r="FL18">
        <v>87.228070000000002</v>
      </c>
      <c r="FM18">
        <v>84.340260000000001</v>
      </c>
      <c r="FN18">
        <v>81.59872</v>
      </c>
      <c r="FO18">
        <v>80.190510000000003</v>
      </c>
      <c r="FP18">
        <v>78.871639999999999</v>
      </c>
      <c r="FQ18">
        <v>2.3126739999999999</v>
      </c>
      <c r="FR18">
        <v>1</v>
      </c>
    </row>
    <row r="19" spans="1:174" x14ac:dyDescent="0.2">
      <c r="A19" t="s">
        <v>63</v>
      </c>
      <c r="B19">
        <v>42244</v>
      </c>
      <c r="C19">
        <v>376</v>
      </c>
      <c r="D19" s="65">
        <v>653</v>
      </c>
      <c r="E19">
        <v>338.45030000000003</v>
      </c>
      <c r="F19">
        <v>339.39120000000003</v>
      </c>
      <c r="G19">
        <v>338.45890000000003</v>
      </c>
      <c r="H19">
        <v>342.77620000000002</v>
      </c>
      <c r="I19">
        <v>362.20319999999998</v>
      </c>
      <c r="J19">
        <v>393.50599999999997</v>
      </c>
      <c r="K19">
        <v>432.4205</v>
      </c>
      <c r="L19">
        <v>453.78199999999998</v>
      </c>
      <c r="M19">
        <v>472.25580000000002</v>
      </c>
      <c r="N19">
        <v>484.94600000000003</v>
      </c>
      <c r="O19">
        <v>497.30770000000001</v>
      </c>
      <c r="P19">
        <v>491.69600000000003</v>
      </c>
      <c r="Q19">
        <v>486.15949999999998</v>
      </c>
      <c r="R19">
        <v>481.94709999999998</v>
      </c>
      <c r="S19">
        <v>472.9631</v>
      </c>
      <c r="T19">
        <v>466.18520000000001</v>
      </c>
      <c r="U19">
        <v>458.92779999999999</v>
      </c>
      <c r="V19">
        <v>447.81509999999997</v>
      </c>
      <c r="W19">
        <v>415.63279999999997</v>
      </c>
      <c r="X19">
        <v>407.05709999999999</v>
      </c>
      <c r="Y19">
        <v>382.3546</v>
      </c>
      <c r="Z19">
        <v>359.29919999999998</v>
      </c>
      <c r="AA19">
        <v>343.10520000000002</v>
      </c>
      <c r="AB19">
        <v>328.08580000000001</v>
      </c>
      <c r="AC19">
        <v>-0.25415090000000001</v>
      </c>
      <c r="AD19">
        <v>0.37227719999999997</v>
      </c>
      <c r="AE19">
        <v>2.0540200000000002E-2</v>
      </c>
      <c r="AF19">
        <v>3.7010589999999999</v>
      </c>
      <c r="AG19">
        <v>-1.577917</v>
      </c>
      <c r="AH19">
        <v>-3.7913830000000002</v>
      </c>
      <c r="AI19">
        <v>-6.0708900000000003</v>
      </c>
      <c r="AJ19">
        <v>-5.772062</v>
      </c>
      <c r="AK19">
        <v>-13.353440000000001</v>
      </c>
      <c r="AL19">
        <v>-9.7775339999999993</v>
      </c>
      <c r="AM19">
        <v>-7.3461049999999997</v>
      </c>
      <c r="AN19">
        <v>17.031870000000001</v>
      </c>
      <c r="AO19">
        <v>59.910539999999997</v>
      </c>
      <c r="AP19">
        <v>56.81908</v>
      </c>
      <c r="AQ19">
        <v>49.206060000000001</v>
      </c>
      <c r="AR19">
        <v>48.916739999999997</v>
      </c>
      <c r="AS19">
        <v>51.129240000000003</v>
      </c>
      <c r="AT19">
        <v>49.35904</v>
      </c>
      <c r="AU19">
        <v>41.728079999999999</v>
      </c>
      <c r="AV19">
        <v>35.577240000000003</v>
      </c>
      <c r="AW19">
        <v>-34.725110000000001</v>
      </c>
      <c r="AX19">
        <v>-48.445929999999997</v>
      </c>
      <c r="AY19">
        <v>-33.908850000000001</v>
      </c>
      <c r="AZ19">
        <v>-6.4038839999999997</v>
      </c>
      <c r="BA19">
        <v>2.3222510000000001</v>
      </c>
      <c r="BB19">
        <v>3.2242310000000001</v>
      </c>
      <c r="BC19">
        <v>2.777247</v>
      </c>
      <c r="BD19">
        <v>5.9007610000000001</v>
      </c>
      <c r="BE19">
        <v>1.8949990000000001</v>
      </c>
      <c r="BF19">
        <v>-0.9780508</v>
      </c>
      <c r="BG19">
        <v>-2.799817</v>
      </c>
      <c r="BH19">
        <v>-2.9337219999999999</v>
      </c>
      <c r="BI19">
        <v>-10.38138</v>
      </c>
      <c r="BJ19">
        <v>-6.6700410000000003</v>
      </c>
      <c r="BK19">
        <v>-4.0074360000000002</v>
      </c>
      <c r="BL19">
        <v>20.245660000000001</v>
      </c>
      <c r="BM19">
        <v>63.382910000000003</v>
      </c>
      <c r="BN19">
        <v>61.25423</v>
      </c>
      <c r="BO19">
        <v>54.267600000000002</v>
      </c>
      <c r="BP19">
        <v>53.859270000000002</v>
      </c>
      <c r="BQ19">
        <v>56.194899999999997</v>
      </c>
      <c r="BR19">
        <v>54.582590000000003</v>
      </c>
      <c r="BS19">
        <v>47.657730000000001</v>
      </c>
      <c r="BT19">
        <v>41.396639999999998</v>
      </c>
      <c r="BU19">
        <v>-29.538460000000001</v>
      </c>
      <c r="BV19">
        <v>-44.500549999999997</v>
      </c>
      <c r="BW19">
        <v>-30.78998</v>
      </c>
      <c r="BX19">
        <v>-3.4083169999999998</v>
      </c>
      <c r="BY19">
        <v>4.1066589999999996</v>
      </c>
      <c r="BZ19">
        <v>5.1994850000000001</v>
      </c>
      <c r="CA19">
        <v>4.686534</v>
      </c>
      <c r="CB19">
        <v>7.4242679999999996</v>
      </c>
      <c r="CC19">
        <v>4.3003289999999996</v>
      </c>
      <c r="CD19">
        <v>0.97045459999999995</v>
      </c>
      <c r="CE19">
        <v>-0.53428209999999998</v>
      </c>
      <c r="CF19">
        <v>-0.9678968</v>
      </c>
      <c r="CG19">
        <v>-8.3229389999999999</v>
      </c>
      <c r="CH19">
        <v>-4.5178000000000003</v>
      </c>
      <c r="CI19">
        <v>-1.695084</v>
      </c>
      <c r="CJ19">
        <v>22.471520000000002</v>
      </c>
      <c r="CK19">
        <v>65.787859999999995</v>
      </c>
      <c r="CL19">
        <v>64.325999999999993</v>
      </c>
      <c r="CM19">
        <v>57.773200000000003</v>
      </c>
      <c r="CN19">
        <v>57.282449999999997</v>
      </c>
      <c r="CO19">
        <v>59.70337</v>
      </c>
      <c r="CP19">
        <v>58.200400000000002</v>
      </c>
      <c r="CQ19">
        <v>51.764600000000002</v>
      </c>
      <c r="CR19">
        <v>45.427140000000001</v>
      </c>
      <c r="CS19">
        <v>-25.946200000000001</v>
      </c>
      <c r="CT19">
        <v>-41.767989999999998</v>
      </c>
      <c r="CU19">
        <v>-28.629860000000001</v>
      </c>
      <c r="CV19">
        <v>-1.333596</v>
      </c>
      <c r="CW19">
        <v>5.8910679999999997</v>
      </c>
      <c r="CX19">
        <v>7.1747399999999999</v>
      </c>
      <c r="CY19">
        <v>6.5958209999999999</v>
      </c>
      <c r="CZ19">
        <v>8.947775</v>
      </c>
      <c r="DA19">
        <v>6.70566</v>
      </c>
      <c r="DB19">
        <v>2.9189600000000002</v>
      </c>
      <c r="DC19">
        <v>1.7312529999999999</v>
      </c>
      <c r="DD19">
        <v>0.99792890000000001</v>
      </c>
      <c r="DE19">
        <v>-6.2645</v>
      </c>
      <c r="DF19">
        <v>-2.3655599999999999</v>
      </c>
      <c r="DG19">
        <v>0.61726769999999997</v>
      </c>
      <c r="DH19">
        <v>24.697379999999999</v>
      </c>
      <c r="DI19">
        <v>68.192809999999994</v>
      </c>
      <c r="DJ19">
        <v>67.397769999999994</v>
      </c>
      <c r="DK19">
        <v>61.27881</v>
      </c>
      <c r="DL19">
        <v>60.705629999999999</v>
      </c>
      <c r="DM19">
        <v>63.211829999999999</v>
      </c>
      <c r="DN19">
        <v>61.818210000000001</v>
      </c>
      <c r="DO19">
        <v>55.871459999999999</v>
      </c>
      <c r="DP19">
        <v>49.457630000000002</v>
      </c>
      <c r="DQ19">
        <v>-22.353940000000001</v>
      </c>
      <c r="DR19">
        <v>-39.035429999999998</v>
      </c>
      <c r="DS19">
        <v>-26.469740000000002</v>
      </c>
      <c r="DT19">
        <v>0.74112529999999999</v>
      </c>
      <c r="DU19">
        <v>8.4674700000000005</v>
      </c>
      <c r="DV19">
        <v>10.02669</v>
      </c>
      <c r="DW19">
        <v>9.3525290000000005</v>
      </c>
      <c r="DX19">
        <v>11.14748</v>
      </c>
      <c r="DY19">
        <v>10.17858</v>
      </c>
      <c r="DZ19">
        <v>5.7322930000000003</v>
      </c>
      <c r="EA19">
        <v>5.0023260000000001</v>
      </c>
      <c r="EB19">
        <v>3.8362690000000002</v>
      </c>
      <c r="EC19">
        <v>-3.2924419999999999</v>
      </c>
      <c r="ED19">
        <v>0.74193299999999995</v>
      </c>
      <c r="EE19">
        <v>3.9559359999999999</v>
      </c>
      <c r="EF19">
        <v>27.911169999999998</v>
      </c>
      <c r="EG19">
        <v>71.665180000000007</v>
      </c>
      <c r="EH19">
        <v>71.832909999999998</v>
      </c>
      <c r="EI19">
        <v>66.340350000000001</v>
      </c>
      <c r="EJ19">
        <v>65.648160000000004</v>
      </c>
      <c r="EK19">
        <v>68.277500000000003</v>
      </c>
      <c r="EL19">
        <v>67.041759999999996</v>
      </c>
      <c r="EM19">
        <v>61.801119999999997</v>
      </c>
      <c r="EN19">
        <v>55.277030000000003</v>
      </c>
      <c r="EO19">
        <v>-17.167290000000001</v>
      </c>
      <c r="EP19">
        <v>-35.090049999999998</v>
      </c>
      <c r="EQ19">
        <v>-23.35087</v>
      </c>
      <c r="ER19">
        <v>3.7366929999999998</v>
      </c>
      <c r="ES19">
        <v>77.559030000000007</v>
      </c>
      <c r="ET19">
        <v>76.643109999999993</v>
      </c>
      <c r="EU19">
        <v>75.998739999999998</v>
      </c>
      <c r="EV19">
        <v>75.622069999999994</v>
      </c>
      <c r="EW19">
        <v>75.010959999999997</v>
      </c>
      <c r="EX19">
        <v>74.593609999999998</v>
      </c>
      <c r="EY19">
        <v>74.337879999999998</v>
      </c>
      <c r="EZ19">
        <v>74.183920000000001</v>
      </c>
      <c r="FA19">
        <v>76.859449999999995</v>
      </c>
      <c r="FB19">
        <v>81.219549999999998</v>
      </c>
      <c r="FC19">
        <v>86.646839999999997</v>
      </c>
      <c r="FD19">
        <v>90.091279999999998</v>
      </c>
      <c r="FE19">
        <v>91.611969999999999</v>
      </c>
      <c r="FF19">
        <v>93.141570000000002</v>
      </c>
      <c r="FG19">
        <v>94.243809999999996</v>
      </c>
      <c r="FH19">
        <v>94.518010000000004</v>
      </c>
      <c r="FI19">
        <v>93.736279999999994</v>
      </c>
      <c r="FJ19">
        <v>92.661000000000001</v>
      </c>
      <c r="FK19">
        <v>91.122349999999997</v>
      </c>
      <c r="FL19">
        <v>88.191509999999994</v>
      </c>
      <c r="FM19">
        <v>85.656480000000002</v>
      </c>
      <c r="FN19">
        <v>83.064089999999993</v>
      </c>
      <c r="FO19">
        <v>81.344279999999998</v>
      </c>
      <c r="FP19">
        <v>79.578739999999996</v>
      </c>
      <c r="FQ19">
        <v>2.7268810000000001</v>
      </c>
      <c r="FR19">
        <v>1</v>
      </c>
    </row>
    <row r="20" spans="1:174" x14ac:dyDescent="0.2">
      <c r="A20" t="s">
        <v>63</v>
      </c>
      <c r="B20">
        <v>42256</v>
      </c>
      <c r="C20">
        <v>390</v>
      </c>
      <c r="D20" s="65">
        <v>656</v>
      </c>
      <c r="E20">
        <v>340.80149999999998</v>
      </c>
      <c r="F20">
        <v>341.94749999999999</v>
      </c>
      <c r="G20">
        <v>341.86770000000001</v>
      </c>
      <c r="H20">
        <v>347.52109999999999</v>
      </c>
      <c r="I20">
        <v>370.19060000000002</v>
      </c>
      <c r="J20">
        <v>405.17290000000003</v>
      </c>
      <c r="K20">
        <v>448.1891</v>
      </c>
      <c r="L20">
        <v>469.45920000000001</v>
      </c>
      <c r="M20">
        <v>485.68200000000002</v>
      </c>
      <c r="N20">
        <v>501.0188</v>
      </c>
      <c r="O20">
        <v>516.9606</v>
      </c>
      <c r="P20">
        <v>513.40560000000005</v>
      </c>
      <c r="Q20">
        <v>509.31830000000002</v>
      </c>
      <c r="R20">
        <v>510.77350000000001</v>
      </c>
      <c r="S20">
        <v>508.69049999999999</v>
      </c>
      <c r="T20">
        <v>492.91379999999998</v>
      </c>
      <c r="U20">
        <v>479.78660000000002</v>
      </c>
      <c r="V20">
        <v>462.40690000000001</v>
      </c>
      <c r="W20">
        <v>435.96589999999998</v>
      </c>
      <c r="X20">
        <v>424.42630000000003</v>
      </c>
      <c r="Y20">
        <v>409.22320000000002</v>
      </c>
      <c r="Z20">
        <v>385.80119999999999</v>
      </c>
      <c r="AA20">
        <v>365.2337</v>
      </c>
      <c r="AB20">
        <v>353.81139999999999</v>
      </c>
      <c r="AC20">
        <v>-2.264424</v>
      </c>
      <c r="AD20">
        <v>-2.597836</v>
      </c>
      <c r="AE20">
        <v>-1.483128</v>
      </c>
      <c r="AF20">
        <v>-0.49352620000000003</v>
      </c>
      <c r="AG20">
        <v>5.2460589999999998</v>
      </c>
      <c r="AH20">
        <v>6.5716450000000002</v>
      </c>
      <c r="AI20">
        <v>-2.6280779999999999</v>
      </c>
      <c r="AJ20">
        <v>-16.340340000000001</v>
      </c>
      <c r="AK20">
        <v>-18.638500000000001</v>
      </c>
      <c r="AL20">
        <v>-18.037240000000001</v>
      </c>
      <c r="AM20">
        <v>-12.062060000000001</v>
      </c>
      <c r="AN20">
        <v>51.605519999999999</v>
      </c>
      <c r="AO20">
        <v>100.9171</v>
      </c>
      <c r="AP20">
        <v>101.514</v>
      </c>
      <c r="AQ20">
        <v>100.51049999999999</v>
      </c>
      <c r="AR20">
        <v>103.5594</v>
      </c>
      <c r="AS20">
        <v>102.1806</v>
      </c>
      <c r="AT20">
        <v>96.179230000000004</v>
      </c>
      <c r="AU20">
        <v>91.821569999999994</v>
      </c>
      <c r="AV20">
        <v>82.777690000000007</v>
      </c>
      <c r="AW20">
        <v>64.387690000000006</v>
      </c>
      <c r="AX20">
        <v>48.012599999999999</v>
      </c>
      <c r="AY20">
        <v>46.08813</v>
      </c>
      <c r="AZ20">
        <v>40.245699999999999</v>
      </c>
      <c r="BA20">
        <v>-3.8217300000000003E-2</v>
      </c>
      <c r="BB20">
        <v>-0.17454720000000001</v>
      </c>
      <c r="BC20">
        <v>0.92118509999999998</v>
      </c>
      <c r="BD20">
        <v>1.612568</v>
      </c>
      <c r="BE20">
        <v>8.3898349999999997</v>
      </c>
      <c r="BF20">
        <v>9.8036480000000008</v>
      </c>
      <c r="BG20">
        <v>0.80097649999999998</v>
      </c>
      <c r="BH20">
        <v>-13.52487</v>
      </c>
      <c r="BI20">
        <v>-15.70233</v>
      </c>
      <c r="BJ20">
        <v>-15.052110000000001</v>
      </c>
      <c r="BK20">
        <v>-8.7866459999999993</v>
      </c>
      <c r="BL20">
        <v>54.787320000000001</v>
      </c>
      <c r="BM20">
        <v>104.5912</v>
      </c>
      <c r="BN20">
        <v>105.3854</v>
      </c>
      <c r="BO20">
        <v>104.9225</v>
      </c>
      <c r="BP20">
        <v>107.5098</v>
      </c>
      <c r="BQ20">
        <v>106.4619</v>
      </c>
      <c r="BR20">
        <v>100.5705</v>
      </c>
      <c r="BS20">
        <v>96.585589999999996</v>
      </c>
      <c r="BT20">
        <v>87.236660000000001</v>
      </c>
      <c r="BU20">
        <v>68.917090000000002</v>
      </c>
      <c r="BV20">
        <v>52.210639999999998</v>
      </c>
      <c r="BW20">
        <v>49.136009999999999</v>
      </c>
      <c r="BX20">
        <v>43.124929999999999</v>
      </c>
      <c r="BY20">
        <v>1.503646</v>
      </c>
      <c r="BZ20">
        <v>1.5038149999999999</v>
      </c>
      <c r="CA20">
        <v>2.5864050000000001</v>
      </c>
      <c r="CB20">
        <v>3.0712429999999999</v>
      </c>
      <c r="CC20">
        <v>10.567209999999999</v>
      </c>
      <c r="CD20">
        <v>12.042120000000001</v>
      </c>
      <c r="CE20">
        <v>3.175929</v>
      </c>
      <c r="CF20">
        <v>-11.57488</v>
      </c>
      <c r="CG20">
        <v>-13.66874</v>
      </c>
      <c r="CH20">
        <v>-12.984629999999999</v>
      </c>
      <c r="CI20">
        <v>-6.5181019999999998</v>
      </c>
      <c r="CJ20">
        <v>56.991019999999999</v>
      </c>
      <c r="CK20">
        <v>107.1358</v>
      </c>
      <c r="CL20">
        <v>108.0667</v>
      </c>
      <c r="CM20">
        <v>107.9782</v>
      </c>
      <c r="CN20">
        <v>110.2458</v>
      </c>
      <c r="CO20">
        <v>109.42700000000001</v>
      </c>
      <c r="CP20">
        <v>103.61190000000001</v>
      </c>
      <c r="CQ20">
        <v>99.885130000000004</v>
      </c>
      <c r="CR20">
        <v>90.324939999999998</v>
      </c>
      <c r="CS20">
        <v>72.054140000000004</v>
      </c>
      <c r="CT20">
        <v>55.118180000000002</v>
      </c>
      <c r="CU20">
        <v>51.246949999999998</v>
      </c>
      <c r="CV20">
        <v>45.119070000000001</v>
      </c>
      <c r="CW20">
        <v>3.0455100000000002</v>
      </c>
      <c r="CX20">
        <v>3.1821769999999998</v>
      </c>
      <c r="CY20">
        <v>4.2516249999999998</v>
      </c>
      <c r="CZ20">
        <v>4.5299170000000002</v>
      </c>
      <c r="DA20">
        <v>12.744579999999999</v>
      </c>
      <c r="DB20">
        <v>14.2806</v>
      </c>
      <c r="DC20">
        <v>5.5508810000000004</v>
      </c>
      <c r="DD20">
        <v>-9.6248930000000001</v>
      </c>
      <c r="DE20">
        <v>-11.635160000000001</v>
      </c>
      <c r="DF20">
        <v>-10.91714</v>
      </c>
      <c r="DG20">
        <v>-4.2495570000000003</v>
      </c>
      <c r="DH20">
        <v>59.194719999999997</v>
      </c>
      <c r="DI20">
        <v>109.68040000000001</v>
      </c>
      <c r="DJ20">
        <v>110.748</v>
      </c>
      <c r="DK20">
        <v>111.0339</v>
      </c>
      <c r="DL20">
        <v>112.9819</v>
      </c>
      <c r="DM20">
        <v>112.3922</v>
      </c>
      <c r="DN20">
        <v>106.6533</v>
      </c>
      <c r="DO20">
        <v>103.18470000000001</v>
      </c>
      <c r="DP20">
        <v>93.413210000000007</v>
      </c>
      <c r="DQ20">
        <v>75.191180000000003</v>
      </c>
      <c r="DR20">
        <v>58.025730000000003</v>
      </c>
      <c r="DS20">
        <v>53.357900000000001</v>
      </c>
      <c r="DT20">
        <v>47.113219999999998</v>
      </c>
      <c r="DU20">
        <v>5.2717159999999996</v>
      </c>
      <c r="DV20">
        <v>5.6054649999999997</v>
      </c>
      <c r="DW20">
        <v>6.6559379999999999</v>
      </c>
      <c r="DX20">
        <v>6.636012</v>
      </c>
      <c r="DY20">
        <v>15.888350000000001</v>
      </c>
      <c r="DZ20">
        <v>17.512599999999999</v>
      </c>
      <c r="EA20">
        <v>8.9799349999999993</v>
      </c>
      <c r="EB20">
        <v>-6.8094219999999996</v>
      </c>
      <c r="EC20">
        <v>-8.6989879999999999</v>
      </c>
      <c r="ED20">
        <v>-7.9320170000000001</v>
      </c>
      <c r="EE20">
        <v>-0.97413989999999995</v>
      </c>
      <c r="EF20">
        <v>62.376510000000003</v>
      </c>
      <c r="EG20">
        <v>113.3545</v>
      </c>
      <c r="EH20">
        <v>114.6194</v>
      </c>
      <c r="EI20">
        <v>115.44589999999999</v>
      </c>
      <c r="EJ20">
        <v>116.9323</v>
      </c>
      <c r="EK20">
        <v>116.6735</v>
      </c>
      <c r="EL20">
        <v>111.0446</v>
      </c>
      <c r="EM20">
        <v>107.9487</v>
      </c>
      <c r="EN20">
        <v>97.87218</v>
      </c>
      <c r="EO20">
        <v>79.720590000000001</v>
      </c>
      <c r="EP20">
        <v>62.223770000000002</v>
      </c>
      <c r="EQ20">
        <v>56.405769999999997</v>
      </c>
      <c r="ER20">
        <v>49.992440000000002</v>
      </c>
      <c r="ES20">
        <v>81.851969999999994</v>
      </c>
      <c r="ET20">
        <v>80.948750000000004</v>
      </c>
      <c r="EU20">
        <v>80.414240000000007</v>
      </c>
      <c r="EV20">
        <v>79.685760000000002</v>
      </c>
      <c r="EW20">
        <v>79.280259999999998</v>
      </c>
      <c r="EX20">
        <v>79.010140000000007</v>
      </c>
      <c r="EY20">
        <v>78.957830000000001</v>
      </c>
      <c r="EZ20">
        <v>79.164630000000002</v>
      </c>
      <c r="FA20">
        <v>81.266050000000007</v>
      </c>
      <c r="FB20">
        <v>84.96687</v>
      </c>
      <c r="FC20">
        <v>89.440250000000006</v>
      </c>
      <c r="FD20">
        <v>92.400989999999993</v>
      </c>
      <c r="FE20">
        <v>94.116200000000006</v>
      </c>
      <c r="FF20">
        <v>95.615459999999999</v>
      </c>
      <c r="FG20">
        <v>95.941609999999997</v>
      </c>
      <c r="FH20">
        <v>93.984020000000001</v>
      </c>
      <c r="FI20">
        <v>90.556560000000005</v>
      </c>
      <c r="FJ20">
        <v>87.158420000000007</v>
      </c>
      <c r="FK20">
        <v>88.310630000000003</v>
      </c>
      <c r="FL20">
        <v>88.956419999999994</v>
      </c>
      <c r="FM20">
        <v>88.640519999999995</v>
      </c>
      <c r="FN20">
        <v>86.174570000000003</v>
      </c>
      <c r="FO20">
        <v>84.936610000000002</v>
      </c>
      <c r="FP20">
        <v>83.88955</v>
      </c>
      <c r="FQ20">
        <v>2.242216</v>
      </c>
      <c r="FR20">
        <v>1</v>
      </c>
    </row>
    <row r="21" spans="1:174" x14ac:dyDescent="0.2">
      <c r="A21" t="s">
        <v>63</v>
      </c>
      <c r="B21">
        <v>42257</v>
      </c>
      <c r="C21">
        <v>386</v>
      </c>
      <c r="D21" s="65">
        <v>656</v>
      </c>
      <c r="E21">
        <v>333.8732</v>
      </c>
      <c r="F21">
        <v>334.84890000000001</v>
      </c>
      <c r="G21">
        <v>334.48700000000002</v>
      </c>
      <c r="H21">
        <v>342.87909999999999</v>
      </c>
      <c r="I21">
        <v>362.71199999999999</v>
      </c>
      <c r="J21">
        <v>397.86</v>
      </c>
      <c r="K21">
        <v>440.78769999999997</v>
      </c>
      <c r="L21">
        <v>460.07530000000003</v>
      </c>
      <c r="M21">
        <v>474.05270000000002</v>
      </c>
      <c r="N21">
        <v>490.09559999999999</v>
      </c>
      <c r="O21">
        <v>507.43729999999999</v>
      </c>
      <c r="P21">
        <v>502.0641</v>
      </c>
      <c r="Q21">
        <v>497.26769999999999</v>
      </c>
      <c r="R21">
        <v>498.53789999999998</v>
      </c>
      <c r="S21">
        <v>497.69970000000001</v>
      </c>
      <c r="T21">
        <v>485.30450000000002</v>
      </c>
      <c r="U21">
        <v>477.58339999999998</v>
      </c>
      <c r="V21">
        <v>464.11849999999998</v>
      </c>
      <c r="W21">
        <v>431.27769999999998</v>
      </c>
      <c r="X21">
        <v>420.61329999999998</v>
      </c>
      <c r="Y21">
        <v>399.41180000000003</v>
      </c>
      <c r="Z21">
        <v>376.84780000000001</v>
      </c>
      <c r="AA21">
        <v>356.5471</v>
      </c>
      <c r="AB21">
        <v>343.79300000000001</v>
      </c>
      <c r="AC21">
        <v>27.249510000000001</v>
      </c>
      <c r="AD21">
        <v>28.102119999999999</v>
      </c>
      <c r="AE21">
        <v>28.680630000000001</v>
      </c>
      <c r="AF21">
        <v>33.118160000000003</v>
      </c>
      <c r="AG21">
        <v>37.367570000000001</v>
      </c>
      <c r="AH21">
        <v>39.374409999999997</v>
      </c>
      <c r="AI21">
        <v>13.32508</v>
      </c>
      <c r="AJ21">
        <v>19.043869999999998</v>
      </c>
      <c r="AK21">
        <v>29.579429999999999</v>
      </c>
      <c r="AL21">
        <v>18.354479999999999</v>
      </c>
      <c r="AM21">
        <v>28.284949999999998</v>
      </c>
      <c r="AN21">
        <v>32.087760000000003</v>
      </c>
      <c r="AO21">
        <v>89.57047</v>
      </c>
      <c r="AP21">
        <v>93.048270000000002</v>
      </c>
      <c r="AQ21">
        <v>93.57629</v>
      </c>
      <c r="AR21">
        <v>87.553330000000003</v>
      </c>
      <c r="AS21">
        <v>87.205870000000004</v>
      </c>
      <c r="AT21">
        <v>87.002089999999995</v>
      </c>
      <c r="AU21">
        <v>82.974450000000004</v>
      </c>
      <c r="AV21">
        <v>73.644869999999997</v>
      </c>
      <c r="AW21">
        <v>49.554659999999998</v>
      </c>
      <c r="AX21">
        <v>33.714239999999997</v>
      </c>
      <c r="AY21">
        <v>14.01215</v>
      </c>
      <c r="AZ21">
        <v>14.93215</v>
      </c>
      <c r="BA21">
        <v>29.996130000000001</v>
      </c>
      <c r="BB21">
        <v>31.200399999999998</v>
      </c>
      <c r="BC21">
        <v>31.845179999999999</v>
      </c>
      <c r="BD21">
        <v>35.820270000000001</v>
      </c>
      <c r="BE21">
        <v>40.758589999999998</v>
      </c>
      <c r="BF21">
        <v>42.839289999999998</v>
      </c>
      <c r="BG21">
        <v>16.971679999999999</v>
      </c>
      <c r="BH21">
        <v>22.22344</v>
      </c>
      <c r="BI21">
        <v>33.157380000000003</v>
      </c>
      <c r="BJ21">
        <v>22.008120000000002</v>
      </c>
      <c r="BK21">
        <v>32.446869999999997</v>
      </c>
      <c r="BL21">
        <v>36.484409999999997</v>
      </c>
      <c r="BM21">
        <v>94.395079999999993</v>
      </c>
      <c r="BN21">
        <v>98.15849</v>
      </c>
      <c r="BO21">
        <v>99.257220000000004</v>
      </c>
      <c r="BP21">
        <v>92.731989999999996</v>
      </c>
      <c r="BQ21">
        <v>92.543559999999999</v>
      </c>
      <c r="BR21">
        <v>92.464839999999995</v>
      </c>
      <c r="BS21">
        <v>88.732820000000004</v>
      </c>
      <c r="BT21">
        <v>79.310959999999994</v>
      </c>
      <c r="BU21">
        <v>55.530799999999999</v>
      </c>
      <c r="BV21">
        <v>39.237000000000002</v>
      </c>
      <c r="BW21">
        <v>18.542300000000001</v>
      </c>
      <c r="BX21">
        <v>19.35078</v>
      </c>
      <c r="BY21">
        <v>31.898430000000001</v>
      </c>
      <c r="BZ21">
        <v>33.346260000000001</v>
      </c>
      <c r="CA21">
        <v>34.036929999999998</v>
      </c>
      <c r="CB21">
        <v>37.691740000000003</v>
      </c>
      <c r="CC21">
        <v>43.107199999999999</v>
      </c>
      <c r="CD21">
        <v>45.239040000000003</v>
      </c>
      <c r="CE21">
        <v>19.497309999999999</v>
      </c>
      <c r="CF21">
        <v>24.42559</v>
      </c>
      <c r="CG21">
        <v>35.635460000000002</v>
      </c>
      <c r="CH21">
        <v>24.538620000000002</v>
      </c>
      <c r="CI21">
        <v>35.3294</v>
      </c>
      <c r="CJ21">
        <v>39.529510000000002</v>
      </c>
      <c r="CK21">
        <v>97.736599999999996</v>
      </c>
      <c r="CL21">
        <v>101.6978</v>
      </c>
      <c r="CM21">
        <v>103.1918</v>
      </c>
      <c r="CN21">
        <v>96.318730000000002</v>
      </c>
      <c r="CO21">
        <v>96.24042</v>
      </c>
      <c r="CP21">
        <v>96.248310000000004</v>
      </c>
      <c r="CQ21">
        <v>92.721050000000005</v>
      </c>
      <c r="CR21">
        <v>83.235280000000003</v>
      </c>
      <c r="CS21">
        <v>59.66986</v>
      </c>
      <c r="CT21">
        <v>43.062040000000003</v>
      </c>
      <c r="CU21">
        <v>21.679870000000001</v>
      </c>
      <c r="CV21">
        <v>22.411110000000001</v>
      </c>
      <c r="CW21">
        <v>33.800730000000001</v>
      </c>
      <c r="CX21">
        <v>35.492130000000003</v>
      </c>
      <c r="CY21">
        <v>36.22869</v>
      </c>
      <c r="CZ21">
        <v>39.563209999999998</v>
      </c>
      <c r="DA21">
        <v>45.45581</v>
      </c>
      <c r="DB21">
        <v>47.638800000000003</v>
      </c>
      <c r="DC21">
        <v>22.022929999999999</v>
      </c>
      <c r="DD21">
        <v>26.627739999999999</v>
      </c>
      <c r="DE21">
        <v>38.11354</v>
      </c>
      <c r="DF21">
        <v>27.069120000000002</v>
      </c>
      <c r="DG21">
        <v>38.211930000000002</v>
      </c>
      <c r="DH21">
        <v>42.574620000000003</v>
      </c>
      <c r="DI21">
        <v>101.07810000000001</v>
      </c>
      <c r="DJ21">
        <v>105.2372</v>
      </c>
      <c r="DK21">
        <v>107.1264</v>
      </c>
      <c r="DL21">
        <v>99.905460000000005</v>
      </c>
      <c r="DM21">
        <v>99.937280000000001</v>
      </c>
      <c r="DN21">
        <v>100.0318</v>
      </c>
      <c r="DO21">
        <v>96.709289999999996</v>
      </c>
      <c r="DP21">
        <v>87.159610000000001</v>
      </c>
      <c r="DQ21">
        <v>63.808909999999997</v>
      </c>
      <c r="DR21">
        <v>46.887079999999997</v>
      </c>
      <c r="DS21">
        <v>24.817440000000001</v>
      </c>
      <c r="DT21">
        <v>25.471440000000001</v>
      </c>
      <c r="DU21">
        <v>36.547350000000002</v>
      </c>
      <c r="DV21">
        <v>38.590409999999999</v>
      </c>
      <c r="DW21">
        <v>39.393239999999999</v>
      </c>
      <c r="DX21">
        <v>42.265309999999999</v>
      </c>
      <c r="DY21">
        <v>48.84684</v>
      </c>
      <c r="DZ21">
        <v>51.103679999999997</v>
      </c>
      <c r="EA21">
        <v>25.669530000000002</v>
      </c>
      <c r="EB21">
        <v>29.807310000000001</v>
      </c>
      <c r="EC21">
        <v>41.691490000000002</v>
      </c>
      <c r="ED21">
        <v>30.722760000000001</v>
      </c>
      <c r="EE21">
        <v>42.373849999999997</v>
      </c>
      <c r="EF21">
        <v>46.971260000000001</v>
      </c>
      <c r="EG21">
        <v>105.9027</v>
      </c>
      <c r="EH21">
        <v>110.34739999999999</v>
      </c>
      <c r="EI21">
        <v>112.8073</v>
      </c>
      <c r="EJ21">
        <v>105.08410000000001</v>
      </c>
      <c r="EK21">
        <v>105.27500000000001</v>
      </c>
      <c r="EL21">
        <v>105.4945</v>
      </c>
      <c r="EM21">
        <v>102.46769999999999</v>
      </c>
      <c r="EN21">
        <v>92.825699999999998</v>
      </c>
      <c r="EO21">
        <v>69.785060000000001</v>
      </c>
      <c r="EP21">
        <v>52.409840000000003</v>
      </c>
      <c r="EQ21">
        <v>29.34759</v>
      </c>
      <c r="ER21">
        <v>29.890070000000001</v>
      </c>
      <c r="ES21">
        <v>82.141750000000002</v>
      </c>
      <c r="ET21">
        <v>80.810190000000006</v>
      </c>
      <c r="EU21">
        <v>79.789349999999999</v>
      </c>
      <c r="EV21">
        <v>78.936620000000005</v>
      </c>
      <c r="EW21">
        <v>78.031139999999994</v>
      </c>
      <c r="EX21">
        <v>77.594570000000004</v>
      </c>
      <c r="EY21">
        <v>77.810839999999999</v>
      </c>
      <c r="EZ21">
        <v>78.292680000000004</v>
      </c>
      <c r="FA21">
        <v>79.494150000000005</v>
      </c>
      <c r="FB21">
        <v>82.372839999999997</v>
      </c>
      <c r="FC21">
        <v>86.414360000000002</v>
      </c>
      <c r="FD21">
        <v>89.72681</v>
      </c>
      <c r="FE21">
        <v>90.665049999999994</v>
      </c>
      <c r="FF21">
        <v>91.389769999999999</v>
      </c>
      <c r="FG21">
        <v>92.350970000000004</v>
      </c>
      <c r="FH21">
        <v>92.122020000000006</v>
      </c>
      <c r="FI21">
        <v>91.900589999999994</v>
      </c>
      <c r="FJ21">
        <v>91.425839999999994</v>
      </c>
      <c r="FK21">
        <v>89.612319999999997</v>
      </c>
      <c r="FL21">
        <v>87.636889999999994</v>
      </c>
      <c r="FM21">
        <v>84.878720000000001</v>
      </c>
      <c r="FN21">
        <v>83.534899999999993</v>
      </c>
      <c r="FO21">
        <v>82.543239999999997</v>
      </c>
      <c r="FP21">
        <v>81.571169999999995</v>
      </c>
      <c r="FQ21">
        <v>2.7839</v>
      </c>
      <c r="FR21">
        <v>1</v>
      </c>
    </row>
    <row r="22" spans="1:174" x14ac:dyDescent="0.2">
      <c r="A22" t="s">
        <v>63</v>
      </c>
      <c r="B22">
        <v>42258</v>
      </c>
      <c r="C22">
        <v>383</v>
      </c>
      <c r="D22" s="65">
        <v>657</v>
      </c>
      <c r="E22">
        <v>338.40940000000001</v>
      </c>
      <c r="F22">
        <v>337.80169999999998</v>
      </c>
      <c r="G22">
        <v>335.79300000000001</v>
      </c>
      <c r="H22">
        <v>342.8202</v>
      </c>
      <c r="I22">
        <v>366.35809999999998</v>
      </c>
      <c r="J22">
        <v>396.39699999999999</v>
      </c>
      <c r="K22">
        <v>435.41239999999999</v>
      </c>
      <c r="L22">
        <v>453.91379999999998</v>
      </c>
      <c r="M22">
        <v>473.03230000000002</v>
      </c>
      <c r="N22">
        <v>486.31650000000002</v>
      </c>
      <c r="O22">
        <v>497.92160000000001</v>
      </c>
      <c r="P22">
        <v>493.03820000000002</v>
      </c>
      <c r="Q22">
        <v>489.66289999999998</v>
      </c>
      <c r="R22">
        <v>487.7407</v>
      </c>
      <c r="S22">
        <v>481.05889999999999</v>
      </c>
      <c r="T22">
        <v>467.32040000000001</v>
      </c>
      <c r="U22">
        <v>459.93639999999999</v>
      </c>
      <c r="V22">
        <v>444.78379999999999</v>
      </c>
      <c r="W22">
        <v>412.79969999999997</v>
      </c>
      <c r="X22">
        <v>400.81119999999999</v>
      </c>
      <c r="Y22">
        <v>377.89280000000002</v>
      </c>
      <c r="Z22">
        <v>358.1628</v>
      </c>
      <c r="AA22">
        <v>340.85739999999998</v>
      </c>
      <c r="AB22">
        <v>326.96539999999999</v>
      </c>
      <c r="AC22">
        <v>12.73981</v>
      </c>
      <c r="AD22">
        <v>8.9704610000000002</v>
      </c>
      <c r="AE22">
        <v>11.90208</v>
      </c>
      <c r="AF22">
        <v>10.67076</v>
      </c>
      <c r="AG22">
        <v>15.362450000000001</v>
      </c>
      <c r="AH22">
        <v>17.74333</v>
      </c>
      <c r="AI22">
        <v>4.73407</v>
      </c>
      <c r="AJ22">
        <v>-7.5146790000000001</v>
      </c>
      <c r="AK22">
        <v>-21.067399999999999</v>
      </c>
      <c r="AL22">
        <v>-18.205629999999999</v>
      </c>
      <c r="AM22">
        <v>24.968399999999999</v>
      </c>
      <c r="AN22">
        <v>31.798850000000002</v>
      </c>
      <c r="AO22">
        <v>49.958080000000002</v>
      </c>
      <c r="AP22">
        <v>52.213790000000003</v>
      </c>
      <c r="AQ22">
        <v>52.36788</v>
      </c>
      <c r="AR22">
        <v>50.015030000000003</v>
      </c>
      <c r="AS22">
        <v>49.786520000000003</v>
      </c>
      <c r="AT22">
        <v>49.272010000000002</v>
      </c>
      <c r="AU22">
        <v>42.704329999999999</v>
      </c>
      <c r="AV22">
        <v>34.585160000000002</v>
      </c>
      <c r="AW22">
        <v>-32.929490000000001</v>
      </c>
      <c r="AX22">
        <v>-36.917409999999997</v>
      </c>
      <c r="AY22">
        <v>-9.4601159999999993</v>
      </c>
      <c r="AZ22">
        <v>-12.88744</v>
      </c>
      <c r="BA22">
        <v>15.32644</v>
      </c>
      <c r="BB22">
        <v>11.83887</v>
      </c>
      <c r="BC22">
        <v>14.743880000000001</v>
      </c>
      <c r="BD22">
        <v>13.024660000000001</v>
      </c>
      <c r="BE22">
        <v>18.874790000000001</v>
      </c>
      <c r="BF22">
        <v>20.8872</v>
      </c>
      <c r="BG22">
        <v>8.4152369999999994</v>
      </c>
      <c r="BH22">
        <v>-4.3074310000000002</v>
      </c>
      <c r="BI22">
        <v>-17.732690000000002</v>
      </c>
      <c r="BJ22">
        <v>-14.71461</v>
      </c>
      <c r="BK22">
        <v>28.784420000000001</v>
      </c>
      <c r="BL22">
        <v>35.567639999999997</v>
      </c>
      <c r="BM22">
        <v>53.906019999999998</v>
      </c>
      <c r="BN22">
        <v>56.964799999999997</v>
      </c>
      <c r="BO22">
        <v>57.705309999999997</v>
      </c>
      <c r="BP22">
        <v>55.367959999999997</v>
      </c>
      <c r="BQ22">
        <v>55.366979999999998</v>
      </c>
      <c r="BR22">
        <v>54.874679999999998</v>
      </c>
      <c r="BS22">
        <v>48.9208</v>
      </c>
      <c r="BT22">
        <v>40.780679999999997</v>
      </c>
      <c r="BU22">
        <v>-26.950089999999999</v>
      </c>
      <c r="BV22">
        <v>-32.681789999999999</v>
      </c>
      <c r="BW22">
        <v>-5.9365370000000004</v>
      </c>
      <c r="BX22">
        <v>-9.4182159999999993</v>
      </c>
      <c r="BY22">
        <v>17.117940000000001</v>
      </c>
      <c r="BZ22">
        <v>13.825519999999999</v>
      </c>
      <c r="CA22">
        <v>16.712109999999999</v>
      </c>
      <c r="CB22">
        <v>14.654949999999999</v>
      </c>
      <c r="CC22">
        <v>21.30743</v>
      </c>
      <c r="CD22">
        <v>23.064640000000001</v>
      </c>
      <c r="CE22">
        <v>10.9648</v>
      </c>
      <c r="CF22">
        <v>-2.0861010000000002</v>
      </c>
      <c r="CG22">
        <v>-15.423069999999999</v>
      </c>
      <c r="CH22">
        <v>-12.29674</v>
      </c>
      <c r="CI22">
        <v>31.427389999999999</v>
      </c>
      <c r="CJ22">
        <v>38.177900000000001</v>
      </c>
      <c r="CK22">
        <v>56.640360000000001</v>
      </c>
      <c r="CL22">
        <v>60.255330000000001</v>
      </c>
      <c r="CM22">
        <v>61.402000000000001</v>
      </c>
      <c r="CN22">
        <v>59.075380000000003</v>
      </c>
      <c r="CO22">
        <v>59.231990000000003</v>
      </c>
      <c r="CP22">
        <v>58.755070000000003</v>
      </c>
      <c r="CQ22">
        <v>53.226300000000002</v>
      </c>
      <c r="CR22">
        <v>45.071669999999997</v>
      </c>
      <c r="CS22">
        <v>-22.808779999999999</v>
      </c>
      <c r="CT22">
        <v>-29.74821</v>
      </c>
      <c r="CU22">
        <v>-3.4961159999999998</v>
      </c>
      <c r="CV22">
        <v>-7.0154389999999998</v>
      </c>
      <c r="CW22">
        <v>18.90943</v>
      </c>
      <c r="CX22">
        <v>15.81217</v>
      </c>
      <c r="CY22">
        <v>18.680330000000001</v>
      </c>
      <c r="CZ22">
        <v>16.285260000000001</v>
      </c>
      <c r="DA22">
        <v>23.740069999999999</v>
      </c>
      <c r="DB22">
        <v>25.242069999999998</v>
      </c>
      <c r="DC22">
        <v>13.51437</v>
      </c>
      <c r="DD22">
        <v>0.1352293</v>
      </c>
      <c r="DE22">
        <v>-13.11346</v>
      </c>
      <c r="DF22">
        <v>-9.8788640000000001</v>
      </c>
      <c r="DG22">
        <v>34.070349999999998</v>
      </c>
      <c r="DH22">
        <v>40.788150000000002</v>
      </c>
      <c r="DI22">
        <v>59.374690000000001</v>
      </c>
      <c r="DJ22">
        <v>63.545870000000001</v>
      </c>
      <c r="DK22">
        <v>65.098690000000005</v>
      </c>
      <c r="DL22">
        <v>62.782800000000002</v>
      </c>
      <c r="DM22">
        <v>63.097009999999997</v>
      </c>
      <c r="DN22">
        <v>62.635449999999999</v>
      </c>
      <c r="DO22">
        <v>57.53181</v>
      </c>
      <c r="DP22">
        <v>49.362670000000001</v>
      </c>
      <c r="DQ22">
        <v>-18.667470000000002</v>
      </c>
      <c r="DR22">
        <v>-26.814630000000001</v>
      </c>
      <c r="DS22">
        <v>-1.055696</v>
      </c>
      <c r="DT22">
        <v>-4.6126630000000004</v>
      </c>
      <c r="DU22">
        <v>21.49606</v>
      </c>
      <c r="DV22">
        <v>18.680579999999999</v>
      </c>
      <c r="DW22">
        <v>21.52214</v>
      </c>
      <c r="DX22">
        <v>18.639150000000001</v>
      </c>
      <c r="DY22">
        <v>27.252410000000001</v>
      </c>
      <c r="DZ22">
        <v>28.385940000000002</v>
      </c>
      <c r="EA22">
        <v>17.195540000000001</v>
      </c>
      <c r="EB22">
        <v>3.3424779999999998</v>
      </c>
      <c r="EC22">
        <v>-9.7787539999999993</v>
      </c>
      <c r="ED22">
        <v>-6.3878409999999999</v>
      </c>
      <c r="EE22">
        <v>37.886380000000003</v>
      </c>
      <c r="EF22">
        <v>44.556950000000001</v>
      </c>
      <c r="EG22">
        <v>63.32264</v>
      </c>
      <c r="EH22">
        <v>68.296880000000002</v>
      </c>
      <c r="EI22">
        <v>70.436109999999999</v>
      </c>
      <c r="EJ22">
        <v>68.135729999999995</v>
      </c>
      <c r="EK22">
        <v>68.67747</v>
      </c>
      <c r="EL22">
        <v>68.238110000000006</v>
      </c>
      <c r="EM22">
        <v>63.748269999999998</v>
      </c>
      <c r="EN22">
        <v>55.558190000000003</v>
      </c>
      <c r="EO22">
        <v>-12.68807</v>
      </c>
      <c r="EP22">
        <v>-22.57901</v>
      </c>
      <c r="EQ22">
        <v>2.467883</v>
      </c>
      <c r="ER22">
        <v>-1.143435</v>
      </c>
      <c r="ES22">
        <v>80.796999999999997</v>
      </c>
      <c r="ET22">
        <v>80.040520000000001</v>
      </c>
      <c r="EU22">
        <v>79.475930000000005</v>
      </c>
      <c r="EV22">
        <v>78.639250000000004</v>
      </c>
      <c r="EW22">
        <v>77.910880000000006</v>
      </c>
      <c r="EX22">
        <v>77.436390000000003</v>
      </c>
      <c r="EY22">
        <v>77.111760000000004</v>
      </c>
      <c r="EZ22">
        <v>76.977549999999994</v>
      </c>
      <c r="FA22">
        <v>79.157039999999995</v>
      </c>
      <c r="FB22">
        <v>82.760589999999993</v>
      </c>
      <c r="FC22">
        <v>86.153049999999993</v>
      </c>
      <c r="FD22">
        <v>89.053700000000006</v>
      </c>
      <c r="FE22">
        <v>90.209760000000003</v>
      </c>
      <c r="FF22">
        <v>90.830759999999998</v>
      </c>
      <c r="FG22">
        <v>91.959270000000004</v>
      </c>
      <c r="FH22">
        <v>91.228530000000006</v>
      </c>
      <c r="FI22">
        <v>90.950850000000003</v>
      </c>
      <c r="FJ22">
        <v>89.757760000000005</v>
      </c>
      <c r="FK22">
        <v>87.462190000000007</v>
      </c>
      <c r="FL22">
        <v>84.75497</v>
      </c>
      <c r="FM22">
        <v>82.944789999999998</v>
      </c>
      <c r="FN22">
        <v>81.56071</v>
      </c>
      <c r="FO22">
        <v>80.054289999999995</v>
      </c>
      <c r="FP22">
        <v>78.939250000000001</v>
      </c>
      <c r="FQ22">
        <v>2.7858520000000002</v>
      </c>
      <c r="FR22">
        <v>1</v>
      </c>
    </row>
    <row r="23" spans="1:174" x14ac:dyDescent="0.2">
      <c r="A23" t="s">
        <v>63</v>
      </c>
      <c r="B23" t="s">
        <v>2</v>
      </c>
      <c r="C23">
        <v>376.4</v>
      </c>
      <c r="D23" s="65">
        <v>650.1</v>
      </c>
      <c r="E23">
        <v>334.48020000000002</v>
      </c>
      <c r="F23">
        <v>333.7294</v>
      </c>
      <c r="G23">
        <v>332.56959999999998</v>
      </c>
      <c r="H23">
        <v>338.37880000000001</v>
      </c>
      <c r="I23">
        <v>358.35019999999997</v>
      </c>
      <c r="J23">
        <v>392.33920000000001</v>
      </c>
      <c r="K23">
        <v>434.58980000000003</v>
      </c>
      <c r="L23">
        <v>454.15600000000001</v>
      </c>
      <c r="M23">
        <v>468.49110000000002</v>
      </c>
      <c r="N23">
        <v>481.26060000000001</v>
      </c>
      <c r="O23">
        <v>493.90350000000001</v>
      </c>
      <c r="P23">
        <v>489.76780000000002</v>
      </c>
      <c r="Q23">
        <v>486.63499999999999</v>
      </c>
      <c r="R23">
        <v>485.73419999999999</v>
      </c>
      <c r="S23">
        <v>483.59469999999999</v>
      </c>
      <c r="T23">
        <v>473.3999</v>
      </c>
      <c r="U23">
        <v>466.70490000000001</v>
      </c>
      <c r="V23">
        <v>454.01600000000002</v>
      </c>
      <c r="W23">
        <v>424.06950000000001</v>
      </c>
      <c r="X23">
        <v>413.04129999999998</v>
      </c>
      <c r="Y23">
        <v>395.39760000000001</v>
      </c>
      <c r="Z23">
        <v>372.89319999999998</v>
      </c>
      <c r="AA23">
        <v>353.005</v>
      </c>
      <c r="AB23">
        <v>341.0163</v>
      </c>
      <c r="AC23">
        <v>10.04448</v>
      </c>
      <c r="AD23">
        <v>10.359920000000001</v>
      </c>
      <c r="AE23">
        <v>10.003500000000001</v>
      </c>
      <c r="AF23">
        <v>11.7433</v>
      </c>
      <c r="AG23">
        <v>12.393470000000001</v>
      </c>
      <c r="AH23">
        <v>-3.9380679999999999</v>
      </c>
      <c r="AI23">
        <v>0.31956370000000001</v>
      </c>
      <c r="AJ23">
        <v>2.5996269999999999</v>
      </c>
      <c r="AK23">
        <v>-1.3876219999999999</v>
      </c>
      <c r="AL23">
        <v>-2.2045490000000001</v>
      </c>
      <c r="AM23">
        <v>6.6857759999999997</v>
      </c>
      <c r="AN23">
        <v>36.183399999999999</v>
      </c>
      <c r="AO23">
        <v>83.261259999999993</v>
      </c>
      <c r="AP23">
        <v>83.997910000000005</v>
      </c>
      <c r="AQ23">
        <v>83.301900000000003</v>
      </c>
      <c r="AR23">
        <v>82.866500000000002</v>
      </c>
      <c r="AS23">
        <v>84.705579999999998</v>
      </c>
      <c r="AT23">
        <v>82.434700000000007</v>
      </c>
      <c r="AU23">
        <v>77.431700000000006</v>
      </c>
      <c r="AV23">
        <v>69.457369999999997</v>
      </c>
      <c r="AW23">
        <v>25.20317</v>
      </c>
      <c r="AX23">
        <v>13.69261</v>
      </c>
      <c r="AY23">
        <v>12.588179999999999</v>
      </c>
      <c r="AZ23">
        <v>13.05315</v>
      </c>
      <c r="BA23">
        <v>12.179119999999999</v>
      </c>
      <c r="BB23">
        <v>12.55514</v>
      </c>
      <c r="BC23">
        <v>12.16785</v>
      </c>
      <c r="BD23">
        <v>13.4733</v>
      </c>
      <c r="BE23">
        <v>15.26849</v>
      </c>
      <c r="BF23">
        <v>-0.12682070000000001</v>
      </c>
      <c r="BG23">
        <v>2.85772</v>
      </c>
      <c r="BH23">
        <v>4.9774219999999998</v>
      </c>
      <c r="BI23">
        <v>1.4572160000000001</v>
      </c>
      <c r="BJ23">
        <v>0.41098780000000001</v>
      </c>
      <c r="BK23">
        <v>10.22677</v>
      </c>
      <c r="BL23">
        <v>40.504980000000003</v>
      </c>
      <c r="BM23">
        <v>87.22457</v>
      </c>
      <c r="BN23">
        <v>88.236760000000004</v>
      </c>
      <c r="BO23">
        <v>87.939629999999994</v>
      </c>
      <c r="BP23">
        <v>87.211039999999997</v>
      </c>
      <c r="BQ23">
        <v>89.005200000000002</v>
      </c>
      <c r="BR23">
        <v>86.894199999999998</v>
      </c>
      <c r="BS23">
        <v>82.227170000000001</v>
      </c>
      <c r="BT23">
        <v>74.148570000000007</v>
      </c>
      <c r="BU23">
        <v>32.412500000000001</v>
      </c>
      <c r="BV23">
        <v>20.14817</v>
      </c>
      <c r="BW23">
        <v>17.451740000000001</v>
      </c>
      <c r="BX23">
        <v>16.67465</v>
      </c>
      <c r="BY23">
        <v>13.65756</v>
      </c>
      <c r="BZ23">
        <v>14.07554</v>
      </c>
      <c r="CA23">
        <v>13.666869999999999</v>
      </c>
      <c r="CB23">
        <v>14.6715</v>
      </c>
      <c r="CC23">
        <v>17.259720000000002</v>
      </c>
      <c r="CD23">
        <v>2.5128370000000002</v>
      </c>
      <c r="CE23">
        <v>4.61564</v>
      </c>
      <c r="CF23">
        <v>6.6242749999999999</v>
      </c>
      <c r="CG23">
        <v>3.4275419999999999</v>
      </c>
      <c r="CH23">
        <v>2.2225000000000001</v>
      </c>
      <c r="CI23">
        <v>12.67925</v>
      </c>
      <c r="CJ23">
        <v>43.498089999999998</v>
      </c>
      <c r="CK23">
        <v>89.969539999999995</v>
      </c>
      <c r="CL23">
        <v>91.172579999999996</v>
      </c>
      <c r="CM23">
        <v>91.151709999999994</v>
      </c>
      <c r="CN23">
        <v>90.220050000000001</v>
      </c>
      <c r="CO23">
        <v>91.983109999999996</v>
      </c>
      <c r="CP23">
        <v>89.982830000000007</v>
      </c>
      <c r="CQ23">
        <v>85.548490000000001</v>
      </c>
      <c r="CR23">
        <v>77.397670000000005</v>
      </c>
      <c r="CS23">
        <v>37.405650000000001</v>
      </c>
      <c r="CT23">
        <v>24.619260000000001</v>
      </c>
      <c r="CU23">
        <v>20.820219999999999</v>
      </c>
      <c r="CV23">
        <v>19.1829</v>
      </c>
      <c r="CW23">
        <v>15.136010000000001</v>
      </c>
      <c r="CX23">
        <v>15.595940000000001</v>
      </c>
      <c r="CY23">
        <v>15.165889999999999</v>
      </c>
      <c r="CZ23">
        <v>15.86969</v>
      </c>
      <c r="DA23">
        <v>19.25095</v>
      </c>
      <c r="DB23">
        <v>5.152495</v>
      </c>
      <c r="DC23">
        <v>6.3735600000000003</v>
      </c>
      <c r="DD23">
        <v>8.2711290000000002</v>
      </c>
      <c r="DE23">
        <v>5.3978679999999999</v>
      </c>
      <c r="DF23">
        <v>4.0340129999999998</v>
      </c>
      <c r="DG23">
        <v>15.131729999999999</v>
      </c>
      <c r="DH23">
        <v>46.491210000000002</v>
      </c>
      <c r="DI23">
        <v>92.714519999999993</v>
      </c>
      <c r="DJ23">
        <v>94.108410000000006</v>
      </c>
      <c r="DK23">
        <v>94.363789999999995</v>
      </c>
      <c r="DL23">
        <v>93.229069999999993</v>
      </c>
      <c r="DM23">
        <v>94.961010000000002</v>
      </c>
      <c r="DN23">
        <v>93.071470000000005</v>
      </c>
      <c r="DO23">
        <v>88.869820000000004</v>
      </c>
      <c r="DP23">
        <v>80.646780000000007</v>
      </c>
      <c r="DQ23">
        <v>42.398809999999997</v>
      </c>
      <c r="DR23">
        <v>29.09036</v>
      </c>
      <c r="DS23">
        <v>24.18871</v>
      </c>
      <c r="DT23">
        <v>21.691140000000001</v>
      </c>
      <c r="DU23">
        <v>17.27065</v>
      </c>
      <c r="DV23">
        <v>17.791160000000001</v>
      </c>
      <c r="DW23">
        <v>17.33024</v>
      </c>
      <c r="DX23">
        <v>17.599689999999999</v>
      </c>
      <c r="DY23">
        <v>22.125959999999999</v>
      </c>
      <c r="DZ23">
        <v>8.9637419999999999</v>
      </c>
      <c r="EA23">
        <v>8.9117160000000002</v>
      </c>
      <c r="EB23">
        <v>10.64892</v>
      </c>
      <c r="EC23">
        <v>8.2427050000000008</v>
      </c>
      <c r="ED23">
        <v>6.6495490000000004</v>
      </c>
      <c r="EE23">
        <v>18.672720000000002</v>
      </c>
      <c r="EF23">
        <v>50.81279</v>
      </c>
      <c r="EG23">
        <v>96.67783</v>
      </c>
      <c r="EH23">
        <v>98.347260000000006</v>
      </c>
      <c r="EI23">
        <v>99.001530000000002</v>
      </c>
      <c r="EJ23">
        <v>97.573610000000002</v>
      </c>
      <c r="EK23">
        <v>99.260639999999995</v>
      </c>
      <c r="EL23">
        <v>97.530969999999996</v>
      </c>
      <c r="EM23">
        <v>93.665279999999996</v>
      </c>
      <c r="EN23">
        <v>85.337980000000002</v>
      </c>
      <c r="EO23">
        <v>49.608139999999999</v>
      </c>
      <c r="EP23">
        <v>35.545909999999999</v>
      </c>
      <c r="EQ23">
        <v>29.05227</v>
      </c>
      <c r="ER23">
        <v>25.312639999999998</v>
      </c>
      <c r="ES23">
        <v>76.863630000000001</v>
      </c>
      <c r="ET23">
        <v>75.974540000000005</v>
      </c>
      <c r="EU23">
        <v>75.284369999999996</v>
      </c>
      <c r="EV23">
        <v>74.640280000000004</v>
      </c>
      <c r="EW23">
        <v>74.142650000000003</v>
      </c>
      <c r="EX23">
        <v>73.898449999999997</v>
      </c>
      <c r="EY23">
        <v>73.707449999999994</v>
      </c>
      <c r="EZ23">
        <v>73.936989999999994</v>
      </c>
      <c r="FA23">
        <v>75.802300000000002</v>
      </c>
      <c r="FB23">
        <v>78.959460000000007</v>
      </c>
      <c r="FC23">
        <v>82.418639999999996</v>
      </c>
      <c r="FD23">
        <v>84.909260000000003</v>
      </c>
      <c r="FE23">
        <v>86.674549999999996</v>
      </c>
      <c r="FF23">
        <v>87.96678</v>
      </c>
      <c r="FG23">
        <v>88.931820000000002</v>
      </c>
      <c r="FH23">
        <v>88.765820000000005</v>
      </c>
      <c r="FI23">
        <v>88.229489999999998</v>
      </c>
      <c r="FJ23">
        <v>87.141840000000002</v>
      </c>
      <c r="FK23">
        <v>86.164119999999997</v>
      </c>
      <c r="FL23">
        <v>84.092029999999994</v>
      </c>
      <c r="FM23">
        <v>81.855649999999997</v>
      </c>
      <c r="FN23">
        <v>79.619829999999993</v>
      </c>
      <c r="FO23">
        <v>78.243939999999995</v>
      </c>
      <c r="FP23">
        <v>76.984210000000004</v>
      </c>
      <c r="FQ23">
        <v>2.0931410000000001</v>
      </c>
      <c r="FR23">
        <v>1</v>
      </c>
    </row>
    <row r="24" spans="1:174" x14ac:dyDescent="0.2">
      <c r="A24" t="s">
        <v>64</v>
      </c>
      <c r="B24">
        <v>42186</v>
      </c>
      <c r="C24">
        <v>0</v>
      </c>
      <c r="D24" s="65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</row>
    <row r="25" spans="1:174" x14ac:dyDescent="0.2">
      <c r="A25" t="s">
        <v>64</v>
      </c>
      <c r="B25">
        <v>42214</v>
      </c>
      <c r="C25">
        <v>0</v>
      </c>
      <c r="D25" s="6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</row>
    <row r="26" spans="1:174" x14ac:dyDescent="0.2">
      <c r="A26" t="s">
        <v>64</v>
      </c>
      <c r="B26">
        <v>42215</v>
      </c>
      <c r="C26">
        <v>0</v>
      </c>
      <c r="D26" s="65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</row>
    <row r="27" spans="1:174" x14ac:dyDescent="0.2">
      <c r="A27" t="s">
        <v>64</v>
      </c>
      <c r="B27">
        <v>42233</v>
      </c>
      <c r="C27">
        <v>0</v>
      </c>
      <c r="D27" s="65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</row>
    <row r="28" spans="1:174" x14ac:dyDescent="0.2">
      <c r="A28" t="s">
        <v>64</v>
      </c>
      <c r="B28">
        <v>42242</v>
      </c>
      <c r="C28">
        <v>0</v>
      </c>
      <c r="D28" s="65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</row>
    <row r="29" spans="1:174" x14ac:dyDescent="0.2">
      <c r="A29" t="s">
        <v>64</v>
      </c>
      <c r="B29">
        <v>42243</v>
      </c>
      <c r="C29">
        <v>0</v>
      </c>
      <c r="D29" s="65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</row>
    <row r="30" spans="1:174" x14ac:dyDescent="0.2">
      <c r="A30" t="s">
        <v>64</v>
      </c>
      <c r="B30">
        <v>42244</v>
      </c>
      <c r="C30">
        <v>0</v>
      </c>
      <c r="D30" s="65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</row>
    <row r="31" spans="1:174" x14ac:dyDescent="0.2">
      <c r="A31" t="s">
        <v>64</v>
      </c>
      <c r="B31">
        <v>42256</v>
      </c>
      <c r="C31">
        <v>0</v>
      </c>
      <c r="D31" s="65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</row>
    <row r="32" spans="1:174" x14ac:dyDescent="0.2">
      <c r="A32" t="s">
        <v>64</v>
      </c>
      <c r="B32">
        <v>42257</v>
      </c>
      <c r="C32">
        <v>0</v>
      </c>
      <c r="D32" s="65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</row>
    <row r="33" spans="1:174" x14ac:dyDescent="0.2">
      <c r="A33" t="s">
        <v>64</v>
      </c>
      <c r="B33">
        <v>42258</v>
      </c>
      <c r="C33">
        <v>0</v>
      </c>
      <c r="D33" s="65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</row>
    <row r="34" spans="1:174" x14ac:dyDescent="0.2">
      <c r="A34" t="s">
        <v>64</v>
      </c>
      <c r="B34" t="s">
        <v>2</v>
      </c>
      <c r="C34">
        <v>0</v>
      </c>
      <c r="D34" s="65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</row>
    <row r="35" spans="1:174" x14ac:dyDescent="0.2">
      <c r="A35" t="s">
        <v>65</v>
      </c>
      <c r="B35">
        <v>42186</v>
      </c>
      <c r="C35">
        <v>0</v>
      </c>
      <c r="D35" s="6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</row>
    <row r="36" spans="1:174" x14ac:dyDescent="0.2">
      <c r="A36" t="s">
        <v>65</v>
      </c>
      <c r="B36">
        <v>42214</v>
      </c>
      <c r="C36">
        <v>0</v>
      </c>
      <c r="D36" s="65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</row>
    <row r="37" spans="1:174" x14ac:dyDescent="0.2">
      <c r="A37" t="s">
        <v>65</v>
      </c>
      <c r="B37">
        <v>42215</v>
      </c>
      <c r="C37">
        <v>0</v>
      </c>
      <c r="D37" s="65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</row>
    <row r="38" spans="1:174" x14ac:dyDescent="0.2">
      <c r="A38" t="s">
        <v>65</v>
      </c>
      <c r="B38">
        <v>42233</v>
      </c>
      <c r="C38">
        <v>0</v>
      </c>
      <c r="D38" s="65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</row>
    <row r="39" spans="1:174" x14ac:dyDescent="0.2">
      <c r="A39" t="s">
        <v>65</v>
      </c>
      <c r="B39">
        <v>42242</v>
      </c>
      <c r="C39">
        <v>0</v>
      </c>
      <c r="D39" s="65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</row>
    <row r="40" spans="1:174" x14ac:dyDescent="0.2">
      <c r="A40" t="s">
        <v>65</v>
      </c>
      <c r="B40">
        <v>42243</v>
      </c>
      <c r="C40">
        <v>0</v>
      </c>
      <c r="D40" s="65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</row>
    <row r="41" spans="1:174" x14ac:dyDescent="0.2">
      <c r="A41" t="s">
        <v>65</v>
      </c>
      <c r="B41">
        <v>42244</v>
      </c>
      <c r="C41">
        <v>0</v>
      </c>
      <c r="D41" s="65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</row>
    <row r="42" spans="1:174" x14ac:dyDescent="0.2">
      <c r="A42" t="s">
        <v>65</v>
      </c>
      <c r="B42">
        <v>42256</v>
      </c>
      <c r="C42">
        <v>0</v>
      </c>
      <c r="D42" s="65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</row>
    <row r="43" spans="1:174" x14ac:dyDescent="0.2">
      <c r="A43" t="s">
        <v>65</v>
      </c>
      <c r="B43">
        <v>42257</v>
      </c>
      <c r="C43">
        <v>0</v>
      </c>
      <c r="D43" s="65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</row>
    <row r="44" spans="1:174" x14ac:dyDescent="0.2">
      <c r="A44" t="s">
        <v>65</v>
      </c>
      <c r="B44">
        <v>42258</v>
      </c>
      <c r="C44">
        <v>0</v>
      </c>
      <c r="D44" s="65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</row>
    <row r="45" spans="1:174" x14ac:dyDescent="0.2">
      <c r="A45" t="s">
        <v>65</v>
      </c>
      <c r="B45" t="s">
        <v>2</v>
      </c>
      <c r="C45">
        <v>0</v>
      </c>
      <c r="D45" s="6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</row>
    <row r="46" spans="1:174" x14ac:dyDescent="0.2">
      <c r="D46" s="65"/>
    </row>
    <row r="47" spans="1:174" x14ac:dyDescent="0.2">
      <c r="D47" s="65"/>
    </row>
    <row r="48" spans="1:174" x14ac:dyDescent="0.2">
      <c r="D48" s="65"/>
    </row>
    <row r="49" spans="4:4" x14ac:dyDescent="0.2">
      <c r="D49" s="65"/>
    </row>
    <row r="50" spans="4:4" x14ac:dyDescent="0.2">
      <c r="D50" s="65"/>
    </row>
    <row r="51" spans="4:4" x14ac:dyDescent="0.2">
      <c r="D51" s="65"/>
    </row>
    <row r="52" spans="4:4" x14ac:dyDescent="0.2">
      <c r="D52" s="65"/>
    </row>
    <row r="53" spans="4:4" x14ac:dyDescent="0.2">
      <c r="D53" s="65"/>
    </row>
    <row r="54" spans="4:4" x14ac:dyDescent="0.2">
      <c r="D54" s="65"/>
    </row>
    <row r="55" spans="4:4" x14ac:dyDescent="0.2">
      <c r="D55" s="65"/>
    </row>
    <row r="56" spans="4:4" x14ac:dyDescent="0.2">
      <c r="D56" s="65"/>
    </row>
    <row r="57" spans="4:4" x14ac:dyDescent="0.2">
      <c r="D57" s="65"/>
    </row>
    <row r="58" spans="4:4" x14ac:dyDescent="0.2">
      <c r="D58" s="65"/>
    </row>
    <row r="59" spans="4:4" x14ac:dyDescent="0.2">
      <c r="D59" s="65"/>
    </row>
    <row r="60" spans="4:4" x14ac:dyDescent="0.2">
      <c r="D60" s="65"/>
    </row>
    <row r="61" spans="4:4" x14ac:dyDescent="0.2">
      <c r="D61" s="65"/>
    </row>
    <row r="62" spans="4:4" x14ac:dyDescent="0.2">
      <c r="D62" s="65"/>
    </row>
    <row r="63" spans="4:4" x14ac:dyDescent="0.2">
      <c r="D63" s="65"/>
    </row>
    <row r="64" spans="4:4" x14ac:dyDescent="0.2">
      <c r="D64" s="65"/>
    </row>
    <row r="65" spans="4:4" x14ac:dyDescent="0.2">
      <c r="D65" s="65"/>
    </row>
    <row r="66" spans="4:4" x14ac:dyDescent="0.2">
      <c r="D66" s="65"/>
    </row>
    <row r="67" spans="4:4" x14ac:dyDescent="0.2">
      <c r="D67" s="65"/>
    </row>
    <row r="68" spans="4:4" x14ac:dyDescent="0.2">
      <c r="D68" s="65"/>
    </row>
    <row r="69" spans="4:4" x14ac:dyDescent="0.2">
      <c r="D69" s="65"/>
    </row>
    <row r="70" spans="4:4" x14ac:dyDescent="0.2">
      <c r="D70" s="65"/>
    </row>
    <row r="71" spans="4:4" x14ac:dyDescent="0.2">
      <c r="D71" s="65"/>
    </row>
    <row r="72" spans="4:4" x14ac:dyDescent="0.2">
      <c r="D72" s="65"/>
    </row>
    <row r="73" spans="4:4" x14ac:dyDescent="0.2">
      <c r="D73" s="65"/>
    </row>
    <row r="74" spans="4:4" x14ac:dyDescent="0.2">
      <c r="D74" s="65"/>
    </row>
    <row r="75" spans="4:4" x14ac:dyDescent="0.2">
      <c r="D75" s="65"/>
    </row>
    <row r="76" spans="4:4" x14ac:dyDescent="0.2">
      <c r="D76" s="65"/>
    </row>
    <row r="77" spans="4:4" x14ac:dyDescent="0.2">
      <c r="D77" s="65"/>
    </row>
    <row r="78" spans="4:4" x14ac:dyDescent="0.2">
      <c r="D78" s="65"/>
    </row>
    <row r="79" spans="4:4" x14ac:dyDescent="0.2">
      <c r="D79" s="65"/>
    </row>
    <row r="80" spans="4:4" x14ac:dyDescent="0.2">
      <c r="D80" s="65"/>
    </row>
    <row r="81" spans="4:4" x14ac:dyDescent="0.2">
      <c r="D81" s="65"/>
    </row>
    <row r="82" spans="4:4" x14ac:dyDescent="0.2">
      <c r="D82" s="65"/>
    </row>
    <row r="83" spans="4:4" x14ac:dyDescent="0.2">
      <c r="D83" s="65"/>
    </row>
    <row r="84" spans="4:4" x14ac:dyDescent="0.2">
      <c r="D84" s="65"/>
    </row>
    <row r="85" spans="4:4" x14ac:dyDescent="0.2">
      <c r="D85" s="65"/>
    </row>
    <row r="86" spans="4:4" x14ac:dyDescent="0.2">
      <c r="D86" s="65"/>
    </row>
    <row r="87" spans="4:4" x14ac:dyDescent="0.2">
      <c r="D87" s="65"/>
    </row>
    <row r="88" spans="4:4" x14ac:dyDescent="0.2">
      <c r="D88" s="65"/>
    </row>
    <row r="89" spans="4:4" x14ac:dyDescent="0.2">
      <c r="D89" s="65"/>
    </row>
    <row r="90" spans="4:4" x14ac:dyDescent="0.2">
      <c r="D90" s="65"/>
    </row>
    <row r="91" spans="4:4" x14ac:dyDescent="0.2">
      <c r="D91" s="65"/>
    </row>
    <row r="92" spans="4:4" x14ac:dyDescent="0.2">
      <c r="D92" s="65"/>
    </row>
    <row r="93" spans="4:4" x14ac:dyDescent="0.2">
      <c r="D93" s="65"/>
    </row>
    <row r="94" spans="4:4" x14ac:dyDescent="0.2">
      <c r="D94" s="65"/>
    </row>
    <row r="95" spans="4:4" x14ac:dyDescent="0.2">
      <c r="D95" s="65"/>
    </row>
    <row r="96" spans="4:4" x14ac:dyDescent="0.2">
      <c r="D96" s="65"/>
    </row>
    <row r="97" spans="4:4" x14ac:dyDescent="0.2">
      <c r="D97" s="65"/>
    </row>
    <row r="98" spans="4:4" x14ac:dyDescent="0.2">
      <c r="D98" s="65"/>
    </row>
    <row r="99" spans="4:4" x14ac:dyDescent="0.2">
      <c r="D99" s="65"/>
    </row>
    <row r="100" spans="4:4" x14ac:dyDescent="0.2">
      <c r="D100" s="65"/>
    </row>
    <row r="101" spans="4:4" x14ac:dyDescent="0.2">
      <c r="D101" s="65"/>
    </row>
    <row r="102" spans="4:4" x14ac:dyDescent="0.2">
      <c r="D102" s="65"/>
    </row>
    <row r="103" spans="4:4" x14ac:dyDescent="0.2">
      <c r="D103" s="65"/>
    </row>
    <row r="104" spans="4:4" x14ac:dyDescent="0.2">
      <c r="D104" s="65"/>
    </row>
    <row r="105" spans="4:4" x14ac:dyDescent="0.2">
      <c r="D105" s="65"/>
    </row>
    <row r="106" spans="4:4" x14ac:dyDescent="0.2">
      <c r="D106" s="65"/>
    </row>
    <row r="107" spans="4:4" x14ac:dyDescent="0.2">
      <c r="D107" s="65"/>
    </row>
    <row r="108" spans="4:4" x14ac:dyDescent="0.2">
      <c r="D108" s="65"/>
    </row>
    <row r="109" spans="4:4" x14ac:dyDescent="0.2">
      <c r="D109" s="65"/>
    </row>
    <row r="110" spans="4:4" x14ac:dyDescent="0.2">
      <c r="D110" s="65"/>
    </row>
    <row r="111" spans="4:4" x14ac:dyDescent="0.2">
      <c r="D111" s="65"/>
    </row>
    <row r="112" spans="4:4" x14ac:dyDescent="0.2">
      <c r="D112" s="65"/>
    </row>
    <row r="113" spans="4:4" x14ac:dyDescent="0.2">
      <c r="D113" s="65"/>
    </row>
    <row r="114" spans="4:4" x14ac:dyDescent="0.2">
      <c r="D114" s="65"/>
    </row>
    <row r="115" spans="4:4" x14ac:dyDescent="0.2">
      <c r="D115" s="65"/>
    </row>
    <row r="116" spans="4:4" x14ac:dyDescent="0.2">
      <c r="D116" s="65"/>
    </row>
    <row r="117" spans="4:4" x14ac:dyDescent="0.2">
      <c r="D117" s="65"/>
    </row>
    <row r="118" spans="4:4" x14ac:dyDescent="0.2">
      <c r="D118" s="65"/>
    </row>
    <row r="119" spans="4:4" x14ac:dyDescent="0.2">
      <c r="D119" s="65"/>
    </row>
    <row r="120" spans="4:4" x14ac:dyDescent="0.2">
      <c r="D120" s="65"/>
    </row>
    <row r="121" spans="4:4" x14ac:dyDescent="0.2">
      <c r="D121" s="65"/>
    </row>
    <row r="122" spans="4:4" x14ac:dyDescent="0.2">
      <c r="D122" s="65"/>
    </row>
    <row r="123" spans="4:4" x14ac:dyDescent="0.2">
      <c r="D123" s="65"/>
    </row>
    <row r="124" spans="4:4" x14ac:dyDescent="0.2">
      <c r="D124" s="65"/>
    </row>
    <row r="125" spans="4:4" x14ac:dyDescent="0.2">
      <c r="D125" s="65"/>
    </row>
    <row r="126" spans="4:4" x14ac:dyDescent="0.2">
      <c r="D126" s="65"/>
    </row>
    <row r="127" spans="4:4" x14ac:dyDescent="0.2">
      <c r="D127" s="65"/>
    </row>
    <row r="128" spans="4:4" x14ac:dyDescent="0.2">
      <c r="D128" s="65"/>
    </row>
    <row r="129" spans="4:4" x14ac:dyDescent="0.2">
      <c r="D129" s="65"/>
    </row>
    <row r="130" spans="4:4" x14ac:dyDescent="0.2">
      <c r="D130" s="65"/>
    </row>
    <row r="131" spans="4:4" x14ac:dyDescent="0.2">
      <c r="D131" s="65"/>
    </row>
    <row r="132" spans="4:4" x14ac:dyDescent="0.2">
      <c r="D132" s="65"/>
    </row>
    <row r="133" spans="4:4" x14ac:dyDescent="0.2">
      <c r="D133" s="65"/>
    </row>
    <row r="134" spans="4:4" x14ac:dyDescent="0.2">
      <c r="D134" s="65"/>
    </row>
    <row r="135" spans="4:4" x14ac:dyDescent="0.2">
      <c r="D135" s="65"/>
    </row>
    <row r="136" spans="4:4" x14ac:dyDescent="0.2">
      <c r="D136" s="65"/>
    </row>
    <row r="137" spans="4:4" x14ac:dyDescent="0.2">
      <c r="D137" s="65"/>
    </row>
    <row r="138" spans="4:4" x14ac:dyDescent="0.2">
      <c r="D138" s="65"/>
    </row>
    <row r="139" spans="4:4" x14ac:dyDescent="0.2">
      <c r="D139" s="65"/>
    </row>
    <row r="140" spans="4:4" x14ac:dyDescent="0.2">
      <c r="D140" s="65"/>
    </row>
    <row r="141" spans="4:4" x14ac:dyDescent="0.2">
      <c r="D141" s="65"/>
    </row>
    <row r="142" spans="4:4" x14ac:dyDescent="0.2">
      <c r="D142" s="65"/>
    </row>
    <row r="143" spans="4:4" x14ac:dyDescent="0.2">
      <c r="D143" s="65"/>
    </row>
    <row r="144" spans="4:4" x14ac:dyDescent="0.2">
      <c r="D144" s="65"/>
    </row>
    <row r="145" spans="4:4" x14ac:dyDescent="0.2">
      <c r="D145" s="65"/>
    </row>
    <row r="146" spans="4:4" x14ac:dyDescent="0.2">
      <c r="D146" s="65"/>
    </row>
    <row r="147" spans="4:4" x14ac:dyDescent="0.2">
      <c r="D147" s="65"/>
    </row>
    <row r="148" spans="4:4" x14ac:dyDescent="0.2">
      <c r="D148" s="65"/>
    </row>
    <row r="149" spans="4:4" x14ac:dyDescent="0.2">
      <c r="D149" s="65"/>
    </row>
    <row r="150" spans="4:4" x14ac:dyDescent="0.2">
      <c r="D150" s="65"/>
    </row>
    <row r="151" spans="4:4" x14ac:dyDescent="0.2">
      <c r="D151" s="65"/>
    </row>
    <row r="152" spans="4:4" x14ac:dyDescent="0.2">
      <c r="D152" s="65"/>
    </row>
    <row r="153" spans="4:4" x14ac:dyDescent="0.2">
      <c r="D153" s="65"/>
    </row>
    <row r="154" spans="4:4" x14ac:dyDescent="0.2">
      <c r="D154" s="65"/>
    </row>
    <row r="155" spans="4:4" x14ac:dyDescent="0.2">
      <c r="D155" s="65"/>
    </row>
    <row r="156" spans="4:4" x14ac:dyDescent="0.2">
      <c r="D156" s="65"/>
    </row>
    <row r="157" spans="4:4" x14ac:dyDescent="0.2">
      <c r="D157" s="65"/>
    </row>
    <row r="158" spans="4:4" x14ac:dyDescent="0.2">
      <c r="D158" s="65"/>
    </row>
    <row r="159" spans="4:4" x14ac:dyDescent="0.2">
      <c r="D159" s="65"/>
    </row>
    <row r="160" spans="4:4" x14ac:dyDescent="0.2">
      <c r="D160" s="65"/>
    </row>
    <row r="161" spans="4:4" x14ac:dyDescent="0.2">
      <c r="D161" s="65"/>
    </row>
    <row r="162" spans="4:4" x14ac:dyDescent="0.2">
      <c r="D162" s="65"/>
    </row>
    <row r="163" spans="4:4" x14ac:dyDescent="0.2">
      <c r="D163" s="65"/>
    </row>
    <row r="164" spans="4:4" x14ac:dyDescent="0.2">
      <c r="D164" s="65"/>
    </row>
    <row r="165" spans="4:4" x14ac:dyDescent="0.2">
      <c r="D165" s="65"/>
    </row>
    <row r="166" spans="4:4" x14ac:dyDescent="0.2">
      <c r="D166" s="65"/>
    </row>
    <row r="167" spans="4:4" x14ac:dyDescent="0.2">
      <c r="D167" s="65"/>
    </row>
    <row r="168" spans="4:4" x14ac:dyDescent="0.2">
      <c r="D168" s="65"/>
    </row>
    <row r="169" spans="4:4" x14ac:dyDescent="0.2">
      <c r="D169" s="65"/>
    </row>
    <row r="170" spans="4:4" x14ac:dyDescent="0.2">
      <c r="D170" s="65"/>
    </row>
    <row r="171" spans="4:4" x14ac:dyDescent="0.2">
      <c r="D171" s="65"/>
    </row>
    <row r="172" spans="4:4" x14ac:dyDescent="0.2">
      <c r="D172" s="65"/>
    </row>
    <row r="173" spans="4:4" x14ac:dyDescent="0.2">
      <c r="D173" s="65"/>
    </row>
    <row r="174" spans="4:4" x14ac:dyDescent="0.2">
      <c r="D174" s="65"/>
    </row>
    <row r="175" spans="4:4" x14ac:dyDescent="0.2">
      <c r="D175" s="65"/>
    </row>
    <row r="176" spans="4:4" x14ac:dyDescent="0.2">
      <c r="D176" s="65"/>
    </row>
    <row r="177" spans="4:4" x14ac:dyDescent="0.2">
      <c r="D177" s="65"/>
    </row>
    <row r="178" spans="4:4" x14ac:dyDescent="0.2">
      <c r="D178" s="65"/>
    </row>
    <row r="179" spans="4:4" x14ac:dyDescent="0.2">
      <c r="D179" s="65"/>
    </row>
    <row r="180" spans="4:4" x14ac:dyDescent="0.2">
      <c r="D180" s="65"/>
    </row>
    <row r="181" spans="4:4" x14ac:dyDescent="0.2">
      <c r="D181" s="65"/>
    </row>
    <row r="182" spans="4:4" x14ac:dyDescent="0.2">
      <c r="D182" s="65"/>
    </row>
    <row r="183" spans="4:4" x14ac:dyDescent="0.2">
      <c r="D183" s="65"/>
    </row>
    <row r="184" spans="4:4" x14ac:dyDescent="0.2">
      <c r="D184" s="65"/>
    </row>
    <row r="185" spans="4:4" x14ac:dyDescent="0.2">
      <c r="D185" s="65"/>
    </row>
    <row r="186" spans="4:4" x14ac:dyDescent="0.2">
      <c r="D186" s="65"/>
    </row>
    <row r="187" spans="4:4" x14ac:dyDescent="0.2">
      <c r="D187" s="65"/>
    </row>
    <row r="188" spans="4:4" x14ac:dyDescent="0.2">
      <c r="D188" s="65"/>
    </row>
    <row r="189" spans="4:4" x14ac:dyDescent="0.2">
      <c r="D189" s="65"/>
    </row>
    <row r="190" spans="4:4" x14ac:dyDescent="0.2">
      <c r="D190" s="65"/>
    </row>
    <row r="191" spans="4:4" x14ac:dyDescent="0.2">
      <c r="D191" s="65"/>
    </row>
    <row r="192" spans="4:4" x14ac:dyDescent="0.2">
      <c r="D192" s="65"/>
    </row>
    <row r="193" spans="4:4" x14ac:dyDescent="0.2">
      <c r="D193" s="65"/>
    </row>
    <row r="194" spans="4:4" x14ac:dyDescent="0.2">
      <c r="D194" s="65"/>
    </row>
    <row r="195" spans="4:4" x14ac:dyDescent="0.2">
      <c r="D195" s="65"/>
    </row>
    <row r="196" spans="4:4" x14ac:dyDescent="0.2">
      <c r="D196" s="65"/>
    </row>
    <row r="197" spans="4:4" x14ac:dyDescent="0.2">
      <c r="D197" s="65"/>
    </row>
    <row r="198" spans="4:4" x14ac:dyDescent="0.2">
      <c r="D198" s="65"/>
    </row>
    <row r="199" spans="4:4" x14ac:dyDescent="0.2">
      <c r="D199" s="65"/>
    </row>
    <row r="200" spans="4:4" x14ac:dyDescent="0.2">
      <c r="D200" s="65"/>
    </row>
    <row r="201" spans="4:4" x14ac:dyDescent="0.2">
      <c r="D201" s="65"/>
    </row>
    <row r="202" spans="4:4" x14ac:dyDescent="0.2">
      <c r="D202" s="65"/>
    </row>
    <row r="203" spans="4:4" x14ac:dyDescent="0.2">
      <c r="D203" s="65"/>
    </row>
    <row r="204" spans="4:4" x14ac:dyDescent="0.2">
      <c r="D204" s="65"/>
    </row>
    <row r="205" spans="4:4" x14ac:dyDescent="0.2">
      <c r="D205" s="65"/>
    </row>
    <row r="206" spans="4:4" x14ac:dyDescent="0.2">
      <c r="D206" s="65"/>
    </row>
    <row r="207" spans="4:4" x14ac:dyDescent="0.2">
      <c r="D207" s="65"/>
    </row>
    <row r="208" spans="4:4" x14ac:dyDescent="0.2">
      <c r="D208" s="65"/>
    </row>
    <row r="209" spans="4:4" x14ac:dyDescent="0.2">
      <c r="D209" s="65"/>
    </row>
    <row r="210" spans="4:4" x14ac:dyDescent="0.2">
      <c r="D210" s="65"/>
    </row>
    <row r="211" spans="4:4" x14ac:dyDescent="0.2">
      <c r="D211" s="65"/>
    </row>
    <row r="212" spans="4:4" x14ac:dyDescent="0.2">
      <c r="D212" s="65"/>
    </row>
    <row r="213" spans="4:4" x14ac:dyDescent="0.2">
      <c r="D213" s="65"/>
    </row>
    <row r="214" spans="4:4" x14ac:dyDescent="0.2">
      <c r="D214" s="65"/>
    </row>
    <row r="215" spans="4:4" x14ac:dyDescent="0.2">
      <c r="D215" s="65"/>
    </row>
    <row r="216" spans="4:4" x14ac:dyDescent="0.2">
      <c r="D216" s="65"/>
    </row>
    <row r="217" spans="4:4" x14ac:dyDescent="0.2">
      <c r="D217" s="65"/>
    </row>
    <row r="218" spans="4:4" x14ac:dyDescent="0.2">
      <c r="D218" s="65"/>
    </row>
    <row r="219" spans="4:4" x14ac:dyDescent="0.2">
      <c r="D219" s="65"/>
    </row>
    <row r="220" spans="4:4" x14ac:dyDescent="0.2">
      <c r="D220" s="65"/>
    </row>
    <row r="221" spans="4:4" x14ac:dyDescent="0.2">
      <c r="D221" s="65"/>
    </row>
    <row r="222" spans="4:4" x14ac:dyDescent="0.2">
      <c r="D222" s="65"/>
    </row>
    <row r="223" spans="4:4" x14ac:dyDescent="0.2">
      <c r="D223" s="65"/>
    </row>
    <row r="224" spans="4:4" x14ac:dyDescent="0.2">
      <c r="D224" s="65"/>
    </row>
    <row r="225" spans="4:4" x14ac:dyDescent="0.2">
      <c r="D225" s="65"/>
    </row>
    <row r="226" spans="4:4" x14ac:dyDescent="0.2">
      <c r="D226" s="65"/>
    </row>
    <row r="227" spans="4:4" x14ac:dyDescent="0.2">
      <c r="D227" s="65"/>
    </row>
    <row r="228" spans="4:4" x14ac:dyDescent="0.2">
      <c r="D228" s="65"/>
    </row>
    <row r="229" spans="4:4" x14ac:dyDescent="0.2">
      <c r="D229" s="65"/>
    </row>
    <row r="230" spans="4:4" x14ac:dyDescent="0.2">
      <c r="D230" s="65"/>
    </row>
    <row r="231" spans="4:4" x14ac:dyDescent="0.2">
      <c r="D231" s="65"/>
    </row>
    <row r="232" spans="4:4" x14ac:dyDescent="0.2">
      <c r="D232" s="65"/>
    </row>
    <row r="233" spans="4:4" x14ac:dyDescent="0.2">
      <c r="D233" s="65"/>
    </row>
    <row r="234" spans="4:4" x14ac:dyDescent="0.2">
      <c r="D234" s="65"/>
    </row>
    <row r="235" spans="4:4" x14ac:dyDescent="0.2">
      <c r="D235" s="65"/>
    </row>
    <row r="236" spans="4:4" x14ac:dyDescent="0.2">
      <c r="D236" s="65"/>
    </row>
    <row r="237" spans="4:4" x14ac:dyDescent="0.2">
      <c r="D237" s="65"/>
    </row>
    <row r="238" spans="4:4" x14ac:dyDescent="0.2">
      <c r="D238" s="65"/>
    </row>
    <row r="239" spans="4:4" x14ac:dyDescent="0.2">
      <c r="D239" s="65"/>
    </row>
    <row r="240" spans="4:4" x14ac:dyDescent="0.2">
      <c r="D240" s="65"/>
    </row>
    <row r="241" spans="4:4" x14ac:dyDescent="0.2">
      <c r="D241" s="65"/>
    </row>
    <row r="242" spans="4:4" x14ac:dyDescent="0.2">
      <c r="D242" s="65"/>
    </row>
    <row r="243" spans="4:4" x14ac:dyDescent="0.2">
      <c r="D243" s="65"/>
    </row>
    <row r="244" spans="4:4" x14ac:dyDescent="0.2">
      <c r="D244" s="65"/>
    </row>
    <row r="245" spans="4:4" x14ac:dyDescent="0.2">
      <c r="D245" s="65"/>
    </row>
    <row r="246" spans="4:4" x14ac:dyDescent="0.2">
      <c r="D246" s="65"/>
    </row>
    <row r="247" spans="4:4" x14ac:dyDescent="0.2">
      <c r="D247" s="65"/>
    </row>
    <row r="248" spans="4:4" x14ac:dyDescent="0.2">
      <c r="D248" s="65"/>
    </row>
    <row r="249" spans="4:4" x14ac:dyDescent="0.2">
      <c r="D249" s="65"/>
    </row>
    <row r="250" spans="4:4" x14ac:dyDescent="0.2">
      <c r="D250" s="65"/>
    </row>
    <row r="251" spans="4:4" x14ac:dyDescent="0.2">
      <c r="D251" s="65"/>
    </row>
    <row r="252" spans="4:4" x14ac:dyDescent="0.2">
      <c r="D252" s="65"/>
    </row>
    <row r="253" spans="4:4" x14ac:dyDescent="0.2">
      <c r="D253" s="65"/>
    </row>
    <row r="254" spans="4:4" x14ac:dyDescent="0.2">
      <c r="D254" s="65"/>
    </row>
    <row r="255" spans="4:4" x14ac:dyDescent="0.2">
      <c r="D255" s="65"/>
    </row>
    <row r="256" spans="4:4" x14ac:dyDescent="0.2">
      <c r="D256" s="65"/>
    </row>
    <row r="257" spans="4:4" x14ac:dyDescent="0.2">
      <c r="D257" s="65"/>
    </row>
    <row r="258" spans="4:4" x14ac:dyDescent="0.2">
      <c r="D258" s="65"/>
    </row>
    <row r="259" spans="4:4" x14ac:dyDescent="0.2">
      <c r="D259" s="65"/>
    </row>
    <row r="260" spans="4:4" x14ac:dyDescent="0.2">
      <c r="D260" s="65"/>
    </row>
    <row r="261" spans="4:4" x14ac:dyDescent="0.2">
      <c r="D261" s="65"/>
    </row>
    <row r="262" spans="4:4" x14ac:dyDescent="0.2">
      <c r="D262" s="65"/>
    </row>
    <row r="263" spans="4:4" x14ac:dyDescent="0.2">
      <c r="D263" s="65"/>
    </row>
    <row r="264" spans="4:4" x14ac:dyDescent="0.2">
      <c r="D264" s="65"/>
    </row>
    <row r="265" spans="4:4" x14ac:dyDescent="0.2">
      <c r="D265" s="65"/>
    </row>
    <row r="266" spans="4:4" x14ac:dyDescent="0.2">
      <c r="D266" s="65"/>
    </row>
    <row r="267" spans="4:4" x14ac:dyDescent="0.2">
      <c r="D267" s="65"/>
    </row>
    <row r="268" spans="4:4" x14ac:dyDescent="0.2">
      <c r="D268" s="65"/>
    </row>
    <row r="269" spans="4:4" x14ac:dyDescent="0.2">
      <c r="D269" s="65"/>
    </row>
    <row r="270" spans="4:4" x14ac:dyDescent="0.2">
      <c r="D270" s="65"/>
    </row>
    <row r="271" spans="4:4" x14ac:dyDescent="0.2">
      <c r="D271" s="65"/>
    </row>
    <row r="272" spans="4:4" x14ac:dyDescent="0.2">
      <c r="D272" s="65"/>
    </row>
    <row r="273" spans="4:4" x14ac:dyDescent="0.2">
      <c r="D273" s="65"/>
    </row>
    <row r="274" spans="4:4" x14ac:dyDescent="0.2">
      <c r="D274" s="65"/>
    </row>
    <row r="275" spans="4:4" x14ac:dyDescent="0.2">
      <c r="D275" s="65"/>
    </row>
    <row r="276" spans="4:4" x14ac:dyDescent="0.2">
      <c r="D276" s="65"/>
    </row>
    <row r="277" spans="4:4" x14ac:dyDescent="0.2">
      <c r="D277" s="65"/>
    </row>
    <row r="278" spans="4:4" x14ac:dyDescent="0.2">
      <c r="D278" s="65"/>
    </row>
    <row r="279" spans="4:4" x14ac:dyDescent="0.2">
      <c r="D279" s="65"/>
    </row>
    <row r="280" spans="4:4" x14ac:dyDescent="0.2">
      <c r="D280" s="65"/>
    </row>
    <row r="281" spans="4:4" x14ac:dyDescent="0.2">
      <c r="D281" s="65"/>
    </row>
    <row r="282" spans="4:4" x14ac:dyDescent="0.2">
      <c r="D282" s="65"/>
    </row>
    <row r="283" spans="4:4" x14ac:dyDescent="0.2">
      <c r="D283" s="65"/>
    </row>
    <row r="284" spans="4:4" x14ac:dyDescent="0.2">
      <c r="D284" s="65"/>
    </row>
    <row r="285" spans="4:4" x14ac:dyDescent="0.2">
      <c r="D285" s="65"/>
    </row>
    <row r="286" spans="4:4" x14ac:dyDescent="0.2">
      <c r="D286" s="65"/>
    </row>
    <row r="287" spans="4:4" x14ac:dyDescent="0.2">
      <c r="D287" s="65"/>
    </row>
    <row r="288" spans="4:4" x14ac:dyDescent="0.2">
      <c r="D288" s="65"/>
    </row>
    <row r="289" spans="4:4" x14ac:dyDescent="0.2">
      <c r="D289" s="65"/>
    </row>
    <row r="290" spans="4:4" x14ac:dyDescent="0.2">
      <c r="D290" s="65"/>
    </row>
    <row r="291" spans="4:4" x14ac:dyDescent="0.2">
      <c r="D291" s="65"/>
    </row>
    <row r="292" spans="4:4" x14ac:dyDescent="0.2">
      <c r="D292" s="65"/>
    </row>
    <row r="293" spans="4:4" x14ac:dyDescent="0.2">
      <c r="D293" s="65"/>
    </row>
    <row r="294" spans="4:4" x14ac:dyDescent="0.2">
      <c r="D294" s="65"/>
    </row>
    <row r="295" spans="4:4" x14ac:dyDescent="0.2">
      <c r="D295" s="65"/>
    </row>
    <row r="296" spans="4:4" x14ac:dyDescent="0.2">
      <c r="D296" s="65"/>
    </row>
    <row r="297" spans="4:4" x14ac:dyDescent="0.2">
      <c r="D297" s="65"/>
    </row>
    <row r="298" spans="4:4" x14ac:dyDescent="0.2">
      <c r="D298" s="65"/>
    </row>
    <row r="299" spans="4:4" x14ac:dyDescent="0.2">
      <c r="D299" s="65"/>
    </row>
    <row r="300" spans="4:4" x14ac:dyDescent="0.2">
      <c r="D300" s="65"/>
    </row>
    <row r="301" spans="4:4" x14ac:dyDescent="0.2">
      <c r="D301" s="65"/>
    </row>
    <row r="302" spans="4:4" x14ac:dyDescent="0.2">
      <c r="D302" s="65"/>
    </row>
    <row r="303" spans="4:4" x14ac:dyDescent="0.2">
      <c r="D303" s="65"/>
    </row>
    <row r="304" spans="4:4" x14ac:dyDescent="0.2">
      <c r="D304" s="65"/>
    </row>
    <row r="305" spans="4:4" x14ac:dyDescent="0.2">
      <c r="D305" s="65"/>
    </row>
    <row r="306" spans="4:4" x14ac:dyDescent="0.2">
      <c r="D306" s="65"/>
    </row>
    <row r="307" spans="4:4" x14ac:dyDescent="0.2">
      <c r="D307" s="65"/>
    </row>
    <row r="308" spans="4:4" x14ac:dyDescent="0.2">
      <c r="D308" s="65"/>
    </row>
    <row r="309" spans="4:4" x14ac:dyDescent="0.2">
      <c r="D309" s="65"/>
    </row>
    <row r="310" spans="4:4" x14ac:dyDescent="0.2">
      <c r="D310" s="65"/>
    </row>
    <row r="311" spans="4:4" x14ac:dyDescent="0.2">
      <c r="D311" s="65"/>
    </row>
    <row r="312" spans="4:4" x14ac:dyDescent="0.2">
      <c r="D312" s="65"/>
    </row>
    <row r="313" spans="4:4" x14ac:dyDescent="0.2">
      <c r="D313" s="65"/>
    </row>
    <row r="314" spans="4:4" x14ac:dyDescent="0.2">
      <c r="D314" s="65"/>
    </row>
    <row r="315" spans="4:4" x14ac:dyDescent="0.2">
      <c r="D315" s="65"/>
    </row>
    <row r="316" spans="4:4" x14ac:dyDescent="0.2">
      <c r="D316" s="65"/>
    </row>
    <row r="317" spans="4:4" x14ac:dyDescent="0.2">
      <c r="D317" s="65"/>
    </row>
    <row r="318" spans="4:4" x14ac:dyDescent="0.2">
      <c r="D318" s="65"/>
    </row>
    <row r="319" spans="4:4" x14ac:dyDescent="0.2">
      <c r="D319" s="65"/>
    </row>
    <row r="320" spans="4:4" x14ac:dyDescent="0.2">
      <c r="D320" s="65"/>
    </row>
    <row r="321" spans="4:4" x14ac:dyDescent="0.2">
      <c r="D321" s="65"/>
    </row>
    <row r="322" spans="4:4" x14ac:dyDescent="0.2">
      <c r="D322" s="65"/>
    </row>
    <row r="323" spans="4:4" x14ac:dyDescent="0.2">
      <c r="D323" s="65"/>
    </row>
    <row r="324" spans="4:4" x14ac:dyDescent="0.2">
      <c r="D324" s="65"/>
    </row>
    <row r="325" spans="4:4" x14ac:dyDescent="0.2">
      <c r="D325" s="65"/>
    </row>
    <row r="326" spans="4:4" x14ac:dyDescent="0.2">
      <c r="D326" s="65"/>
    </row>
    <row r="327" spans="4:4" x14ac:dyDescent="0.2">
      <c r="D327" s="65"/>
    </row>
    <row r="328" spans="4:4" x14ac:dyDescent="0.2">
      <c r="D328" s="65"/>
    </row>
    <row r="329" spans="4:4" x14ac:dyDescent="0.2">
      <c r="D329" s="65"/>
    </row>
    <row r="330" spans="4:4" x14ac:dyDescent="0.2">
      <c r="D330" s="65"/>
    </row>
    <row r="331" spans="4:4" x14ac:dyDescent="0.2">
      <c r="D331" s="65"/>
    </row>
    <row r="332" spans="4:4" x14ac:dyDescent="0.2">
      <c r="D332" s="65"/>
    </row>
    <row r="333" spans="4:4" x14ac:dyDescent="0.2">
      <c r="D333" s="65"/>
    </row>
    <row r="334" spans="4:4" x14ac:dyDescent="0.2">
      <c r="D334" s="65"/>
    </row>
    <row r="335" spans="4:4" x14ac:dyDescent="0.2">
      <c r="D335" s="65"/>
    </row>
    <row r="336" spans="4:4" x14ac:dyDescent="0.2">
      <c r="D336" s="65"/>
    </row>
    <row r="337" spans="4:4" x14ac:dyDescent="0.2">
      <c r="D337" s="65"/>
    </row>
    <row r="338" spans="4:4" x14ac:dyDescent="0.2">
      <c r="D338" s="65"/>
    </row>
    <row r="339" spans="4:4" x14ac:dyDescent="0.2">
      <c r="D339" s="65"/>
    </row>
    <row r="340" spans="4:4" x14ac:dyDescent="0.2">
      <c r="D340" s="65"/>
    </row>
    <row r="341" spans="4:4" x14ac:dyDescent="0.2">
      <c r="D341" s="65"/>
    </row>
    <row r="342" spans="4:4" x14ac:dyDescent="0.2">
      <c r="D342" s="65"/>
    </row>
    <row r="343" spans="4:4" x14ac:dyDescent="0.2">
      <c r="D343" s="65"/>
    </row>
    <row r="344" spans="4:4" x14ac:dyDescent="0.2">
      <c r="D344" s="65"/>
    </row>
    <row r="345" spans="4:4" x14ac:dyDescent="0.2">
      <c r="D345" s="65"/>
    </row>
    <row r="346" spans="4:4" x14ac:dyDescent="0.2">
      <c r="D346" s="65"/>
    </row>
    <row r="347" spans="4:4" x14ac:dyDescent="0.2">
      <c r="D347" s="65"/>
    </row>
    <row r="348" spans="4:4" x14ac:dyDescent="0.2">
      <c r="D348" s="65"/>
    </row>
    <row r="349" spans="4:4" x14ac:dyDescent="0.2">
      <c r="D349" s="65"/>
    </row>
    <row r="350" spans="4:4" x14ac:dyDescent="0.2">
      <c r="D350" s="65"/>
    </row>
    <row r="351" spans="4:4" x14ac:dyDescent="0.2">
      <c r="D351" s="65"/>
    </row>
    <row r="352" spans="4:4" x14ac:dyDescent="0.2">
      <c r="D352" s="65"/>
    </row>
    <row r="353" spans="4:4" x14ac:dyDescent="0.2">
      <c r="D353" s="65"/>
    </row>
    <row r="354" spans="4:4" x14ac:dyDescent="0.2">
      <c r="D354" s="65"/>
    </row>
    <row r="355" spans="4:4" x14ac:dyDescent="0.2">
      <c r="D355" s="65"/>
    </row>
    <row r="356" spans="4:4" x14ac:dyDescent="0.2">
      <c r="D356" s="65"/>
    </row>
    <row r="357" spans="4:4" x14ac:dyDescent="0.2">
      <c r="D357" s="65"/>
    </row>
    <row r="358" spans="4:4" x14ac:dyDescent="0.2">
      <c r="D358" s="65"/>
    </row>
    <row r="359" spans="4:4" x14ac:dyDescent="0.2">
      <c r="D359" s="65"/>
    </row>
    <row r="360" spans="4:4" x14ac:dyDescent="0.2">
      <c r="D360" s="65"/>
    </row>
    <row r="361" spans="4:4" x14ac:dyDescent="0.2">
      <c r="D361" s="65"/>
    </row>
    <row r="362" spans="4:4" x14ac:dyDescent="0.2">
      <c r="D362" s="65"/>
    </row>
    <row r="363" spans="4:4" x14ac:dyDescent="0.2">
      <c r="D363" s="65"/>
    </row>
    <row r="364" spans="4:4" x14ac:dyDescent="0.2">
      <c r="D364" s="65"/>
    </row>
    <row r="365" spans="4:4" x14ac:dyDescent="0.2">
      <c r="D365" s="65"/>
    </row>
    <row r="366" spans="4:4" x14ac:dyDescent="0.2">
      <c r="D366" s="65"/>
    </row>
    <row r="367" spans="4:4" x14ac:dyDescent="0.2">
      <c r="D367" s="65"/>
    </row>
    <row r="368" spans="4:4" x14ac:dyDescent="0.2">
      <c r="D368" s="65"/>
    </row>
    <row r="369" spans="4:4" x14ac:dyDescent="0.2">
      <c r="D369" s="65"/>
    </row>
    <row r="370" spans="4:4" x14ac:dyDescent="0.2">
      <c r="D370" s="65"/>
    </row>
    <row r="371" spans="4:4" x14ac:dyDescent="0.2">
      <c r="D371" s="65"/>
    </row>
    <row r="372" spans="4:4" x14ac:dyDescent="0.2">
      <c r="D372" s="65"/>
    </row>
    <row r="373" spans="4:4" x14ac:dyDescent="0.2">
      <c r="D373" s="65"/>
    </row>
    <row r="374" spans="4:4" x14ac:dyDescent="0.2">
      <c r="D374" s="65"/>
    </row>
    <row r="375" spans="4:4" x14ac:dyDescent="0.2">
      <c r="D375" s="65"/>
    </row>
    <row r="376" spans="4:4" x14ac:dyDescent="0.2">
      <c r="D376" s="65"/>
    </row>
    <row r="377" spans="4:4" x14ac:dyDescent="0.2">
      <c r="D377" s="65"/>
    </row>
    <row r="378" spans="4:4" x14ac:dyDescent="0.2">
      <c r="D378" s="65"/>
    </row>
    <row r="379" spans="4:4" x14ac:dyDescent="0.2">
      <c r="D379" s="65"/>
    </row>
    <row r="380" spans="4:4" x14ac:dyDescent="0.2">
      <c r="D380" s="65"/>
    </row>
    <row r="381" spans="4:4" x14ac:dyDescent="0.2">
      <c r="D381" s="65"/>
    </row>
    <row r="382" spans="4:4" x14ac:dyDescent="0.2">
      <c r="D382" s="65"/>
    </row>
    <row r="383" spans="4:4" x14ac:dyDescent="0.2">
      <c r="D383" s="65"/>
    </row>
    <row r="384" spans="4:4" x14ac:dyDescent="0.2">
      <c r="D384" s="65"/>
    </row>
    <row r="385" spans="4:4" x14ac:dyDescent="0.2">
      <c r="D385" s="65"/>
    </row>
    <row r="386" spans="4:4" x14ac:dyDescent="0.2">
      <c r="D386" s="65"/>
    </row>
    <row r="387" spans="4:4" x14ac:dyDescent="0.2">
      <c r="D387" s="65"/>
    </row>
    <row r="388" spans="4:4" x14ac:dyDescent="0.2">
      <c r="D388" s="65"/>
    </row>
    <row r="389" spans="4:4" x14ac:dyDescent="0.2">
      <c r="D389" s="65"/>
    </row>
    <row r="390" spans="4:4" x14ac:dyDescent="0.2">
      <c r="D390" s="65"/>
    </row>
    <row r="391" spans="4:4" x14ac:dyDescent="0.2">
      <c r="D391" s="65"/>
    </row>
    <row r="392" spans="4:4" x14ac:dyDescent="0.2">
      <c r="D392" s="65"/>
    </row>
    <row r="393" spans="4:4" x14ac:dyDescent="0.2">
      <c r="D393" s="65"/>
    </row>
    <row r="394" spans="4:4" x14ac:dyDescent="0.2">
      <c r="D394" s="65"/>
    </row>
    <row r="395" spans="4:4" x14ac:dyDescent="0.2">
      <c r="D395" s="65"/>
    </row>
    <row r="396" spans="4:4" x14ac:dyDescent="0.2">
      <c r="D396" s="65"/>
    </row>
    <row r="397" spans="4:4" x14ac:dyDescent="0.2">
      <c r="D397" s="65"/>
    </row>
    <row r="398" spans="4:4" x14ac:dyDescent="0.2">
      <c r="D398" s="65"/>
    </row>
    <row r="399" spans="4:4" x14ac:dyDescent="0.2">
      <c r="D399" s="65"/>
    </row>
    <row r="400" spans="4:4" x14ac:dyDescent="0.2">
      <c r="D400" s="65"/>
    </row>
    <row r="401" spans="4:4" x14ac:dyDescent="0.2">
      <c r="D401" s="65"/>
    </row>
    <row r="402" spans="4:4" x14ac:dyDescent="0.2">
      <c r="D402" s="65"/>
    </row>
    <row r="403" spans="4:4" x14ac:dyDescent="0.2">
      <c r="D403" s="65"/>
    </row>
    <row r="404" spans="4:4" x14ac:dyDescent="0.2">
      <c r="D404" s="65"/>
    </row>
    <row r="405" spans="4:4" x14ac:dyDescent="0.2">
      <c r="D405" s="65"/>
    </row>
    <row r="406" spans="4:4" x14ac:dyDescent="0.2">
      <c r="D406" s="65"/>
    </row>
    <row r="407" spans="4:4" x14ac:dyDescent="0.2">
      <c r="D407" s="65"/>
    </row>
    <row r="408" spans="4:4" x14ac:dyDescent="0.2">
      <c r="D408" s="65"/>
    </row>
    <row r="409" spans="4:4" x14ac:dyDescent="0.2">
      <c r="D409" s="65"/>
    </row>
    <row r="410" spans="4:4" x14ac:dyDescent="0.2">
      <c r="D410" s="65"/>
    </row>
    <row r="411" spans="4:4" x14ac:dyDescent="0.2">
      <c r="D411" s="65"/>
    </row>
    <row r="412" spans="4:4" x14ac:dyDescent="0.2">
      <c r="D412" s="65"/>
    </row>
    <row r="413" spans="4:4" x14ac:dyDescent="0.2">
      <c r="D413" s="65"/>
    </row>
    <row r="414" spans="4:4" x14ac:dyDescent="0.2">
      <c r="D414" s="65"/>
    </row>
    <row r="415" spans="4:4" x14ac:dyDescent="0.2">
      <c r="D415" s="65"/>
    </row>
    <row r="416" spans="4:4" x14ac:dyDescent="0.2">
      <c r="D416" s="65"/>
    </row>
    <row r="417" spans="4:4" x14ac:dyDescent="0.2">
      <c r="D417" s="65"/>
    </row>
    <row r="418" spans="4:4" x14ac:dyDescent="0.2">
      <c r="D418" s="65"/>
    </row>
    <row r="419" spans="4:4" x14ac:dyDescent="0.2">
      <c r="D419" s="65"/>
    </row>
    <row r="420" spans="4:4" x14ac:dyDescent="0.2">
      <c r="D420" s="65"/>
    </row>
    <row r="421" spans="4:4" x14ac:dyDescent="0.2">
      <c r="D421" s="65"/>
    </row>
    <row r="422" spans="4:4" x14ac:dyDescent="0.2">
      <c r="D422" s="65"/>
    </row>
    <row r="423" spans="4:4" x14ac:dyDescent="0.2">
      <c r="D423" s="65"/>
    </row>
    <row r="424" spans="4:4" x14ac:dyDescent="0.2">
      <c r="D424" s="65"/>
    </row>
    <row r="425" spans="4:4" x14ac:dyDescent="0.2">
      <c r="D425" s="65"/>
    </row>
    <row r="426" spans="4:4" x14ac:dyDescent="0.2">
      <c r="D426" s="65"/>
    </row>
    <row r="427" spans="4:4" x14ac:dyDescent="0.2">
      <c r="D427" s="65"/>
    </row>
    <row r="428" spans="4:4" x14ac:dyDescent="0.2">
      <c r="D428" s="65"/>
    </row>
    <row r="429" spans="4:4" x14ac:dyDescent="0.2">
      <c r="D429" s="65"/>
    </row>
    <row r="430" spans="4:4" x14ac:dyDescent="0.2">
      <c r="D430" s="65"/>
    </row>
    <row r="431" spans="4:4" x14ac:dyDescent="0.2">
      <c r="D431" s="65"/>
    </row>
    <row r="432" spans="4:4" x14ac:dyDescent="0.2">
      <c r="D432" s="65"/>
    </row>
    <row r="433" spans="4:4" x14ac:dyDescent="0.2">
      <c r="D433" s="65"/>
    </row>
    <row r="434" spans="4:4" x14ac:dyDescent="0.2">
      <c r="D434" s="65"/>
    </row>
    <row r="435" spans="4:4" x14ac:dyDescent="0.2">
      <c r="D435" s="65"/>
    </row>
    <row r="436" spans="4:4" x14ac:dyDescent="0.2">
      <c r="D436" s="65"/>
    </row>
    <row r="437" spans="4:4" x14ac:dyDescent="0.2">
      <c r="D437" s="65"/>
    </row>
    <row r="438" spans="4:4" x14ac:dyDescent="0.2">
      <c r="D438" s="65"/>
    </row>
    <row r="439" spans="4:4" x14ac:dyDescent="0.2">
      <c r="D439" s="65"/>
    </row>
    <row r="440" spans="4:4" x14ac:dyDescent="0.2">
      <c r="D440" s="65"/>
    </row>
    <row r="441" spans="4:4" x14ac:dyDescent="0.2">
      <c r="D441" s="65"/>
    </row>
    <row r="442" spans="4:4" x14ac:dyDescent="0.2">
      <c r="D442" s="65"/>
    </row>
    <row r="443" spans="4:4" x14ac:dyDescent="0.2">
      <c r="D443" s="65"/>
    </row>
    <row r="444" spans="4:4" x14ac:dyDescent="0.2">
      <c r="D444" s="65"/>
    </row>
    <row r="445" spans="4:4" x14ac:dyDescent="0.2">
      <c r="D445" s="65"/>
    </row>
    <row r="446" spans="4:4" x14ac:dyDescent="0.2">
      <c r="D446" s="65"/>
    </row>
    <row r="447" spans="4:4" x14ac:dyDescent="0.2">
      <c r="D447" s="65"/>
    </row>
    <row r="448" spans="4:4" x14ac:dyDescent="0.2">
      <c r="D448" s="65"/>
    </row>
    <row r="449" spans="4:4" x14ac:dyDescent="0.2">
      <c r="D449" s="65"/>
    </row>
    <row r="450" spans="4:4" x14ac:dyDescent="0.2">
      <c r="D450" s="65"/>
    </row>
    <row r="451" spans="4:4" x14ac:dyDescent="0.2">
      <c r="D451" s="65"/>
    </row>
    <row r="452" spans="4:4" x14ac:dyDescent="0.2">
      <c r="D452" s="65"/>
    </row>
    <row r="453" spans="4:4" x14ac:dyDescent="0.2">
      <c r="D453" s="65"/>
    </row>
    <row r="454" spans="4:4" x14ac:dyDescent="0.2">
      <c r="D454" s="65"/>
    </row>
    <row r="455" spans="4:4" x14ac:dyDescent="0.2">
      <c r="D455" s="65"/>
    </row>
    <row r="456" spans="4:4" x14ac:dyDescent="0.2">
      <c r="D456" s="65"/>
    </row>
    <row r="457" spans="4:4" x14ac:dyDescent="0.2">
      <c r="D457" s="65"/>
    </row>
    <row r="458" spans="4:4" x14ac:dyDescent="0.2">
      <c r="D458" s="65"/>
    </row>
    <row r="459" spans="4:4" x14ac:dyDescent="0.2">
      <c r="D459" s="65"/>
    </row>
    <row r="460" spans="4:4" x14ac:dyDescent="0.2">
      <c r="D460" s="65"/>
    </row>
    <row r="461" spans="4:4" x14ac:dyDescent="0.2">
      <c r="D461" s="65"/>
    </row>
    <row r="462" spans="4:4" x14ac:dyDescent="0.2">
      <c r="D462" s="65"/>
    </row>
    <row r="463" spans="4:4" x14ac:dyDescent="0.2">
      <c r="D463" s="65"/>
    </row>
    <row r="464" spans="4:4" x14ac:dyDescent="0.2">
      <c r="D464" s="65"/>
    </row>
    <row r="465" spans="4:4" x14ac:dyDescent="0.2">
      <c r="D465" s="65"/>
    </row>
    <row r="466" spans="4:4" x14ac:dyDescent="0.2">
      <c r="D466" s="65"/>
    </row>
    <row r="467" spans="4:4" x14ac:dyDescent="0.2">
      <c r="D467" s="65"/>
    </row>
    <row r="468" spans="4:4" x14ac:dyDescent="0.2">
      <c r="D468" s="65"/>
    </row>
    <row r="469" spans="4:4" x14ac:dyDescent="0.2">
      <c r="D469" s="65"/>
    </row>
    <row r="470" spans="4:4" x14ac:dyDescent="0.2">
      <c r="D470" s="65"/>
    </row>
    <row r="471" spans="4:4" x14ac:dyDescent="0.2">
      <c r="D471" s="65"/>
    </row>
    <row r="472" spans="4:4" x14ac:dyDescent="0.2">
      <c r="D472" s="65"/>
    </row>
    <row r="473" spans="4:4" x14ac:dyDescent="0.2">
      <c r="D473" s="65"/>
    </row>
    <row r="474" spans="4:4" x14ac:dyDescent="0.2">
      <c r="D474" s="65"/>
    </row>
    <row r="475" spans="4:4" x14ac:dyDescent="0.2">
      <c r="D475" s="65"/>
    </row>
    <row r="476" spans="4:4" x14ac:dyDescent="0.2">
      <c r="D476" s="65"/>
    </row>
    <row r="477" spans="4:4" x14ac:dyDescent="0.2">
      <c r="D477" s="65"/>
    </row>
    <row r="478" spans="4:4" x14ac:dyDescent="0.2">
      <c r="D478" s="65"/>
    </row>
    <row r="479" spans="4:4" x14ac:dyDescent="0.2">
      <c r="D479" s="65"/>
    </row>
    <row r="480" spans="4:4" x14ac:dyDescent="0.2">
      <c r="D480" s="65"/>
    </row>
    <row r="481" spans="4:4" x14ac:dyDescent="0.2">
      <c r="D481" s="65"/>
    </row>
    <row r="482" spans="4:4" x14ac:dyDescent="0.2">
      <c r="D482" s="65"/>
    </row>
    <row r="483" spans="4:4" x14ac:dyDescent="0.2">
      <c r="D483" s="65"/>
    </row>
    <row r="484" spans="4:4" x14ac:dyDescent="0.2">
      <c r="D484" s="65"/>
    </row>
    <row r="485" spans="4:4" x14ac:dyDescent="0.2">
      <c r="D485" s="65"/>
    </row>
    <row r="486" spans="4:4" x14ac:dyDescent="0.2">
      <c r="D486" s="65"/>
    </row>
    <row r="487" spans="4:4" x14ac:dyDescent="0.2">
      <c r="D487" s="65"/>
    </row>
    <row r="488" spans="4:4" x14ac:dyDescent="0.2">
      <c r="D488" s="65"/>
    </row>
    <row r="489" spans="4:4" x14ac:dyDescent="0.2">
      <c r="D489" s="65"/>
    </row>
    <row r="490" spans="4:4" x14ac:dyDescent="0.2">
      <c r="D490" s="65"/>
    </row>
    <row r="491" spans="4:4" x14ac:dyDescent="0.2">
      <c r="D491" s="65"/>
    </row>
    <row r="492" spans="4:4" x14ac:dyDescent="0.2">
      <c r="D492" s="65"/>
    </row>
    <row r="493" spans="4:4" x14ac:dyDescent="0.2">
      <c r="D493" s="65"/>
    </row>
    <row r="494" spans="4:4" x14ac:dyDescent="0.2">
      <c r="D494" s="65"/>
    </row>
    <row r="495" spans="4:4" x14ac:dyDescent="0.2">
      <c r="D495" s="65"/>
    </row>
    <row r="496" spans="4:4" x14ac:dyDescent="0.2">
      <c r="D496" s="65"/>
    </row>
    <row r="497" spans="4:4" x14ac:dyDescent="0.2">
      <c r="D497" s="65"/>
    </row>
    <row r="498" spans="4:4" x14ac:dyDescent="0.2">
      <c r="D498" s="65"/>
    </row>
    <row r="499" spans="4:4" x14ac:dyDescent="0.2">
      <c r="D499" s="65"/>
    </row>
    <row r="500" spans="4:4" x14ac:dyDescent="0.2">
      <c r="D500" s="65"/>
    </row>
    <row r="501" spans="4:4" x14ac:dyDescent="0.2">
      <c r="D501" s="65"/>
    </row>
    <row r="502" spans="4:4" x14ac:dyDescent="0.2">
      <c r="D502" s="65"/>
    </row>
    <row r="503" spans="4:4" x14ac:dyDescent="0.2">
      <c r="D503" s="65"/>
    </row>
    <row r="504" spans="4:4" x14ac:dyDescent="0.2">
      <c r="D504" s="65"/>
    </row>
    <row r="505" spans="4:4" x14ac:dyDescent="0.2">
      <c r="D505" s="65"/>
    </row>
    <row r="506" spans="4:4" x14ac:dyDescent="0.2">
      <c r="D506" s="65"/>
    </row>
    <row r="507" spans="4:4" x14ac:dyDescent="0.2">
      <c r="D507" s="65"/>
    </row>
    <row r="508" spans="4:4" x14ac:dyDescent="0.2">
      <c r="D508" s="65"/>
    </row>
    <row r="509" spans="4:4" x14ac:dyDescent="0.2">
      <c r="D509" s="65"/>
    </row>
    <row r="510" spans="4:4" x14ac:dyDescent="0.2">
      <c r="D510" s="65"/>
    </row>
    <row r="511" spans="4:4" x14ac:dyDescent="0.2">
      <c r="D511" s="65"/>
    </row>
    <row r="512" spans="4:4" x14ac:dyDescent="0.2">
      <c r="D512" s="65"/>
    </row>
    <row r="513" spans="4:4" x14ac:dyDescent="0.2">
      <c r="D513" s="65"/>
    </row>
    <row r="514" spans="4:4" x14ac:dyDescent="0.2">
      <c r="D514" s="65"/>
    </row>
    <row r="515" spans="4:4" x14ac:dyDescent="0.2">
      <c r="D515" s="65"/>
    </row>
    <row r="516" spans="4:4" x14ac:dyDescent="0.2">
      <c r="D516" s="65"/>
    </row>
    <row r="517" spans="4:4" x14ac:dyDescent="0.2">
      <c r="D517" s="65"/>
    </row>
    <row r="518" spans="4:4" x14ac:dyDescent="0.2">
      <c r="D518" s="65"/>
    </row>
    <row r="519" spans="4:4" x14ac:dyDescent="0.2">
      <c r="D519" s="65"/>
    </row>
    <row r="520" spans="4:4" x14ac:dyDescent="0.2">
      <c r="D520" s="65"/>
    </row>
    <row r="521" spans="4:4" x14ac:dyDescent="0.2">
      <c r="D521" s="65"/>
    </row>
    <row r="522" spans="4:4" x14ac:dyDescent="0.2">
      <c r="D522" s="65"/>
    </row>
    <row r="523" spans="4:4" x14ac:dyDescent="0.2">
      <c r="D523" s="65"/>
    </row>
    <row r="524" spans="4:4" x14ac:dyDescent="0.2">
      <c r="D524" s="65"/>
    </row>
    <row r="525" spans="4:4" x14ac:dyDescent="0.2">
      <c r="D525" s="65"/>
    </row>
    <row r="526" spans="4:4" x14ac:dyDescent="0.2">
      <c r="D526" s="65"/>
    </row>
    <row r="527" spans="4:4" x14ac:dyDescent="0.2">
      <c r="D527" s="65"/>
    </row>
    <row r="528" spans="4:4" x14ac:dyDescent="0.2">
      <c r="D528" s="65"/>
    </row>
    <row r="529" spans="4:4" x14ac:dyDescent="0.2">
      <c r="D529" s="65"/>
    </row>
    <row r="530" spans="4:4" x14ac:dyDescent="0.2">
      <c r="D530" s="65"/>
    </row>
    <row r="531" spans="4:4" x14ac:dyDescent="0.2">
      <c r="D531" s="65"/>
    </row>
    <row r="532" spans="4:4" x14ac:dyDescent="0.2">
      <c r="D532" s="65"/>
    </row>
    <row r="533" spans="4:4" x14ac:dyDescent="0.2">
      <c r="D533" s="65"/>
    </row>
    <row r="534" spans="4:4" x14ac:dyDescent="0.2">
      <c r="D534" s="65"/>
    </row>
    <row r="535" spans="4:4" x14ac:dyDescent="0.2">
      <c r="D535" s="65"/>
    </row>
    <row r="536" spans="4:4" x14ac:dyDescent="0.2">
      <c r="D536" s="65"/>
    </row>
    <row r="537" spans="4:4" x14ac:dyDescent="0.2">
      <c r="D537" s="65"/>
    </row>
    <row r="538" spans="4:4" x14ac:dyDescent="0.2">
      <c r="D538" s="65"/>
    </row>
    <row r="539" spans="4:4" x14ac:dyDescent="0.2">
      <c r="D539" s="65"/>
    </row>
    <row r="540" spans="4:4" x14ac:dyDescent="0.2">
      <c r="D540" s="65"/>
    </row>
    <row r="541" spans="4:4" x14ac:dyDescent="0.2">
      <c r="D541" s="65"/>
    </row>
    <row r="542" spans="4:4" x14ac:dyDescent="0.2">
      <c r="D542" s="65"/>
    </row>
    <row r="543" spans="4:4" x14ac:dyDescent="0.2">
      <c r="D543" s="65"/>
    </row>
    <row r="544" spans="4:4" x14ac:dyDescent="0.2">
      <c r="D544" s="65"/>
    </row>
    <row r="545" spans="4:4" x14ac:dyDescent="0.2">
      <c r="D545" s="65"/>
    </row>
    <row r="546" spans="4:4" x14ac:dyDescent="0.2">
      <c r="D546" s="65"/>
    </row>
    <row r="547" spans="4:4" x14ac:dyDescent="0.2">
      <c r="D547" s="65"/>
    </row>
    <row r="548" spans="4:4" x14ac:dyDescent="0.2">
      <c r="D548" s="65"/>
    </row>
    <row r="549" spans="4:4" x14ac:dyDescent="0.2">
      <c r="D549" s="65"/>
    </row>
    <row r="550" spans="4:4" x14ac:dyDescent="0.2">
      <c r="D550" s="65"/>
    </row>
    <row r="551" spans="4:4" x14ac:dyDescent="0.2">
      <c r="D551" s="65"/>
    </row>
    <row r="552" spans="4:4" x14ac:dyDescent="0.2">
      <c r="D552" s="65"/>
    </row>
    <row r="553" spans="4:4" x14ac:dyDescent="0.2">
      <c r="D553" s="65"/>
    </row>
    <row r="554" spans="4:4" x14ac:dyDescent="0.2">
      <c r="D554" s="65"/>
    </row>
    <row r="555" spans="4:4" x14ac:dyDescent="0.2">
      <c r="D555" s="65"/>
    </row>
    <row r="556" spans="4:4" x14ac:dyDescent="0.2">
      <c r="D556" s="65"/>
    </row>
    <row r="557" spans="4:4" x14ac:dyDescent="0.2">
      <c r="D557" s="65"/>
    </row>
    <row r="558" spans="4:4" x14ac:dyDescent="0.2">
      <c r="D558" s="65"/>
    </row>
    <row r="559" spans="4:4" x14ac:dyDescent="0.2">
      <c r="D559" s="65"/>
    </row>
    <row r="560" spans="4:4" x14ac:dyDescent="0.2">
      <c r="D560" s="65"/>
    </row>
    <row r="561" spans="4:4" x14ac:dyDescent="0.2">
      <c r="D561" s="65"/>
    </row>
    <row r="562" spans="4:4" x14ac:dyDescent="0.2">
      <c r="D562" s="65"/>
    </row>
    <row r="563" spans="4:4" x14ac:dyDescent="0.2">
      <c r="D563" s="65"/>
    </row>
    <row r="564" spans="4:4" x14ac:dyDescent="0.2">
      <c r="D564" s="65"/>
    </row>
    <row r="565" spans="4:4" x14ac:dyDescent="0.2">
      <c r="D565" s="65"/>
    </row>
    <row r="566" spans="4:4" x14ac:dyDescent="0.2">
      <c r="D566" s="65"/>
    </row>
    <row r="567" spans="4:4" x14ac:dyDescent="0.2">
      <c r="D567" s="65"/>
    </row>
    <row r="568" spans="4:4" x14ac:dyDescent="0.2">
      <c r="D568" s="65"/>
    </row>
    <row r="569" spans="4:4" x14ac:dyDescent="0.2">
      <c r="D569" s="65"/>
    </row>
    <row r="570" spans="4:4" x14ac:dyDescent="0.2">
      <c r="D570" s="65"/>
    </row>
    <row r="571" spans="4:4" x14ac:dyDescent="0.2">
      <c r="D571" s="65"/>
    </row>
    <row r="572" spans="4:4" x14ac:dyDescent="0.2">
      <c r="D572" s="65"/>
    </row>
    <row r="573" spans="4:4" x14ac:dyDescent="0.2">
      <c r="D573" s="65"/>
    </row>
    <row r="574" spans="4:4" x14ac:dyDescent="0.2">
      <c r="D574" s="65"/>
    </row>
    <row r="575" spans="4:4" x14ac:dyDescent="0.2">
      <c r="D575" s="65"/>
    </row>
    <row r="576" spans="4:4" x14ac:dyDescent="0.2">
      <c r="D576" s="65"/>
    </row>
    <row r="577" spans="4:4" x14ac:dyDescent="0.2">
      <c r="D577" s="65"/>
    </row>
    <row r="578" spans="4:4" x14ac:dyDescent="0.2">
      <c r="D578" s="65"/>
    </row>
    <row r="579" spans="4:4" x14ac:dyDescent="0.2">
      <c r="D579" s="65"/>
    </row>
    <row r="580" spans="4:4" x14ac:dyDescent="0.2">
      <c r="D580" s="65"/>
    </row>
    <row r="581" spans="4:4" x14ac:dyDescent="0.2">
      <c r="D581" s="65"/>
    </row>
    <row r="582" spans="4:4" x14ac:dyDescent="0.2">
      <c r="D582" s="65"/>
    </row>
    <row r="583" spans="4:4" x14ac:dyDescent="0.2">
      <c r="D583" s="65"/>
    </row>
    <row r="584" spans="4:4" x14ac:dyDescent="0.2">
      <c r="D584" s="65"/>
    </row>
    <row r="585" spans="4:4" x14ac:dyDescent="0.2">
      <c r="D585" s="65"/>
    </row>
    <row r="586" spans="4:4" x14ac:dyDescent="0.2">
      <c r="D586" s="65"/>
    </row>
    <row r="587" spans="4:4" x14ac:dyDescent="0.2">
      <c r="D587" s="65"/>
    </row>
    <row r="588" spans="4:4" x14ac:dyDescent="0.2">
      <c r="D588" s="65"/>
    </row>
    <row r="589" spans="4:4" x14ac:dyDescent="0.2">
      <c r="D589" s="65"/>
    </row>
    <row r="590" spans="4:4" x14ac:dyDescent="0.2">
      <c r="D590" s="65"/>
    </row>
    <row r="591" spans="4:4" x14ac:dyDescent="0.2">
      <c r="D591" s="65"/>
    </row>
    <row r="592" spans="4:4" x14ac:dyDescent="0.2">
      <c r="D592" s="65"/>
    </row>
    <row r="593" spans="4:4" x14ac:dyDescent="0.2">
      <c r="D593" s="65"/>
    </row>
    <row r="594" spans="4:4" x14ac:dyDescent="0.2">
      <c r="D594" s="65"/>
    </row>
    <row r="595" spans="4:4" x14ac:dyDescent="0.2">
      <c r="D595" s="65"/>
    </row>
    <row r="596" spans="4:4" x14ac:dyDescent="0.2">
      <c r="D596" s="65"/>
    </row>
    <row r="597" spans="4:4" x14ac:dyDescent="0.2">
      <c r="D597" s="65"/>
    </row>
    <row r="598" spans="4:4" x14ac:dyDescent="0.2">
      <c r="D598" s="65"/>
    </row>
    <row r="599" spans="4:4" x14ac:dyDescent="0.2">
      <c r="D599" s="65"/>
    </row>
    <row r="600" spans="4:4" x14ac:dyDescent="0.2">
      <c r="D600" s="65"/>
    </row>
    <row r="601" spans="4:4" x14ac:dyDescent="0.2">
      <c r="D601" s="65"/>
    </row>
    <row r="602" spans="4:4" x14ac:dyDescent="0.2">
      <c r="D602" s="65"/>
    </row>
    <row r="603" spans="4:4" x14ac:dyDescent="0.2">
      <c r="D603" s="65"/>
    </row>
    <row r="604" spans="4:4" x14ac:dyDescent="0.2">
      <c r="D604" s="65"/>
    </row>
    <row r="605" spans="4:4" x14ac:dyDescent="0.2">
      <c r="D605" s="65"/>
    </row>
    <row r="606" spans="4:4" x14ac:dyDescent="0.2">
      <c r="D606" s="65"/>
    </row>
    <row r="607" spans="4:4" x14ac:dyDescent="0.2">
      <c r="D607" s="65"/>
    </row>
    <row r="608" spans="4:4" x14ac:dyDescent="0.2">
      <c r="D608" s="65"/>
    </row>
    <row r="609" spans="4:4" x14ac:dyDescent="0.2">
      <c r="D609" s="65"/>
    </row>
    <row r="610" spans="4:4" x14ac:dyDescent="0.2">
      <c r="D610" s="65"/>
    </row>
    <row r="611" spans="4:4" x14ac:dyDescent="0.2">
      <c r="D611" s="65"/>
    </row>
    <row r="612" spans="4:4" x14ac:dyDescent="0.2">
      <c r="D612" s="65"/>
    </row>
    <row r="613" spans="4:4" x14ac:dyDescent="0.2">
      <c r="D613" s="65"/>
    </row>
    <row r="614" spans="4:4" x14ac:dyDescent="0.2">
      <c r="D614" s="65"/>
    </row>
    <row r="615" spans="4:4" x14ac:dyDescent="0.2">
      <c r="D615" s="65"/>
    </row>
    <row r="616" spans="4:4" x14ac:dyDescent="0.2">
      <c r="D616" s="65"/>
    </row>
    <row r="617" spans="4:4" x14ac:dyDescent="0.2">
      <c r="D617" s="65"/>
    </row>
    <row r="618" spans="4:4" x14ac:dyDescent="0.2">
      <c r="D618" s="65"/>
    </row>
    <row r="619" spans="4:4" x14ac:dyDescent="0.2">
      <c r="D619" s="65"/>
    </row>
    <row r="620" spans="4:4" x14ac:dyDescent="0.2">
      <c r="D620" s="65"/>
    </row>
    <row r="621" spans="4:4" x14ac:dyDescent="0.2">
      <c r="D621" s="65"/>
    </row>
    <row r="622" spans="4:4" x14ac:dyDescent="0.2">
      <c r="D622" s="65"/>
    </row>
    <row r="623" spans="4:4" x14ac:dyDescent="0.2">
      <c r="D623" s="65"/>
    </row>
    <row r="624" spans="4:4" x14ac:dyDescent="0.2">
      <c r="D624" s="65"/>
    </row>
    <row r="625" spans="4:4" x14ac:dyDescent="0.2">
      <c r="D625" s="65"/>
    </row>
    <row r="626" spans="4:4" x14ac:dyDescent="0.2">
      <c r="D626" s="65"/>
    </row>
    <row r="627" spans="4:4" x14ac:dyDescent="0.2">
      <c r="D627" s="65"/>
    </row>
    <row r="628" spans="4:4" x14ac:dyDescent="0.2">
      <c r="D628" s="65"/>
    </row>
    <row r="629" spans="4:4" x14ac:dyDescent="0.2">
      <c r="D629" s="65"/>
    </row>
    <row r="630" spans="4:4" x14ac:dyDescent="0.2">
      <c r="D630" s="65"/>
    </row>
    <row r="631" spans="4:4" x14ac:dyDescent="0.2">
      <c r="D631" s="65"/>
    </row>
    <row r="632" spans="4:4" x14ac:dyDescent="0.2">
      <c r="D632" s="65"/>
    </row>
    <row r="633" spans="4:4" x14ac:dyDescent="0.2">
      <c r="D633" s="65"/>
    </row>
    <row r="634" spans="4:4" x14ac:dyDescent="0.2">
      <c r="D634" s="65"/>
    </row>
    <row r="635" spans="4:4" x14ac:dyDescent="0.2">
      <c r="D635" s="65"/>
    </row>
    <row r="636" spans="4:4" x14ac:dyDescent="0.2">
      <c r="D636" s="65"/>
    </row>
    <row r="637" spans="4:4" x14ac:dyDescent="0.2">
      <c r="D637" s="65"/>
    </row>
    <row r="638" spans="4:4" x14ac:dyDescent="0.2">
      <c r="D638" s="65"/>
    </row>
    <row r="639" spans="4:4" x14ac:dyDescent="0.2">
      <c r="D639" s="65"/>
    </row>
    <row r="640" spans="4:4" x14ac:dyDescent="0.2">
      <c r="D640" s="65"/>
    </row>
    <row r="641" spans="4:4" x14ac:dyDescent="0.2">
      <c r="D641" s="65"/>
    </row>
    <row r="642" spans="4:4" x14ac:dyDescent="0.2">
      <c r="D642" s="65"/>
    </row>
    <row r="643" spans="4:4" x14ac:dyDescent="0.2">
      <c r="D643" s="65"/>
    </row>
    <row r="644" spans="4:4" x14ac:dyDescent="0.2">
      <c r="D644" s="65"/>
    </row>
    <row r="645" spans="4:4" x14ac:dyDescent="0.2">
      <c r="D645" s="65"/>
    </row>
    <row r="646" spans="4:4" x14ac:dyDescent="0.2">
      <c r="D646" s="65"/>
    </row>
    <row r="647" spans="4:4" x14ac:dyDescent="0.2">
      <c r="D647" s="65"/>
    </row>
    <row r="648" spans="4:4" x14ac:dyDescent="0.2">
      <c r="D648" s="65"/>
    </row>
    <row r="649" spans="4:4" x14ac:dyDescent="0.2">
      <c r="D649" s="65"/>
    </row>
    <row r="650" spans="4:4" x14ac:dyDescent="0.2">
      <c r="D650" s="65"/>
    </row>
    <row r="651" spans="4:4" x14ac:dyDescent="0.2">
      <c r="D651" s="65"/>
    </row>
    <row r="652" spans="4:4" x14ac:dyDescent="0.2">
      <c r="D652" s="65"/>
    </row>
    <row r="653" spans="4:4" x14ac:dyDescent="0.2">
      <c r="D653" s="65"/>
    </row>
    <row r="654" spans="4:4" x14ac:dyDescent="0.2">
      <c r="D654" s="65"/>
    </row>
    <row r="655" spans="4:4" x14ac:dyDescent="0.2">
      <c r="D655" s="65"/>
    </row>
    <row r="656" spans="4:4" x14ac:dyDescent="0.2">
      <c r="D656" s="65"/>
    </row>
    <row r="657" spans="4:4" x14ac:dyDescent="0.2">
      <c r="D657" s="65"/>
    </row>
    <row r="658" spans="4:4" x14ac:dyDescent="0.2">
      <c r="D658" s="65"/>
    </row>
    <row r="659" spans="4:4" x14ac:dyDescent="0.2">
      <c r="D659" s="65"/>
    </row>
    <row r="660" spans="4:4" x14ac:dyDescent="0.2">
      <c r="D660" s="65"/>
    </row>
    <row r="661" spans="4:4" x14ac:dyDescent="0.2">
      <c r="D661" s="65"/>
    </row>
    <row r="662" spans="4:4" x14ac:dyDescent="0.2">
      <c r="D662" s="65"/>
    </row>
    <row r="663" spans="4:4" x14ac:dyDescent="0.2">
      <c r="D663" s="65"/>
    </row>
    <row r="664" spans="4:4" x14ac:dyDescent="0.2">
      <c r="D664" s="65"/>
    </row>
    <row r="665" spans="4:4" x14ac:dyDescent="0.2">
      <c r="D665" s="65"/>
    </row>
    <row r="666" spans="4:4" x14ac:dyDescent="0.2">
      <c r="D666" s="65"/>
    </row>
    <row r="667" spans="4:4" x14ac:dyDescent="0.2">
      <c r="D667" s="65"/>
    </row>
    <row r="668" spans="4:4" x14ac:dyDescent="0.2">
      <c r="D668" s="65"/>
    </row>
    <row r="669" spans="4:4" x14ac:dyDescent="0.2">
      <c r="D669" s="65"/>
    </row>
    <row r="670" spans="4:4" x14ac:dyDescent="0.2">
      <c r="D670" s="65"/>
    </row>
    <row r="671" spans="4:4" x14ac:dyDescent="0.2">
      <c r="D671" s="65"/>
    </row>
    <row r="672" spans="4:4" x14ac:dyDescent="0.2">
      <c r="D672" s="65"/>
    </row>
    <row r="673" spans="4:4" x14ac:dyDescent="0.2">
      <c r="D673" s="65"/>
    </row>
    <row r="674" spans="4:4" x14ac:dyDescent="0.2">
      <c r="D674" s="65"/>
    </row>
    <row r="675" spans="4:4" x14ac:dyDescent="0.2">
      <c r="D675" s="65"/>
    </row>
    <row r="676" spans="4:4" x14ac:dyDescent="0.2">
      <c r="D676" s="65"/>
    </row>
    <row r="677" spans="4:4" x14ac:dyDescent="0.2">
      <c r="D677" s="65"/>
    </row>
    <row r="678" spans="4:4" x14ac:dyDescent="0.2">
      <c r="D678" s="65"/>
    </row>
    <row r="679" spans="4:4" x14ac:dyDescent="0.2">
      <c r="D679" s="65"/>
    </row>
    <row r="680" spans="4:4" x14ac:dyDescent="0.2">
      <c r="D680" s="65"/>
    </row>
    <row r="681" spans="4:4" x14ac:dyDescent="0.2">
      <c r="D681" s="65"/>
    </row>
    <row r="682" spans="4:4" x14ac:dyDescent="0.2">
      <c r="D682" s="65"/>
    </row>
    <row r="683" spans="4:4" x14ac:dyDescent="0.2">
      <c r="D683" s="65"/>
    </row>
    <row r="684" spans="4:4" x14ac:dyDescent="0.2">
      <c r="D684" s="65"/>
    </row>
    <row r="685" spans="4:4" x14ac:dyDescent="0.2">
      <c r="D685" s="65"/>
    </row>
    <row r="686" spans="4:4" x14ac:dyDescent="0.2">
      <c r="D686" s="65"/>
    </row>
    <row r="687" spans="4:4" x14ac:dyDescent="0.2">
      <c r="D687" s="65"/>
    </row>
    <row r="688" spans="4:4" x14ac:dyDescent="0.2">
      <c r="D688" s="65"/>
    </row>
    <row r="689" spans="4:4" x14ac:dyDescent="0.2">
      <c r="D689" s="65"/>
    </row>
    <row r="690" spans="4:4" x14ac:dyDescent="0.2">
      <c r="D690" s="65"/>
    </row>
    <row r="691" spans="4:4" x14ac:dyDescent="0.2">
      <c r="D691" s="65"/>
    </row>
    <row r="692" spans="4:4" x14ac:dyDescent="0.2">
      <c r="D692" s="65"/>
    </row>
    <row r="693" spans="4:4" x14ac:dyDescent="0.2">
      <c r="D693" s="65"/>
    </row>
    <row r="694" spans="4:4" x14ac:dyDescent="0.2">
      <c r="D694" s="65"/>
    </row>
    <row r="695" spans="4:4" x14ac:dyDescent="0.2">
      <c r="D695" s="65"/>
    </row>
    <row r="696" spans="4:4" x14ac:dyDescent="0.2">
      <c r="D696" s="65"/>
    </row>
    <row r="697" spans="4:4" x14ac:dyDescent="0.2">
      <c r="D697" s="65"/>
    </row>
    <row r="698" spans="4:4" x14ac:dyDescent="0.2">
      <c r="D698" s="65"/>
    </row>
    <row r="699" spans="4:4" x14ac:dyDescent="0.2">
      <c r="D699" s="65"/>
    </row>
    <row r="700" spans="4:4" x14ac:dyDescent="0.2">
      <c r="D700" s="65"/>
    </row>
    <row r="701" spans="4:4" x14ac:dyDescent="0.2">
      <c r="D701" s="65"/>
    </row>
    <row r="702" spans="4:4" x14ac:dyDescent="0.2">
      <c r="D702" s="65"/>
    </row>
    <row r="703" spans="4:4" x14ac:dyDescent="0.2">
      <c r="D703" s="65"/>
    </row>
    <row r="704" spans="4:4" x14ac:dyDescent="0.2">
      <c r="D704" s="65"/>
    </row>
    <row r="705" spans="4:4" x14ac:dyDescent="0.2">
      <c r="D705" s="65"/>
    </row>
    <row r="706" spans="4:4" x14ac:dyDescent="0.2">
      <c r="D706" s="65"/>
    </row>
    <row r="852" spans="58:58" x14ac:dyDescent="0.2">
      <c r="BF852" s="57"/>
    </row>
    <row r="1439" spans="138:138" x14ac:dyDescent="0.2">
      <c r="EH1439" s="57"/>
    </row>
    <row r="3309" spans="58:58" x14ac:dyDescent="0.2">
      <c r="BF3309" s="57"/>
    </row>
    <row r="3944" spans="89:89" x14ac:dyDescent="0.2">
      <c r="CK3944" s="57"/>
    </row>
    <row r="3951" spans="89:89" x14ac:dyDescent="0.2">
      <c r="CK3951" s="57"/>
    </row>
    <row r="6465" spans="46:121" x14ac:dyDescent="0.2">
      <c r="DQ6465" s="57"/>
    </row>
    <row r="6466" spans="46:121" x14ac:dyDescent="0.2">
      <c r="AT6466" s="57"/>
      <c r="BD6466" s="57"/>
      <c r="BH6466" s="57"/>
      <c r="DQ6466" s="57"/>
    </row>
    <row r="6470" spans="46:121" x14ac:dyDescent="0.2">
      <c r="BV6470" s="57"/>
    </row>
    <row r="6472" spans="46:121" x14ac:dyDescent="0.2">
      <c r="DQ6472" s="57"/>
    </row>
    <row r="6473" spans="46:121" x14ac:dyDescent="0.2">
      <c r="AT6473" s="57"/>
      <c r="BD6473" s="57"/>
      <c r="BH6473" s="57"/>
      <c r="DQ6473" s="57"/>
    </row>
    <row r="6477" spans="46:121" x14ac:dyDescent="0.2">
      <c r="BV6477" s="57"/>
    </row>
    <row r="8747" spans="138:138" x14ac:dyDescent="0.2">
      <c r="EH8747" s="57"/>
    </row>
    <row r="9847" spans="135:135" x14ac:dyDescent="0.2">
      <c r="EE9847" s="57"/>
    </row>
    <row r="9861" spans="10:153" x14ac:dyDescent="0.2">
      <c r="EE9861" s="57"/>
    </row>
    <row r="9867" spans="10:153" x14ac:dyDescent="0.2">
      <c r="J9867" s="57"/>
      <c r="K9867" s="57"/>
      <c r="AC9867" s="57"/>
      <c r="AD9867" s="57"/>
      <c r="AP9867" s="57"/>
      <c r="AV9867" s="57"/>
      <c r="AX9867" s="57"/>
      <c r="AY9867" s="57"/>
      <c r="AZ9867" s="57"/>
      <c r="BO9867" s="57"/>
      <c r="CW9867" s="57"/>
      <c r="CX9867" s="57"/>
      <c r="DB9867" s="57"/>
      <c r="DC9867" s="57"/>
      <c r="DD9867" s="57"/>
      <c r="DE9867" s="57"/>
      <c r="DF9867" s="57"/>
      <c r="DU9867" s="57"/>
      <c r="DV9867" s="57"/>
      <c r="DZ9867" s="57"/>
      <c r="EA9867" s="57"/>
      <c r="EB9867" s="57"/>
      <c r="EC9867" s="57"/>
      <c r="ED9867" s="57"/>
      <c r="EE9867" s="57"/>
      <c r="EF9867" s="57"/>
    </row>
    <row r="9868" spans="10:153" x14ac:dyDescent="0.2">
      <c r="R9868" s="57"/>
      <c r="AB9868" s="57"/>
      <c r="AR9868" s="57"/>
      <c r="AS9868" s="57"/>
      <c r="CQ9868" s="57"/>
      <c r="CV9868" s="57"/>
      <c r="EC9868" s="57"/>
      <c r="ES9868" s="57"/>
    </row>
    <row r="9870" spans="10:153" x14ac:dyDescent="0.2">
      <c r="J9870" s="57"/>
      <c r="K9870" s="57"/>
      <c r="L9870" s="57"/>
      <c r="M9870" s="57"/>
      <c r="N9870" s="57"/>
      <c r="O9870" s="57"/>
      <c r="P9870" s="57"/>
      <c r="AD9870" s="57"/>
      <c r="AH9870" s="57"/>
      <c r="AI9870" s="57"/>
      <c r="AJ9870" s="57"/>
      <c r="AK9870" s="57"/>
      <c r="AL9870" s="57"/>
      <c r="AM9870" s="57"/>
      <c r="AN9870" s="57"/>
      <c r="AO9870" s="57"/>
      <c r="AY9870" s="57"/>
      <c r="BF9870" s="57"/>
      <c r="BG9870" s="57"/>
      <c r="BH9870" s="57"/>
      <c r="BI9870" s="57"/>
      <c r="BJ9870" s="57"/>
      <c r="BK9870" s="57"/>
      <c r="BL9870" s="57"/>
      <c r="BM9870" s="57"/>
      <c r="BV9870" s="57"/>
      <c r="BY9870" s="57"/>
      <c r="BZ9870" s="57"/>
      <c r="CD9870" s="57"/>
      <c r="CE9870" s="57"/>
      <c r="CF9870" s="57"/>
      <c r="CG9870" s="57"/>
      <c r="CH9870" s="57"/>
      <c r="CI9870" s="57"/>
      <c r="CJ9870" s="57"/>
      <c r="CX9870" s="57"/>
      <c r="DB9870" s="57"/>
      <c r="DC9870" s="57"/>
      <c r="DD9870" s="57"/>
      <c r="DE9870" s="57"/>
      <c r="DF9870" s="57"/>
      <c r="DG9870" s="57"/>
      <c r="DH9870" s="57"/>
      <c r="DV9870" s="57"/>
      <c r="DW9870" s="57"/>
      <c r="DX9870" s="57"/>
      <c r="DY9870" s="57"/>
      <c r="EU9870" s="57"/>
      <c r="EV9870" s="57"/>
      <c r="EW9870" s="57"/>
    </row>
    <row r="9872" spans="10:153" x14ac:dyDescent="0.2">
      <c r="J9872" s="57"/>
      <c r="K9872" s="57"/>
      <c r="L9872" s="57"/>
      <c r="AC9872" s="57"/>
      <c r="AD9872" s="57"/>
      <c r="BN9872" s="57"/>
      <c r="BV9872" s="57"/>
      <c r="BW9872" s="57"/>
      <c r="CW9872" s="57"/>
      <c r="DB9872" s="57"/>
      <c r="DC9872" s="57"/>
      <c r="DD9872" s="57"/>
      <c r="DE9872" s="57"/>
      <c r="DM9872" s="57"/>
      <c r="DU9872" s="57"/>
      <c r="DV9872" s="57"/>
      <c r="DZ9872" s="57"/>
      <c r="EA9872" s="57"/>
      <c r="EB9872" s="57"/>
      <c r="EC9872" s="57"/>
      <c r="EE9872" s="57"/>
      <c r="EG9872" s="57"/>
      <c r="ET9872" s="57"/>
      <c r="EU9872" s="57"/>
      <c r="EV9872" s="57"/>
      <c r="EW9872" s="57"/>
    </row>
    <row r="9874" spans="10:153" x14ac:dyDescent="0.2">
      <c r="J9874" s="57"/>
      <c r="K9874" s="57"/>
      <c r="AC9874" s="57"/>
      <c r="AD9874" s="57"/>
      <c r="AP9874" s="57"/>
      <c r="AV9874" s="57"/>
      <c r="AX9874" s="57"/>
      <c r="AY9874" s="57"/>
      <c r="AZ9874" s="57"/>
      <c r="BO9874" s="57"/>
      <c r="CW9874" s="57"/>
      <c r="CX9874" s="57"/>
      <c r="DB9874" s="57"/>
      <c r="DC9874" s="57"/>
      <c r="DD9874" s="57"/>
      <c r="DE9874" s="57"/>
      <c r="DF9874" s="57"/>
      <c r="DU9874" s="57"/>
      <c r="DV9874" s="57"/>
      <c r="DZ9874" s="57"/>
      <c r="EA9874" s="57"/>
      <c r="EB9874" s="57"/>
      <c r="EC9874" s="57"/>
      <c r="ED9874" s="57"/>
      <c r="EE9874" s="57"/>
      <c r="EF9874" s="57"/>
    </row>
    <row r="9875" spans="10:153" x14ac:dyDescent="0.2">
      <c r="R9875" s="57"/>
      <c r="AB9875" s="57"/>
      <c r="AR9875" s="57"/>
      <c r="AS9875" s="57"/>
      <c r="CQ9875" s="57"/>
      <c r="CV9875" s="57"/>
      <c r="EC9875" s="57"/>
      <c r="ES9875" s="57"/>
    </row>
    <row r="9877" spans="10:153" x14ac:dyDescent="0.2">
      <c r="J9877" s="57"/>
      <c r="K9877" s="57"/>
      <c r="L9877" s="57"/>
      <c r="M9877" s="57"/>
      <c r="N9877" s="57"/>
      <c r="O9877" s="57"/>
      <c r="P9877" s="57"/>
      <c r="AD9877" s="57"/>
      <c r="AH9877" s="57"/>
      <c r="AI9877" s="57"/>
      <c r="AJ9877" s="57"/>
      <c r="AK9877" s="57"/>
      <c r="AL9877" s="57"/>
      <c r="AM9877" s="57"/>
      <c r="AN9877" s="57"/>
      <c r="AO9877" s="57"/>
      <c r="AY9877" s="57"/>
      <c r="BF9877" s="57"/>
      <c r="BG9877" s="57"/>
      <c r="BH9877" s="57"/>
      <c r="BI9877" s="57"/>
      <c r="BJ9877" s="57"/>
      <c r="BK9877" s="57"/>
      <c r="BL9877" s="57"/>
      <c r="BM9877" s="57"/>
      <c r="BV9877" s="57"/>
      <c r="BY9877" s="57"/>
      <c r="BZ9877" s="57"/>
      <c r="CD9877" s="57"/>
      <c r="CE9877" s="57"/>
      <c r="CF9877" s="57"/>
      <c r="CG9877" s="57"/>
      <c r="CH9877" s="57"/>
      <c r="CI9877" s="57"/>
      <c r="CJ9877" s="57"/>
      <c r="CX9877" s="57"/>
      <c r="DB9877" s="57"/>
      <c r="DC9877" s="57"/>
      <c r="DD9877" s="57"/>
      <c r="DE9877" s="57"/>
      <c r="DF9877" s="57"/>
      <c r="DG9877" s="57"/>
      <c r="DH9877" s="57"/>
      <c r="DV9877" s="57"/>
      <c r="DW9877" s="57"/>
      <c r="DX9877" s="57"/>
      <c r="DY9877" s="57"/>
      <c r="EU9877" s="57"/>
      <c r="EV9877" s="57"/>
      <c r="EW9877" s="57"/>
    </row>
    <row r="9879" spans="10:153" x14ac:dyDescent="0.2">
      <c r="J9879" s="57"/>
      <c r="K9879" s="57"/>
      <c r="L9879" s="57"/>
      <c r="AC9879" s="57"/>
      <c r="AD9879" s="57"/>
      <c r="BN9879" s="57"/>
      <c r="BV9879" s="57"/>
      <c r="BW9879" s="57"/>
      <c r="CW9879" s="57"/>
      <c r="DB9879" s="57"/>
      <c r="DC9879" s="57"/>
      <c r="DD9879" s="57"/>
      <c r="DE9879" s="57"/>
      <c r="DM9879" s="57"/>
      <c r="DU9879" s="57"/>
      <c r="DV9879" s="57"/>
      <c r="DZ9879" s="57"/>
      <c r="EA9879" s="57"/>
      <c r="EB9879" s="57"/>
      <c r="EC9879" s="57"/>
      <c r="EE9879" s="57"/>
      <c r="EG9879" s="57"/>
      <c r="ET9879" s="57"/>
      <c r="EU9879" s="57"/>
      <c r="EV9879" s="57"/>
      <c r="EW9879" s="57"/>
    </row>
    <row r="13943" spans="176:176" x14ac:dyDescent="0.2">
      <c r="FT13943">
        <v>0</v>
      </c>
    </row>
    <row r="13944" spans="176:176" x14ac:dyDescent="0.2">
      <c r="FT13944">
        <v>0</v>
      </c>
    </row>
    <row r="13945" spans="176:176" x14ac:dyDescent="0.2">
      <c r="FT13945">
        <v>0</v>
      </c>
    </row>
    <row r="13946" spans="176:176" x14ac:dyDescent="0.2">
      <c r="FT13946">
        <v>0</v>
      </c>
    </row>
    <row r="13947" spans="176:176" x14ac:dyDescent="0.2">
      <c r="FT13947">
        <v>0</v>
      </c>
    </row>
    <row r="13948" spans="176:176" x14ac:dyDescent="0.2">
      <c r="FT13948">
        <v>0</v>
      </c>
    </row>
    <row r="13949" spans="176:176" x14ac:dyDescent="0.2">
      <c r="FT13949">
        <v>0</v>
      </c>
    </row>
    <row r="13950" spans="176:176" x14ac:dyDescent="0.2">
      <c r="FT13950">
        <v>0</v>
      </c>
    </row>
    <row r="13951" spans="176:176" x14ac:dyDescent="0.2">
      <c r="FT13951">
        <v>0</v>
      </c>
    </row>
    <row r="13952" spans="176:176" x14ac:dyDescent="0.2">
      <c r="FT13952">
        <v>0</v>
      </c>
    </row>
    <row r="13953" spans="176:176" x14ac:dyDescent="0.2">
      <c r="FT13953">
        <v>0</v>
      </c>
    </row>
    <row r="13954" spans="176:176" x14ac:dyDescent="0.2">
      <c r="FT13954">
        <v>0</v>
      </c>
    </row>
    <row r="13955" spans="176:176" x14ac:dyDescent="0.2">
      <c r="FT13955">
        <v>0</v>
      </c>
    </row>
    <row r="13956" spans="176:176" x14ac:dyDescent="0.2">
      <c r="FT13956">
        <v>0</v>
      </c>
    </row>
    <row r="13957" spans="176:176" x14ac:dyDescent="0.2">
      <c r="FT13957">
        <v>0</v>
      </c>
    </row>
    <row r="13958" spans="176:176" x14ac:dyDescent="0.2">
      <c r="FT13958">
        <v>0</v>
      </c>
    </row>
    <row r="13959" spans="176:176" x14ac:dyDescent="0.2">
      <c r="FT13959">
        <v>0</v>
      </c>
    </row>
    <row r="13960" spans="176:176" x14ac:dyDescent="0.2">
      <c r="FT13960">
        <v>0</v>
      </c>
    </row>
    <row r="13961" spans="176:176" x14ac:dyDescent="0.2">
      <c r="FT13961">
        <v>0</v>
      </c>
    </row>
    <row r="13962" spans="176:176" x14ac:dyDescent="0.2">
      <c r="FT13962">
        <v>0</v>
      </c>
    </row>
    <row r="13963" spans="176:176" x14ac:dyDescent="0.2">
      <c r="FT13963">
        <v>0</v>
      </c>
    </row>
    <row r="13964" spans="176:176" x14ac:dyDescent="0.2">
      <c r="FT13964">
        <v>0</v>
      </c>
    </row>
    <row r="13965" spans="176:176" x14ac:dyDescent="0.2">
      <c r="FT13965">
        <v>0</v>
      </c>
    </row>
    <row r="13966" spans="176:176" x14ac:dyDescent="0.2">
      <c r="FT13966">
        <v>0</v>
      </c>
    </row>
    <row r="14039" spans="176:176" x14ac:dyDescent="0.2">
      <c r="FT14039">
        <v>0</v>
      </c>
    </row>
    <row r="14040" spans="176:176" x14ac:dyDescent="0.2">
      <c r="FT14040">
        <v>0</v>
      </c>
    </row>
    <row r="14041" spans="176:176" x14ac:dyDescent="0.2">
      <c r="FT14041">
        <v>0</v>
      </c>
    </row>
    <row r="14042" spans="176:176" x14ac:dyDescent="0.2">
      <c r="FT14042">
        <v>0</v>
      </c>
    </row>
    <row r="14043" spans="176:176" x14ac:dyDescent="0.2">
      <c r="FT14043">
        <v>0</v>
      </c>
    </row>
    <row r="14044" spans="176:176" x14ac:dyDescent="0.2">
      <c r="FT14044">
        <v>0</v>
      </c>
    </row>
    <row r="14045" spans="176:176" x14ac:dyDescent="0.2">
      <c r="FT14045">
        <v>0</v>
      </c>
    </row>
    <row r="14046" spans="176:176" x14ac:dyDescent="0.2">
      <c r="FT14046">
        <v>0</v>
      </c>
    </row>
    <row r="14047" spans="176:176" x14ac:dyDescent="0.2">
      <c r="FT14047">
        <v>0</v>
      </c>
    </row>
    <row r="14048" spans="176:176" x14ac:dyDescent="0.2">
      <c r="FT14048">
        <v>0</v>
      </c>
    </row>
    <row r="14049" spans="176:176" x14ac:dyDescent="0.2">
      <c r="FT14049">
        <v>0</v>
      </c>
    </row>
    <row r="14050" spans="176:176" x14ac:dyDescent="0.2">
      <c r="FT14050">
        <v>0</v>
      </c>
    </row>
    <row r="14051" spans="176:176" x14ac:dyDescent="0.2">
      <c r="FT14051">
        <v>0</v>
      </c>
    </row>
    <row r="14052" spans="176:176" x14ac:dyDescent="0.2">
      <c r="FT14052">
        <v>0</v>
      </c>
    </row>
    <row r="14053" spans="176:176" x14ac:dyDescent="0.2">
      <c r="FT14053">
        <v>0</v>
      </c>
    </row>
    <row r="14054" spans="176:176" x14ac:dyDescent="0.2">
      <c r="FT14054">
        <v>0</v>
      </c>
    </row>
    <row r="14055" spans="176:176" x14ac:dyDescent="0.2">
      <c r="FT14055">
        <v>0</v>
      </c>
    </row>
    <row r="14062" spans="176:176" x14ac:dyDescent="0.2">
      <c r="FT14062">
        <v>0</v>
      </c>
    </row>
    <row r="14135" spans="176:176" x14ac:dyDescent="0.2">
      <c r="FT14135">
        <v>0</v>
      </c>
    </row>
    <row r="14136" spans="176:176" x14ac:dyDescent="0.2">
      <c r="FT14136">
        <v>0</v>
      </c>
    </row>
    <row r="14137" spans="176:176" x14ac:dyDescent="0.2">
      <c r="FT14137">
        <v>0</v>
      </c>
    </row>
    <row r="14138" spans="176:176" x14ac:dyDescent="0.2">
      <c r="FT14138">
        <v>0</v>
      </c>
    </row>
    <row r="14139" spans="176:176" x14ac:dyDescent="0.2">
      <c r="FT14139">
        <v>0</v>
      </c>
    </row>
    <row r="14140" spans="176:176" x14ac:dyDescent="0.2">
      <c r="FT14140">
        <v>0</v>
      </c>
    </row>
    <row r="14141" spans="176:176" x14ac:dyDescent="0.2">
      <c r="FT14141">
        <v>0</v>
      </c>
    </row>
    <row r="14142" spans="176:176" x14ac:dyDescent="0.2">
      <c r="FT14142">
        <v>0</v>
      </c>
    </row>
    <row r="14143" spans="176:176" x14ac:dyDescent="0.2">
      <c r="FT14143">
        <v>0</v>
      </c>
    </row>
    <row r="14144" spans="176:176" x14ac:dyDescent="0.2">
      <c r="FT14144">
        <v>0</v>
      </c>
    </row>
    <row r="14145" spans="176:176" x14ac:dyDescent="0.2">
      <c r="FT14145">
        <v>0</v>
      </c>
    </row>
    <row r="14146" spans="176:176" x14ac:dyDescent="0.2">
      <c r="FT14146">
        <v>0</v>
      </c>
    </row>
    <row r="14147" spans="176:176" x14ac:dyDescent="0.2">
      <c r="FT14147">
        <v>0</v>
      </c>
    </row>
    <row r="14148" spans="176:176" x14ac:dyDescent="0.2">
      <c r="FT14148">
        <v>0</v>
      </c>
    </row>
    <row r="14149" spans="176:176" x14ac:dyDescent="0.2">
      <c r="FT14149">
        <v>0</v>
      </c>
    </row>
    <row r="14150" spans="176:176" x14ac:dyDescent="0.2">
      <c r="FT14150">
        <v>0</v>
      </c>
    </row>
    <row r="14151" spans="176:176" x14ac:dyDescent="0.2">
      <c r="FT14151">
        <v>0</v>
      </c>
    </row>
    <row r="14155" spans="176:176" x14ac:dyDescent="0.2">
      <c r="FT14155">
        <v>0</v>
      </c>
    </row>
    <row r="14156" spans="176:176" x14ac:dyDescent="0.2">
      <c r="FT14156">
        <v>0</v>
      </c>
    </row>
    <row r="14157" spans="176:176" x14ac:dyDescent="0.2">
      <c r="FT14157">
        <v>0</v>
      </c>
    </row>
    <row r="14158" spans="176:176" x14ac:dyDescent="0.2">
      <c r="FT14158">
        <v>0</v>
      </c>
    </row>
    <row r="15167" spans="176:176" x14ac:dyDescent="0.2">
      <c r="FT15167">
        <v>0</v>
      </c>
    </row>
    <row r="15168" spans="176:176" x14ac:dyDescent="0.2">
      <c r="FT15168">
        <v>0</v>
      </c>
    </row>
    <row r="15169" spans="176:176" x14ac:dyDescent="0.2">
      <c r="FT15169">
        <v>0</v>
      </c>
    </row>
    <row r="15170" spans="176:176" x14ac:dyDescent="0.2">
      <c r="FT15170">
        <v>0</v>
      </c>
    </row>
    <row r="15171" spans="176:176" x14ac:dyDescent="0.2">
      <c r="FT15171">
        <v>0</v>
      </c>
    </row>
    <row r="15172" spans="176:176" x14ac:dyDescent="0.2">
      <c r="FT15172">
        <v>0</v>
      </c>
    </row>
    <row r="15173" spans="176:176" x14ac:dyDescent="0.2">
      <c r="FT15173">
        <v>0</v>
      </c>
    </row>
    <row r="15174" spans="176:176" x14ac:dyDescent="0.2">
      <c r="FT15174">
        <v>0</v>
      </c>
    </row>
    <row r="15175" spans="176:176" x14ac:dyDescent="0.2">
      <c r="FT15175">
        <v>0</v>
      </c>
    </row>
    <row r="15176" spans="176:176" x14ac:dyDescent="0.2">
      <c r="FT15176">
        <v>0</v>
      </c>
    </row>
    <row r="15177" spans="176:176" x14ac:dyDescent="0.2">
      <c r="FT15177">
        <v>0</v>
      </c>
    </row>
    <row r="15178" spans="176:176" x14ac:dyDescent="0.2">
      <c r="FT15178">
        <v>0</v>
      </c>
    </row>
    <row r="15179" spans="176:176" x14ac:dyDescent="0.2">
      <c r="FT15179">
        <v>0</v>
      </c>
    </row>
    <row r="15180" spans="176:176" x14ac:dyDescent="0.2">
      <c r="FT15180">
        <v>0</v>
      </c>
    </row>
    <row r="15181" spans="176:176" x14ac:dyDescent="0.2">
      <c r="FT15181">
        <v>0</v>
      </c>
    </row>
    <row r="15182" spans="176:176" x14ac:dyDescent="0.2">
      <c r="FT15182">
        <v>0</v>
      </c>
    </row>
    <row r="15263" spans="176:176" x14ac:dyDescent="0.2">
      <c r="FT15263">
        <v>0</v>
      </c>
    </row>
    <row r="15264" spans="176:176" x14ac:dyDescent="0.2">
      <c r="FT15264">
        <v>0</v>
      </c>
    </row>
    <row r="15265" spans="176:176" x14ac:dyDescent="0.2">
      <c r="FT15265">
        <v>0</v>
      </c>
    </row>
    <row r="15266" spans="176:176" x14ac:dyDescent="0.2">
      <c r="FT15266">
        <v>0</v>
      </c>
    </row>
    <row r="15267" spans="176:176" x14ac:dyDescent="0.2">
      <c r="FT15267">
        <v>0</v>
      </c>
    </row>
    <row r="15268" spans="176:176" x14ac:dyDescent="0.2">
      <c r="FT15268">
        <v>0</v>
      </c>
    </row>
    <row r="15269" spans="176:176" x14ac:dyDescent="0.2">
      <c r="FT15269">
        <v>0</v>
      </c>
    </row>
    <row r="15270" spans="176:176" x14ac:dyDescent="0.2">
      <c r="FT15270">
        <v>0</v>
      </c>
    </row>
    <row r="15271" spans="176:176" x14ac:dyDescent="0.2">
      <c r="FT15271">
        <v>0</v>
      </c>
    </row>
    <row r="15272" spans="176:176" x14ac:dyDescent="0.2">
      <c r="FT15272">
        <v>0</v>
      </c>
    </row>
    <row r="15273" spans="176:176" x14ac:dyDescent="0.2">
      <c r="FT15273">
        <v>0</v>
      </c>
    </row>
    <row r="15274" spans="176:176" x14ac:dyDescent="0.2">
      <c r="FT15274">
        <v>0</v>
      </c>
    </row>
    <row r="15275" spans="176:176" x14ac:dyDescent="0.2">
      <c r="FT15275">
        <v>0</v>
      </c>
    </row>
    <row r="15276" spans="176:176" x14ac:dyDescent="0.2">
      <c r="FT15276">
        <v>0</v>
      </c>
    </row>
    <row r="15277" spans="176:176" x14ac:dyDescent="0.2">
      <c r="FT15277">
        <v>0</v>
      </c>
    </row>
    <row r="15278" spans="176:176" x14ac:dyDescent="0.2">
      <c r="FT15278">
        <v>0</v>
      </c>
    </row>
    <row r="15279" spans="176:176" x14ac:dyDescent="0.2">
      <c r="FT15279">
        <v>0</v>
      </c>
    </row>
    <row r="15280" spans="176:176" x14ac:dyDescent="0.2">
      <c r="FT15280">
        <v>0</v>
      </c>
    </row>
    <row r="15281" spans="176:176" x14ac:dyDescent="0.2">
      <c r="FT15281">
        <v>0</v>
      </c>
    </row>
    <row r="15282" spans="176:176" x14ac:dyDescent="0.2">
      <c r="FT15282">
        <v>0</v>
      </c>
    </row>
    <row r="15283" spans="176:176" x14ac:dyDescent="0.2">
      <c r="FT15283">
        <v>0</v>
      </c>
    </row>
    <row r="15284" spans="176:176" x14ac:dyDescent="0.2">
      <c r="FT15284">
        <v>0</v>
      </c>
    </row>
    <row r="15285" spans="176:176" x14ac:dyDescent="0.2">
      <c r="FT15285">
        <v>0</v>
      </c>
    </row>
    <row r="15286" spans="176:176" x14ac:dyDescent="0.2">
      <c r="FT15286">
        <v>0</v>
      </c>
    </row>
    <row r="15359" spans="176:176" x14ac:dyDescent="0.2">
      <c r="FT15359">
        <v>0</v>
      </c>
    </row>
    <row r="15360" spans="176:176" x14ac:dyDescent="0.2">
      <c r="FT15360">
        <v>0</v>
      </c>
    </row>
    <row r="15361" spans="176:176" x14ac:dyDescent="0.2">
      <c r="FT15361">
        <v>0</v>
      </c>
    </row>
    <row r="15362" spans="176:176" x14ac:dyDescent="0.2">
      <c r="FT15362">
        <v>0</v>
      </c>
    </row>
    <row r="15363" spans="176:176" x14ac:dyDescent="0.2">
      <c r="FT15363">
        <v>0</v>
      </c>
    </row>
    <row r="15364" spans="176:176" x14ac:dyDescent="0.2">
      <c r="FT15364">
        <v>0</v>
      </c>
    </row>
    <row r="15365" spans="176:176" x14ac:dyDescent="0.2">
      <c r="FT15365">
        <v>0</v>
      </c>
    </row>
    <row r="15366" spans="176:176" x14ac:dyDescent="0.2">
      <c r="FT15366">
        <v>0</v>
      </c>
    </row>
    <row r="15367" spans="176:176" x14ac:dyDescent="0.2">
      <c r="FT15367">
        <v>0</v>
      </c>
    </row>
    <row r="15368" spans="176:176" x14ac:dyDescent="0.2">
      <c r="FT15368">
        <v>0</v>
      </c>
    </row>
    <row r="15369" spans="176:176" x14ac:dyDescent="0.2">
      <c r="FT15369">
        <v>0</v>
      </c>
    </row>
    <row r="15370" spans="176:176" x14ac:dyDescent="0.2">
      <c r="FT15370">
        <v>0</v>
      </c>
    </row>
    <row r="15371" spans="176:176" x14ac:dyDescent="0.2">
      <c r="FT15371">
        <v>0</v>
      </c>
    </row>
    <row r="15372" spans="176:176" x14ac:dyDescent="0.2">
      <c r="FT15372">
        <v>0</v>
      </c>
    </row>
    <row r="15373" spans="176:176" x14ac:dyDescent="0.2">
      <c r="FT15373">
        <v>0</v>
      </c>
    </row>
    <row r="15374" spans="176:176" x14ac:dyDescent="0.2">
      <c r="FT15374">
        <v>0</v>
      </c>
    </row>
    <row r="15375" spans="176:176" x14ac:dyDescent="0.2">
      <c r="FT15375">
        <v>0</v>
      </c>
    </row>
    <row r="15376" spans="176:176" x14ac:dyDescent="0.2">
      <c r="FT15376">
        <v>0</v>
      </c>
    </row>
    <row r="15377" spans="176:176" x14ac:dyDescent="0.2">
      <c r="FT15377">
        <v>0</v>
      </c>
    </row>
    <row r="15378" spans="176:176" x14ac:dyDescent="0.2">
      <c r="FT15378">
        <v>0</v>
      </c>
    </row>
    <row r="15379" spans="176:176" x14ac:dyDescent="0.2">
      <c r="FT15379">
        <v>0</v>
      </c>
    </row>
    <row r="15380" spans="176:176" x14ac:dyDescent="0.2">
      <c r="FT15380">
        <v>0</v>
      </c>
    </row>
    <row r="15381" spans="176:176" x14ac:dyDescent="0.2">
      <c r="FT15381">
        <v>0</v>
      </c>
    </row>
    <row r="15382" spans="176:176" x14ac:dyDescent="0.2">
      <c r="FT15382"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Table</vt:lpstr>
      <vt:lpstr>Lookups</vt:lpstr>
      <vt:lpstr>Data</vt:lpstr>
      <vt:lpstr>Bid</vt:lpstr>
      <vt:lpstr>Called</vt:lpstr>
      <vt:lpstr>Criteria</vt:lpstr>
      <vt:lpstr>data</vt:lpstr>
      <vt:lpstr>date</vt:lpstr>
      <vt:lpstr>date_list</vt:lpstr>
      <vt:lpstr>dual_enrol</vt:lpstr>
      <vt:lpstr>dual_enrol_list</vt:lpstr>
      <vt:lpstr>Enrolled</vt:lpstr>
      <vt:lpstr>ind_grp</vt:lpstr>
      <vt:lpstr>ind_list</vt:lpstr>
      <vt:lpstr>lca</vt:lpstr>
      <vt:lpstr>lca_list</vt:lpstr>
      <vt:lpstr>Table!Print_Area</vt:lpstr>
      <vt:lpstr>Result_type</vt:lpstr>
      <vt:lpstr>Result_type_list</vt:lpstr>
      <vt:lpstr>Data!table_for_PGE_CBP_expost_private</vt:lpstr>
      <vt:lpstr>Two_way_tab_flag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Mike T. Clark</cp:lastModifiedBy>
  <cp:lastPrinted>2009-04-03T17:07:33Z</cp:lastPrinted>
  <dcterms:created xsi:type="dcterms:W3CDTF">2009-03-24T17:58:42Z</dcterms:created>
  <dcterms:modified xsi:type="dcterms:W3CDTF">2016-03-01T16:08:47Z</dcterms:modified>
</cp:coreProperties>
</file>