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hack\Limbo\SCE\BIP 2015\Models\Ex Post Protocol Tables\"/>
    </mc:Choice>
  </mc:AlternateContent>
  <bookViews>
    <workbookView xWindow="0" yWindow="75" windowWidth="19035" windowHeight="11760"/>
  </bookViews>
  <sheets>
    <sheet name="Table" sheetId="4" r:id="rId1"/>
    <sheet name="Lookups" sheetId="2" state="hidden" r:id="rId2"/>
    <sheet name="Data" sheetId="1" state="hidden" r:id="rId3"/>
  </sheets>
  <definedNames>
    <definedName name="_xlnm._FilterDatabase" localSheetId="2" hidden="1">Data!$A$1:$FS$180</definedName>
    <definedName name="Bid">Lookups!$D$8</definedName>
    <definedName name="_xlnm.Criteria">Lookups!$B$3:$F$4</definedName>
    <definedName name="Criteria_enrolled">Lookups!$B$18:$E$19</definedName>
    <definedName name="data">Data!$A$1:$FT$9997</definedName>
    <definedName name="date">Table!$B$5</definedName>
    <definedName name="date_list">Lookups!$K$4:$K$8</definedName>
    <definedName name="dual_enrol_list">Lookups!$O$4:$O$6</definedName>
    <definedName name="Enrolled">Lookups!$D$6</definedName>
    <definedName name="ind_list">Lookups!$L$4:$L$11</definedName>
    <definedName name="lca">Table!$B$8</definedName>
    <definedName name="lca_list">Lookups!$M$4:$M$12</definedName>
    <definedName name="_xlnm.Print_Area" localSheetId="0">Table!$A$2:$N$36</definedName>
    <definedName name="Result_type">Table!$B$4</definedName>
    <definedName name="Result_type_list">Lookups!$J$4:$J$5</definedName>
    <definedName name="Size">Table!$B$9</definedName>
    <definedName name="Size_list">Lookups!$N$4:$N$6</definedName>
    <definedName name="Two_way_tab_flag">Lookups!$D$7</definedName>
  </definedNames>
  <calcPr calcId="162913"/>
</workbook>
</file>

<file path=xl/calcChain.xml><?xml version="1.0" encoding="utf-8"?>
<calcChain xmlns="http://schemas.openxmlformats.org/spreadsheetml/2006/main">
  <c r="D7" i="2" l="1"/>
  <c r="E19" i="2" l="1"/>
  <c r="D19" i="2"/>
  <c r="D4" i="2" l="1"/>
  <c r="I2" i="4" l="1"/>
  <c r="H32" i="4" l="1"/>
  <c r="G32" i="4"/>
  <c r="G5" i="4"/>
  <c r="C32" i="2" l="1"/>
  <c r="D6" i="2" l="1"/>
  <c r="G3" i="4" s="1"/>
  <c r="F15" i="2"/>
  <c r="F14" i="2"/>
  <c r="F13" i="2"/>
  <c r="F12" i="2"/>
  <c r="F11" i="2"/>
  <c r="F32" i="4"/>
  <c r="J3" i="4" l="1"/>
  <c r="G32" i="2"/>
  <c r="A33" i="2"/>
  <c r="C33" i="2" s="1"/>
  <c r="E4" i="2"/>
  <c r="B4" i="2"/>
  <c r="J32" i="4"/>
  <c r="J6" i="4"/>
  <c r="H5" i="4"/>
  <c r="F5" i="4"/>
  <c r="G2" i="4" l="1"/>
  <c r="J2" i="4"/>
  <c r="A1" i="4"/>
  <c r="B60" i="2"/>
  <c r="D8" i="2"/>
  <c r="M33" i="2"/>
  <c r="G33" i="2"/>
  <c r="M32" i="2"/>
  <c r="L33" i="2"/>
  <c r="E33" i="2"/>
  <c r="H33" i="2"/>
  <c r="I33" i="2"/>
  <c r="J33" i="2"/>
  <c r="F33" i="2"/>
  <c r="D33" i="2"/>
  <c r="K33" i="2"/>
  <c r="L32" i="2"/>
  <c r="D32" i="2"/>
  <c r="E32" i="2"/>
  <c r="H32" i="2"/>
  <c r="I32" i="2"/>
  <c r="J32" i="2"/>
  <c r="F32" i="2"/>
  <c r="K32" i="2"/>
  <c r="A34" i="2"/>
  <c r="C34" i="2" s="1"/>
  <c r="B61" i="2" l="1"/>
  <c r="B59" i="2"/>
  <c r="N31" i="4"/>
  <c r="K30" i="4"/>
  <c r="H29" i="4"/>
  <c r="N27" i="4"/>
  <c r="K26" i="4"/>
  <c r="H25" i="4"/>
  <c r="L25" i="4" s="1"/>
  <c r="N23" i="4"/>
  <c r="K22" i="4"/>
  <c r="H21" i="4"/>
  <c r="L21" i="4" s="1"/>
  <c r="N19" i="4"/>
  <c r="K18" i="4"/>
  <c r="H17" i="4"/>
  <c r="L17" i="4" s="1"/>
  <c r="N15" i="4"/>
  <c r="K14" i="4"/>
  <c r="H13" i="4"/>
  <c r="L13" i="4" s="1"/>
  <c r="N11" i="4"/>
  <c r="K10" i="4"/>
  <c r="H9" i="4"/>
  <c r="L9" i="4" s="1"/>
  <c r="H31" i="4"/>
  <c r="L31" i="4" s="1"/>
  <c r="N29" i="4"/>
  <c r="K28" i="4"/>
  <c r="H27" i="4"/>
  <c r="L27" i="4" s="1"/>
  <c r="N25" i="4"/>
  <c r="K24" i="4"/>
  <c r="H23" i="4"/>
  <c r="L23" i="4" s="1"/>
  <c r="N21" i="4"/>
  <c r="K20" i="4"/>
  <c r="H19" i="4"/>
  <c r="L19" i="4" s="1"/>
  <c r="N17" i="4"/>
  <c r="K16" i="4"/>
  <c r="H15" i="4"/>
  <c r="N13" i="4"/>
  <c r="K12" i="4"/>
  <c r="H11" i="4"/>
  <c r="L11" i="4" s="1"/>
  <c r="N9" i="4"/>
  <c r="K8" i="4"/>
  <c r="K29" i="4"/>
  <c r="H28" i="4"/>
  <c r="L28" i="4" s="1"/>
  <c r="K25" i="4"/>
  <c r="N22" i="4"/>
  <c r="H20" i="4"/>
  <c r="H16" i="4"/>
  <c r="L16" i="4" s="1"/>
  <c r="N14" i="4"/>
  <c r="N10" i="4"/>
  <c r="H8" i="4"/>
  <c r="M30" i="4"/>
  <c r="F28" i="4"/>
  <c r="M26" i="4"/>
  <c r="F24" i="4"/>
  <c r="M22" i="4"/>
  <c r="F20" i="4"/>
  <c r="J17" i="4"/>
  <c r="M14" i="4"/>
  <c r="F12" i="4"/>
  <c r="J9" i="4"/>
  <c r="M31" i="4"/>
  <c r="M27" i="4"/>
  <c r="F25" i="4"/>
  <c r="F21" i="4"/>
  <c r="J18" i="4"/>
  <c r="F17" i="4"/>
  <c r="J14" i="4"/>
  <c r="F13" i="4"/>
  <c r="J10" i="4"/>
  <c r="H30" i="4"/>
  <c r="L30" i="4" s="1"/>
  <c r="K27" i="4"/>
  <c r="N24" i="4"/>
  <c r="H22" i="4"/>
  <c r="L22" i="4" s="1"/>
  <c r="K19" i="4"/>
  <c r="K15" i="4"/>
  <c r="H14" i="4"/>
  <c r="L14" i="4" s="1"/>
  <c r="H10" i="4"/>
  <c r="L10" i="4" s="1"/>
  <c r="J31" i="4"/>
  <c r="M28" i="4"/>
  <c r="F26" i="4"/>
  <c r="J23" i="4"/>
  <c r="M20" i="4"/>
  <c r="F18" i="4"/>
  <c r="J15" i="4"/>
  <c r="J11" i="4"/>
  <c r="F31" i="4"/>
  <c r="M29" i="4"/>
  <c r="J28" i="4"/>
  <c r="F27" i="4"/>
  <c r="M25" i="4"/>
  <c r="J24" i="4"/>
  <c r="F23" i="4"/>
  <c r="M21" i="4"/>
  <c r="J20" i="4"/>
  <c r="F19" i="4"/>
  <c r="M17" i="4"/>
  <c r="J16" i="4"/>
  <c r="F15" i="4"/>
  <c r="M13" i="4"/>
  <c r="J12" i="4"/>
  <c r="F11" i="4"/>
  <c r="M9" i="4"/>
  <c r="J8" i="4"/>
  <c r="N30" i="4"/>
  <c r="N26" i="4"/>
  <c r="H24" i="4"/>
  <c r="K21" i="4"/>
  <c r="N18" i="4"/>
  <c r="K17" i="4"/>
  <c r="K13" i="4"/>
  <c r="H12" i="4"/>
  <c r="K9" i="4"/>
  <c r="J29" i="4"/>
  <c r="J25" i="4"/>
  <c r="J21" i="4"/>
  <c r="M18" i="4"/>
  <c r="F16" i="4"/>
  <c r="J13" i="4"/>
  <c r="M10" i="4"/>
  <c r="F8" i="4"/>
  <c r="J30" i="4"/>
  <c r="F29" i="4"/>
  <c r="J26" i="4"/>
  <c r="M23" i="4"/>
  <c r="J22" i="4"/>
  <c r="M19" i="4"/>
  <c r="M15" i="4"/>
  <c r="M11" i="4"/>
  <c r="F9" i="4"/>
  <c r="K31" i="4"/>
  <c r="N28" i="4"/>
  <c r="H26" i="4"/>
  <c r="L26" i="4" s="1"/>
  <c r="K23" i="4"/>
  <c r="N20" i="4"/>
  <c r="H18" i="4"/>
  <c r="L18" i="4" s="1"/>
  <c r="N16" i="4"/>
  <c r="N12" i="4"/>
  <c r="K11" i="4"/>
  <c r="N8" i="4"/>
  <c r="F30" i="4"/>
  <c r="J27" i="4"/>
  <c r="M24" i="4"/>
  <c r="F22" i="4"/>
  <c r="J19" i="4"/>
  <c r="M16" i="4"/>
  <c r="F14" i="4"/>
  <c r="M12" i="4"/>
  <c r="F10" i="4"/>
  <c r="M8" i="4"/>
  <c r="I31" i="4"/>
  <c r="B55" i="2" s="1"/>
  <c r="I27" i="4"/>
  <c r="B51" i="2" s="1"/>
  <c r="I23" i="4"/>
  <c r="B47" i="2" s="1"/>
  <c r="I19" i="4"/>
  <c r="B43" i="2" s="1"/>
  <c r="I15" i="4"/>
  <c r="B39" i="2" s="1"/>
  <c r="I11" i="4"/>
  <c r="B35" i="2" s="1"/>
  <c r="I28" i="4"/>
  <c r="B52" i="2" s="1"/>
  <c r="I24" i="4"/>
  <c r="B48" i="2" s="1"/>
  <c r="I20" i="4"/>
  <c r="B44" i="2" s="1"/>
  <c r="I16" i="4"/>
  <c r="B40" i="2" s="1"/>
  <c r="I12" i="4"/>
  <c r="B36" i="2" s="1"/>
  <c r="I8" i="4"/>
  <c r="B32" i="2" s="1"/>
  <c r="I30" i="4"/>
  <c r="B54" i="2" s="1"/>
  <c r="I26" i="4"/>
  <c r="B50" i="2" s="1"/>
  <c r="I22" i="4"/>
  <c r="B46" i="2" s="1"/>
  <c r="I18" i="4"/>
  <c r="B42" i="2" s="1"/>
  <c r="I14" i="4"/>
  <c r="B38" i="2" s="1"/>
  <c r="I10" i="4"/>
  <c r="B34" i="2" s="1"/>
  <c r="I29" i="4"/>
  <c r="B53" i="2" s="1"/>
  <c r="I25" i="4"/>
  <c r="B49" i="2" s="1"/>
  <c r="I21" i="4"/>
  <c r="B45" i="2" s="1"/>
  <c r="I17" i="4"/>
  <c r="B41" i="2" s="1"/>
  <c r="I13" i="4"/>
  <c r="B37" i="2" s="1"/>
  <c r="I9" i="4"/>
  <c r="B33" i="2" s="1"/>
  <c r="A35" i="2"/>
  <c r="C35" i="2" s="1"/>
  <c r="G31" i="4" l="1"/>
  <c r="G23" i="4"/>
  <c r="G11" i="4"/>
  <c r="G22" i="4"/>
  <c r="G8" i="4"/>
  <c r="G15" i="4"/>
  <c r="G18" i="4"/>
  <c r="G10" i="4"/>
  <c r="L15" i="4"/>
  <c r="G27" i="4"/>
  <c r="G17" i="4"/>
  <c r="G29" i="4"/>
  <c r="G24" i="4"/>
  <c r="G26" i="4"/>
  <c r="G21" i="4"/>
  <c r="G14" i="4"/>
  <c r="G25" i="4"/>
  <c r="G30" i="4"/>
  <c r="G16" i="4"/>
  <c r="G12" i="4"/>
  <c r="G9" i="4"/>
  <c r="L29" i="4"/>
  <c r="G28" i="4"/>
  <c r="G20" i="4"/>
  <c r="G13" i="4"/>
  <c r="L20" i="4"/>
  <c r="F34" i="4"/>
  <c r="H34" i="4"/>
  <c r="G19" i="4"/>
  <c r="L12" i="4"/>
  <c r="I34" i="4"/>
  <c r="L24" i="4"/>
  <c r="L8" i="4"/>
  <c r="G34" i="2"/>
  <c r="M34" i="2"/>
  <c r="L34" i="2"/>
  <c r="E34" i="2"/>
  <c r="H34" i="2"/>
  <c r="I34" i="2"/>
  <c r="J34" i="2"/>
  <c r="K34" i="2"/>
  <c r="F34" i="2"/>
  <c r="D34" i="2"/>
  <c r="A36" i="2"/>
  <c r="C36" i="2" s="1"/>
  <c r="G34" i="4" l="1"/>
  <c r="M35" i="2"/>
  <c r="G35" i="2"/>
  <c r="L35" i="2"/>
  <c r="E35" i="2"/>
  <c r="H35" i="2"/>
  <c r="I35" i="2"/>
  <c r="J35" i="2"/>
  <c r="F35" i="2"/>
  <c r="D35" i="2"/>
  <c r="K35" i="2"/>
  <c r="A37" i="2"/>
  <c r="C37" i="2" s="1"/>
  <c r="M36" i="2" l="1"/>
  <c r="G36" i="2"/>
  <c r="L36" i="2"/>
  <c r="E36" i="2"/>
  <c r="H36" i="2"/>
  <c r="D36" i="2"/>
  <c r="I36" i="2"/>
  <c r="J36" i="2"/>
  <c r="K36" i="2"/>
  <c r="F36" i="2"/>
  <c r="A38" i="2"/>
  <c r="C38" i="2" s="1"/>
  <c r="M37" i="2" l="1"/>
  <c r="G37" i="2"/>
  <c r="L37" i="2"/>
  <c r="E37" i="2"/>
  <c r="H37" i="2"/>
  <c r="I37" i="2"/>
  <c r="D37" i="2"/>
  <c r="J37" i="2"/>
  <c r="K37" i="2"/>
  <c r="F37" i="2"/>
  <c r="A39" i="2"/>
  <c r="C39" i="2" s="1"/>
  <c r="M38" i="2" l="1"/>
  <c r="G38" i="2"/>
  <c r="L38" i="2"/>
  <c r="E38" i="2"/>
  <c r="H38" i="2"/>
  <c r="I38" i="2"/>
  <c r="J38" i="2"/>
  <c r="D38" i="2"/>
  <c r="F38" i="2"/>
  <c r="K38" i="2"/>
  <c r="A40" i="2"/>
  <c r="C40" i="2" s="1"/>
  <c r="M39" i="2" l="1"/>
  <c r="G39" i="2"/>
  <c r="L39" i="2"/>
  <c r="H39" i="2"/>
  <c r="I39" i="2"/>
  <c r="J39" i="2"/>
  <c r="K39" i="2"/>
  <c r="E39" i="2"/>
  <c r="D39" i="2"/>
  <c r="F39" i="2"/>
  <c r="A41" i="2"/>
  <c r="C41" i="2" s="1"/>
  <c r="M40" i="2" l="1"/>
  <c r="G40" i="2"/>
  <c r="L40" i="2"/>
  <c r="D40" i="2"/>
  <c r="H40" i="2"/>
  <c r="I40" i="2"/>
  <c r="J40" i="2"/>
  <c r="E40" i="2"/>
  <c r="F40" i="2"/>
  <c r="K40" i="2"/>
  <c r="A42" i="2"/>
  <c r="C42" i="2" s="1"/>
  <c r="M41" i="2" l="1"/>
  <c r="G41" i="2"/>
  <c r="L41" i="2"/>
  <c r="H41" i="2"/>
  <c r="I41" i="2"/>
  <c r="J41" i="2"/>
  <c r="K41" i="2"/>
  <c r="D41" i="2"/>
  <c r="E41" i="2"/>
  <c r="F41" i="2"/>
  <c r="A43" i="2"/>
  <c r="C43" i="2" s="1"/>
  <c r="G42" i="2" l="1"/>
  <c r="M42" i="2"/>
  <c r="L42" i="2"/>
  <c r="H42" i="2"/>
  <c r="I42" i="2"/>
  <c r="J42" i="2"/>
  <c r="E42" i="2"/>
  <c r="D42" i="2"/>
  <c r="F42" i="2"/>
  <c r="K42" i="2"/>
  <c r="A44" i="2"/>
  <c r="C44" i="2" s="1"/>
  <c r="M43" i="2" l="1"/>
  <c r="G43" i="2"/>
  <c r="L43" i="2"/>
  <c r="H43" i="2"/>
  <c r="I43" i="2"/>
  <c r="J43" i="2"/>
  <c r="K43" i="2"/>
  <c r="D43" i="2"/>
  <c r="E43" i="2"/>
  <c r="F43" i="2"/>
  <c r="A45" i="2"/>
  <c r="C45" i="2" s="1"/>
  <c r="M44" i="2" l="1"/>
  <c r="G44" i="2"/>
  <c r="L44" i="2"/>
  <c r="H44" i="2"/>
  <c r="D44" i="2"/>
  <c r="I44" i="2"/>
  <c r="J44" i="2"/>
  <c r="E44" i="2"/>
  <c r="F44" i="2"/>
  <c r="K44" i="2"/>
  <c r="A46" i="2"/>
  <c r="C46" i="2" s="1"/>
  <c r="M45" i="2" l="1"/>
  <c r="G45" i="2"/>
  <c r="L45" i="2"/>
  <c r="H45" i="2"/>
  <c r="I45" i="2"/>
  <c r="D45" i="2"/>
  <c r="J45" i="2"/>
  <c r="K45" i="2"/>
  <c r="E45" i="2"/>
  <c r="F45" i="2"/>
  <c r="A47" i="2"/>
  <c r="C47" i="2" s="1"/>
  <c r="M46" i="2" l="1"/>
  <c r="G46" i="2"/>
  <c r="L46" i="2"/>
  <c r="H46" i="2"/>
  <c r="I46" i="2"/>
  <c r="J46" i="2"/>
  <c r="E46" i="2"/>
  <c r="F46" i="2"/>
  <c r="D46" i="2"/>
  <c r="K46" i="2"/>
  <c r="A48" i="2"/>
  <c r="C48" i="2" s="1"/>
  <c r="M47" i="2" l="1"/>
  <c r="G47" i="2"/>
  <c r="L47" i="2"/>
  <c r="H47" i="2"/>
  <c r="I47" i="2"/>
  <c r="J47" i="2"/>
  <c r="K47" i="2"/>
  <c r="D47" i="2"/>
  <c r="E47" i="2"/>
  <c r="F47" i="2"/>
  <c r="A49" i="2"/>
  <c r="C49" i="2" s="1"/>
  <c r="M48" i="2" l="1"/>
  <c r="G48" i="2"/>
  <c r="L48" i="2"/>
  <c r="D48" i="2"/>
  <c r="H48" i="2"/>
  <c r="I48" i="2"/>
  <c r="J48" i="2"/>
  <c r="E48" i="2"/>
  <c r="F48" i="2"/>
  <c r="K48" i="2"/>
  <c r="A50" i="2"/>
  <c r="C50" i="2" s="1"/>
  <c r="M49" i="2" l="1"/>
  <c r="G49" i="2"/>
  <c r="L49" i="2"/>
  <c r="H49" i="2"/>
  <c r="I49" i="2"/>
  <c r="J49" i="2"/>
  <c r="K49" i="2"/>
  <c r="E49" i="2"/>
  <c r="F49" i="2"/>
  <c r="D49" i="2"/>
  <c r="A51" i="2"/>
  <c r="C51" i="2" s="1"/>
  <c r="G50" i="2" l="1"/>
  <c r="M50" i="2"/>
  <c r="L50" i="2"/>
  <c r="H50" i="2"/>
  <c r="I50" i="2"/>
  <c r="J50" i="2"/>
  <c r="E50" i="2"/>
  <c r="F50" i="2"/>
  <c r="K50" i="2"/>
  <c r="D50" i="2"/>
  <c r="A52" i="2"/>
  <c r="C52" i="2" s="1"/>
  <c r="M51" i="2" l="1"/>
  <c r="G51" i="2"/>
  <c r="L51" i="2"/>
  <c r="H51" i="2"/>
  <c r="I51" i="2"/>
  <c r="J51" i="2"/>
  <c r="K51" i="2"/>
  <c r="E51" i="2"/>
  <c r="F51" i="2"/>
  <c r="D51" i="2"/>
  <c r="A53" i="2"/>
  <c r="C53" i="2" s="1"/>
  <c r="M52" i="2" l="1"/>
  <c r="G52" i="2"/>
  <c r="L52" i="2"/>
  <c r="H52" i="2"/>
  <c r="D52" i="2"/>
  <c r="I52" i="2"/>
  <c r="J52" i="2"/>
  <c r="E52" i="2"/>
  <c r="F52" i="2"/>
  <c r="K52" i="2"/>
  <c r="A54" i="2"/>
  <c r="C54" i="2" s="1"/>
  <c r="M53" i="2" l="1"/>
  <c r="G53" i="2"/>
  <c r="L53" i="2"/>
  <c r="H53" i="2"/>
  <c r="I53" i="2"/>
  <c r="D53" i="2"/>
  <c r="J53" i="2"/>
  <c r="K53" i="2"/>
  <c r="E53" i="2"/>
  <c r="F53" i="2"/>
  <c r="A55" i="2"/>
  <c r="C55" i="2" s="1"/>
  <c r="M54" i="2" l="1"/>
  <c r="G54" i="2"/>
  <c r="M55" i="2"/>
  <c r="G55" i="2"/>
  <c r="L54" i="2"/>
  <c r="H54" i="2"/>
  <c r="I54" i="2"/>
  <c r="D54" i="2"/>
  <c r="E54" i="2"/>
  <c r="F54" i="2"/>
  <c r="J54" i="2"/>
  <c r="K54" i="2"/>
  <c r="L55" i="2"/>
  <c r="L56" i="2" s="1"/>
  <c r="H55" i="2"/>
  <c r="I55" i="2"/>
  <c r="I56" i="2" s="1"/>
  <c r="J55" i="2"/>
  <c r="D55" i="2"/>
  <c r="K55" i="2"/>
  <c r="E55" i="2"/>
  <c r="F55" i="2"/>
  <c r="H56" i="2" l="1"/>
  <c r="K56" i="2"/>
  <c r="J56" i="2"/>
  <c r="G56" i="2"/>
  <c r="I35" i="4" s="1"/>
  <c r="F56" i="2"/>
  <c r="E56" i="2"/>
  <c r="G35" i="4" s="1"/>
  <c r="D56" i="2"/>
  <c r="M56" i="2"/>
  <c r="H35" i="4" l="1"/>
  <c r="G59" i="2"/>
  <c r="N35" i="4" s="1"/>
  <c r="F59" i="2"/>
  <c r="M35" i="4" s="1"/>
  <c r="E59" i="2"/>
  <c r="L35" i="4" s="1"/>
  <c r="D59" i="2"/>
  <c r="K35" i="4" s="1"/>
  <c r="C59" i="2"/>
  <c r="J35" i="4" s="1"/>
  <c r="F35" i="4"/>
  <c r="H36" i="4" l="1"/>
</calcChain>
</file>

<file path=xl/sharedStrings.xml><?xml version="1.0" encoding="utf-8"?>
<sst xmlns="http://schemas.openxmlformats.org/spreadsheetml/2006/main" count="572" uniqueCount="254">
  <si>
    <t>LCA</t>
  </si>
  <si>
    <t>All</t>
  </si>
  <si>
    <t>Typical Event Day</t>
  </si>
  <si>
    <t>Aggregate Impact</t>
  </si>
  <si>
    <t>Hour Ending</t>
  </si>
  <si>
    <t>10th%ile</t>
  </si>
  <si>
    <t>30th%ile</t>
  </si>
  <si>
    <t>50th%ile</t>
  </si>
  <si>
    <t>70th%ile</t>
  </si>
  <si>
    <t>90th%ile</t>
  </si>
  <si>
    <t>DR Program:</t>
  </si>
  <si>
    <t>10th</t>
  </si>
  <si>
    <t>30th</t>
  </si>
  <si>
    <t>50th</t>
  </si>
  <si>
    <t>70th</t>
  </si>
  <si>
    <t>90th</t>
  </si>
  <si>
    <t>Daily</t>
  </si>
  <si>
    <t>n/a</t>
  </si>
  <si>
    <t>Local Capacity Area:</t>
  </si>
  <si>
    <t>Utility:</t>
  </si>
  <si>
    <t>Type of Results:</t>
  </si>
  <si>
    <t>Day Type:</t>
  </si>
  <si>
    <t>PCTILE10_hr1</t>
  </si>
  <si>
    <t>PCTILE10_hr2</t>
  </si>
  <si>
    <t>PCTILE10_hr3</t>
  </si>
  <si>
    <t>PCTILE10_hr4</t>
  </si>
  <si>
    <t>PCTILE10_hr5</t>
  </si>
  <si>
    <t>PCTILE10_hr6</t>
  </si>
  <si>
    <t>PCTILE10_hr7</t>
  </si>
  <si>
    <t>PCTILE10_hr8</t>
  </si>
  <si>
    <t>PCTILE10_hr9</t>
  </si>
  <si>
    <t>PCTILE10_hr10</t>
  </si>
  <si>
    <t>PCTILE10_hr11</t>
  </si>
  <si>
    <t>PCTILE10_hr12</t>
  </si>
  <si>
    <t>PCTILE10_hr13</t>
  </si>
  <si>
    <t>PCTILE10_hr14</t>
  </si>
  <si>
    <t>PCTILE10_hr15</t>
  </si>
  <si>
    <t>PCTILE10_hr16</t>
  </si>
  <si>
    <t>PCTILE10_hr17</t>
  </si>
  <si>
    <t>PCTILE10_hr18</t>
  </si>
  <si>
    <t>PCTILE10_hr19</t>
  </si>
  <si>
    <t>PCTILE10_hr20</t>
  </si>
  <si>
    <t>PCTILE10_hr21</t>
  </si>
  <si>
    <t>PCTILE10_hr22</t>
  </si>
  <si>
    <t>PCTILE10_hr23</t>
  </si>
  <si>
    <t>PCTILE10_hr24</t>
  </si>
  <si>
    <t>PCTILE30_hr1</t>
  </si>
  <si>
    <t>PCTILE30_hr2</t>
  </si>
  <si>
    <t>PCTILE30_hr3</t>
  </si>
  <si>
    <t>PCTILE30_hr4</t>
  </si>
  <si>
    <t>PCTILE30_hr5</t>
  </si>
  <si>
    <t>PCTILE30_hr6</t>
  </si>
  <si>
    <t>PCTILE30_hr7</t>
  </si>
  <si>
    <t>PCTILE30_hr8</t>
  </si>
  <si>
    <t>PCTILE30_hr9</t>
  </si>
  <si>
    <t>PCTILE30_hr10</t>
  </si>
  <si>
    <t>PCTILE30_hr11</t>
  </si>
  <si>
    <t>PCTILE30_hr12</t>
  </si>
  <si>
    <t>PCTILE30_hr13</t>
  </si>
  <si>
    <t>PCTILE30_hr14</t>
  </si>
  <si>
    <t>PCTILE30_hr15</t>
  </si>
  <si>
    <t>PCTILE30_hr16</t>
  </si>
  <si>
    <t>PCTILE30_hr17</t>
  </si>
  <si>
    <t>PCTILE30_hr18</t>
  </si>
  <si>
    <t>PCTILE30_hr19</t>
  </si>
  <si>
    <t>PCTILE30_hr20</t>
  </si>
  <si>
    <t>PCTILE30_hr21</t>
  </si>
  <si>
    <t>PCTILE30_hr22</t>
  </si>
  <si>
    <t>PCTILE30_hr23</t>
  </si>
  <si>
    <t>PCTILE30_hr24</t>
  </si>
  <si>
    <t>PCTILE50_hr1</t>
  </si>
  <si>
    <t>PCTILE50_hr2</t>
  </si>
  <si>
    <t>PCTILE50_hr3</t>
  </si>
  <si>
    <t>PCTILE50_hr4</t>
  </si>
  <si>
    <t>PCTILE50_hr5</t>
  </si>
  <si>
    <t>PCTILE50_hr6</t>
  </si>
  <si>
    <t>PCTILE50_hr7</t>
  </si>
  <si>
    <t>PCTILE50_hr8</t>
  </si>
  <si>
    <t>PCTILE50_hr9</t>
  </si>
  <si>
    <t>PCTILE50_hr10</t>
  </si>
  <si>
    <t>PCTILE50_hr11</t>
  </si>
  <si>
    <t>PCTILE50_hr12</t>
  </si>
  <si>
    <t>PCTILE50_hr13</t>
  </si>
  <si>
    <t>PCTILE50_hr14</t>
  </si>
  <si>
    <t>PCTILE50_hr15</t>
  </si>
  <si>
    <t>PCTILE50_hr16</t>
  </si>
  <si>
    <t>PCTILE50_hr17</t>
  </si>
  <si>
    <t>PCTILE50_hr18</t>
  </si>
  <si>
    <t>PCTILE50_hr19</t>
  </si>
  <si>
    <t>PCTILE50_hr20</t>
  </si>
  <si>
    <t>PCTILE50_hr21</t>
  </si>
  <si>
    <t>PCTILE50_hr22</t>
  </si>
  <si>
    <t>PCTILE50_hr23</t>
  </si>
  <si>
    <t>PCTILE50_hr24</t>
  </si>
  <si>
    <t>PCTILE70_hr1</t>
  </si>
  <si>
    <t>PCTILE70_hr2</t>
  </si>
  <si>
    <t>PCTILE70_hr3</t>
  </si>
  <si>
    <t>PCTILE70_hr4</t>
  </si>
  <si>
    <t>PCTILE70_hr5</t>
  </si>
  <si>
    <t>PCTILE70_hr6</t>
  </si>
  <si>
    <t>PCTILE70_hr7</t>
  </si>
  <si>
    <t>PCTILE70_hr8</t>
  </si>
  <si>
    <t>PCTILE70_hr9</t>
  </si>
  <si>
    <t>PCTILE70_hr10</t>
  </si>
  <si>
    <t>PCTILE70_hr11</t>
  </si>
  <si>
    <t>PCTILE70_hr12</t>
  </si>
  <si>
    <t>PCTILE70_hr13</t>
  </si>
  <si>
    <t>PCTILE70_hr14</t>
  </si>
  <si>
    <t>PCTILE70_hr15</t>
  </si>
  <si>
    <t>PCTILE70_hr16</t>
  </si>
  <si>
    <t>PCTILE70_hr17</t>
  </si>
  <si>
    <t>PCTILE70_hr18</t>
  </si>
  <si>
    <t>PCTILE70_hr19</t>
  </si>
  <si>
    <t>PCTILE70_hr20</t>
  </si>
  <si>
    <t>PCTILE70_hr21</t>
  </si>
  <si>
    <t>PCTILE70_hr22</t>
  </si>
  <si>
    <t>PCTILE70_hr23</t>
  </si>
  <si>
    <t>PCTILE70_hr24</t>
  </si>
  <si>
    <t>PCTILE90_hr1</t>
  </si>
  <si>
    <t>PCTILE90_hr2</t>
  </si>
  <si>
    <t>PCTILE90_hr3</t>
  </si>
  <si>
    <t>PCTILE90_hr4</t>
  </si>
  <si>
    <t>PCTILE90_hr5</t>
  </si>
  <si>
    <t>PCTILE90_hr6</t>
  </si>
  <si>
    <t>PCTILE90_hr7</t>
  </si>
  <si>
    <t>PCTILE90_hr8</t>
  </si>
  <si>
    <t>PCTILE90_hr9</t>
  </si>
  <si>
    <t>PCTILE90_hr10</t>
  </si>
  <si>
    <t>PCTILE90_hr11</t>
  </si>
  <si>
    <t>PCTILE90_hr12</t>
  </si>
  <si>
    <t>PCTILE90_hr13</t>
  </si>
  <si>
    <t>PCTILE90_hr14</t>
  </si>
  <si>
    <t>PCTILE90_hr15</t>
  </si>
  <si>
    <t>PCTILE90_hr16</t>
  </si>
  <si>
    <t>PCTILE90_hr17</t>
  </si>
  <si>
    <t>PCTILE90_hr18</t>
  </si>
  <si>
    <t>PCTILE90_hr19</t>
  </si>
  <si>
    <t>PCTILE90_hr20</t>
  </si>
  <si>
    <t>PCTILE90_hr21</t>
  </si>
  <si>
    <t>PCTILE90_hr22</t>
  </si>
  <si>
    <t>PCTILE90_hr23</t>
  </si>
  <si>
    <t>PCTILE90_hr24</t>
  </si>
  <si>
    <t>temp_hr1</t>
  </si>
  <si>
    <t>temp_hr2</t>
  </si>
  <si>
    <t>temp_hr3</t>
  </si>
  <si>
    <t>temp_hr4</t>
  </si>
  <si>
    <t>temp_hr5</t>
  </si>
  <si>
    <t>temp_hr6</t>
  </si>
  <si>
    <t>temp_hr7</t>
  </si>
  <si>
    <t>temp_hr8</t>
  </si>
  <si>
    <t>temp_hr9</t>
  </si>
  <si>
    <t>temp_hr10</t>
  </si>
  <si>
    <t>temp_hr11</t>
  </si>
  <si>
    <t>temp_hr12</t>
  </si>
  <si>
    <t>temp_hr13</t>
  </si>
  <si>
    <t>temp_hr14</t>
  </si>
  <si>
    <t>temp_hr15</t>
  </si>
  <si>
    <t>temp_hr16</t>
  </si>
  <si>
    <t>temp_hr17</t>
  </si>
  <si>
    <t>temp_hr18</t>
  </si>
  <si>
    <t>temp_hr19</t>
  </si>
  <si>
    <t>temp_hr20</t>
  </si>
  <si>
    <t>temp_hr21</t>
  </si>
  <si>
    <t>temp_hr22</t>
  </si>
  <si>
    <t>temp_hr23</t>
  </si>
  <si>
    <t>temp_hr24</t>
  </si>
  <si>
    <r>
      <t>Weighted Average Temperature (</t>
    </r>
    <r>
      <rPr>
        <b/>
        <vertAlign val="superscript"/>
        <sz val="11"/>
        <color indexed="9"/>
        <rFont val="Arial Narrow"/>
        <family val="2"/>
      </rPr>
      <t>o</t>
    </r>
    <r>
      <rPr>
        <b/>
        <sz val="11"/>
        <color indexed="9"/>
        <rFont val="Arial Narrow"/>
        <family val="2"/>
      </rPr>
      <t>F)</t>
    </r>
  </si>
  <si>
    <t>Ref_hr1</t>
  </si>
  <si>
    <t>Ref_hr2</t>
  </si>
  <si>
    <t>Ref_hr3</t>
  </si>
  <si>
    <t>Ref_hr4</t>
  </si>
  <si>
    <t>Ref_hr5</t>
  </si>
  <si>
    <t>Ref_hr6</t>
  </si>
  <si>
    <t>Ref_hr7</t>
  </si>
  <si>
    <t>Ref_hr8</t>
  </si>
  <si>
    <t>Ref_hr9</t>
  </si>
  <si>
    <t>Ref_hr10</t>
  </si>
  <si>
    <t>Ref_hr11</t>
  </si>
  <si>
    <t>Ref_hr12</t>
  </si>
  <si>
    <t>Ref_hr13</t>
  </si>
  <si>
    <t>Ref_hr14</t>
  </si>
  <si>
    <t>Ref_hr15</t>
  </si>
  <si>
    <t>Ref_hr16</t>
  </si>
  <si>
    <t>Ref_hr17</t>
  </si>
  <si>
    <t>Ref_hr18</t>
  </si>
  <si>
    <t>Ref_hr19</t>
  </si>
  <si>
    <t>Ref_hr20</t>
  </si>
  <si>
    <t>Ref_hr21</t>
  </si>
  <si>
    <t>Ref_hr22</t>
  </si>
  <si>
    <t>Ref_hr23</t>
  </si>
  <si>
    <t>Ref_hr24</t>
  </si>
  <si>
    <t>Greater Bay Area</t>
  </si>
  <si>
    <t>Greater Fresno</t>
  </si>
  <si>
    <t>Humboldt</t>
  </si>
  <si>
    <t>Kern</t>
  </si>
  <si>
    <t>Northern Coast</t>
  </si>
  <si>
    <t>Other</t>
  </si>
  <si>
    <t>Sierra</t>
  </si>
  <si>
    <t>Stockton</t>
  </si>
  <si>
    <t>Pacific Gas &amp; Electric</t>
  </si>
  <si>
    <t>Size Group:</t>
  </si>
  <si>
    <t>Size Group</t>
  </si>
  <si>
    <t>20 to 199.99 kW</t>
  </si>
  <si>
    <t>200 kW and above</t>
  </si>
  <si>
    <r>
      <t>Cooling
Degree
Hours
(Base 75</t>
    </r>
    <r>
      <rPr>
        <b/>
        <vertAlign val="superscript"/>
        <sz val="11"/>
        <color indexed="9"/>
        <rFont val="Arial Narrow"/>
        <family val="2"/>
      </rPr>
      <t xml:space="preserve">o </t>
    </r>
    <r>
      <rPr>
        <b/>
        <sz val="11"/>
        <color indexed="9"/>
        <rFont val="Arial Narrow"/>
        <family val="2"/>
      </rPr>
      <t>F)</t>
    </r>
  </si>
  <si>
    <t>cdh calcs</t>
  </si>
  <si>
    <t>Agriculture, Mining &amp; Construction</t>
  </si>
  <si>
    <t>Institutional/Government</t>
  </si>
  <si>
    <t>Manufacturing</t>
  </si>
  <si>
    <t>Offices, Hotels, Finance, Services</t>
  </si>
  <si>
    <t>Other or unknown</t>
  </si>
  <si>
    <t>Retail stores</t>
  </si>
  <si>
    <t>Wholesale, Transport, other utilities</t>
  </si>
  <si>
    <t>lca</t>
  </si>
  <si>
    <t>size</t>
  </si>
  <si>
    <t>date</t>
  </si>
  <si>
    <t>Date</t>
  </si>
  <si>
    <t>Industry</t>
  </si>
  <si>
    <t>Dual Enrolled</t>
  </si>
  <si>
    <t>Results Type</t>
  </si>
  <si>
    <t>Two-way tab flag</t>
  </si>
  <si>
    <t>product</t>
  </si>
  <si>
    <t>evt_start</t>
  </si>
  <si>
    <t>evt_end</t>
  </si>
  <si>
    <t>Event Hours</t>
  </si>
  <si>
    <t>By Period:</t>
  </si>
  <si>
    <t>Event Hours:</t>
  </si>
  <si>
    <t>avg ref</t>
  </si>
  <si>
    <t>avg obs</t>
  </si>
  <si>
    <t>avg LI</t>
  </si>
  <si>
    <t>avg 10</t>
  </si>
  <si>
    <t>avg30</t>
  </si>
  <si>
    <t>avg50</t>
  </si>
  <si>
    <t>avg70</t>
  </si>
  <si>
    <t>avg90</t>
  </si>
  <si>
    <t>CDH</t>
  </si>
  <si>
    <t>Avg evt hours</t>
  </si>
  <si>
    <t>Event flag</t>
  </si>
  <si>
    <t>std dev</t>
  </si>
  <si>
    <t>enrolled</t>
  </si>
  <si>
    <t xml:space="preserve"> Number of Accounts Enrolled:</t>
  </si>
  <si>
    <t>Enrollment</t>
  </si>
  <si>
    <t>Average Event Hour % Load Impact:</t>
  </si>
  <si>
    <t>Bid</t>
  </si>
  <si>
    <t>Average per Enrolled Customer</t>
  </si>
  <si>
    <t>Base Interruptible Program (BIP)</t>
  </si>
  <si>
    <t>fsl</t>
  </si>
  <si>
    <t>Number of Accounts Called:</t>
  </si>
  <si>
    <t>_pass</t>
  </si>
  <si>
    <t>stderr_evt_hr</t>
  </si>
  <si>
    <t>bid</t>
  </si>
  <si>
    <t>active results</t>
  </si>
  <si>
    <t>se in mwh</t>
  </si>
  <si>
    <t>se per cust in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</si>
</sst>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409]mmmm\ d\,\ yyyy;@"/>
    <numFmt numFmtId="166" formatCode="0.0%"/>
    <numFmt numFmtId="167" formatCode="0.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9"/>
      <name val="Arial Narrow"/>
      <family val="2"/>
    </font>
    <font>
      <b/>
      <sz val="10"/>
      <color indexed="9"/>
      <name val="Franklin Gothic Demi Cond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sz val="10"/>
      <color indexed="9"/>
      <name val="Franklin Gothic Demi Cond"/>
      <family val="2"/>
    </font>
    <font>
      <b/>
      <vertAlign val="superscript"/>
      <sz val="11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56"/>
      </right>
      <top style="medium">
        <color indexed="9"/>
      </top>
      <bottom/>
      <diagonal/>
    </border>
    <border>
      <left style="medium">
        <color indexed="56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56"/>
      </right>
      <top/>
      <bottom style="medium">
        <color indexed="9"/>
      </bottom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indexed="56"/>
      </left>
      <right style="thin">
        <color indexed="56"/>
      </right>
      <top/>
      <bottom style="medium">
        <color indexed="56"/>
      </bottom>
      <diagonal/>
    </border>
    <border>
      <left style="thin">
        <color indexed="56"/>
      </left>
      <right style="thin">
        <color indexed="56"/>
      </right>
      <top/>
      <bottom style="medium">
        <color indexed="56"/>
      </bottom>
      <diagonal/>
    </border>
    <border>
      <left style="medium">
        <color indexed="9"/>
      </left>
      <right/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56"/>
      </right>
      <top/>
      <bottom style="medium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56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56"/>
      </left>
      <right style="medium">
        <color indexed="9"/>
      </right>
      <top style="medium">
        <color indexed="56"/>
      </top>
      <bottom style="medium">
        <color indexed="9"/>
      </bottom>
      <diagonal/>
    </border>
    <border>
      <left style="medium">
        <color indexed="56"/>
      </left>
      <right style="medium">
        <color indexed="9"/>
      </right>
      <top style="medium">
        <color indexed="9"/>
      </top>
      <bottom/>
      <diagonal/>
    </border>
    <border>
      <left style="medium">
        <color indexed="56"/>
      </left>
      <right style="medium">
        <color indexed="56"/>
      </right>
      <top/>
      <bottom style="thin">
        <color indexed="56"/>
      </bottom>
      <diagonal/>
    </border>
    <border>
      <left style="thin">
        <color indexed="56"/>
      </left>
      <right style="medium">
        <color indexed="56"/>
      </right>
      <top/>
      <bottom style="medium">
        <color indexed="56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quotePrefix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9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wrapText="1" indent="1"/>
    </xf>
    <xf numFmtId="0" fontId="10" fillId="2" borderId="3" xfId="0" applyFont="1" applyFill="1" applyBorder="1" applyAlignment="1">
      <alignment horizontal="right" wrapText="1" indent="1"/>
    </xf>
    <xf numFmtId="49" fontId="9" fillId="0" borderId="0" xfId="0" applyNumberFormat="1" applyFont="1" applyBorder="1" applyAlignment="1">
      <alignment horizontal="left" wrapText="1"/>
    </xf>
    <xf numFmtId="0" fontId="8" fillId="0" borderId="0" xfId="0" applyFont="1"/>
    <xf numFmtId="0" fontId="12" fillId="0" borderId="0" xfId="0" applyFont="1" applyBorder="1" applyAlignment="1">
      <alignment horizontal="left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8" fillId="0" borderId="0" xfId="0" applyFont="1" applyFill="1" applyBorder="1"/>
    <xf numFmtId="0" fontId="13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3" fontId="0" fillId="0" borderId="0" xfId="0" applyNumberFormat="1"/>
    <xf numFmtId="0" fontId="14" fillId="2" borderId="0" xfId="0" applyFont="1" applyFill="1" applyAlignment="1">
      <alignment horizontal="left"/>
    </xf>
    <xf numFmtId="15" fontId="0" fillId="0" borderId="0" xfId="0" applyNumberFormat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quotePrefix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6" fillId="2" borderId="1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7" fillId="2" borderId="12" xfId="0" applyFont="1" applyFill="1" applyBorder="1" applyAlignment="1">
      <alignment horizontal="centerContinuous"/>
    </xf>
    <xf numFmtId="0" fontId="0" fillId="0" borderId="0" xfId="0" applyBorder="1"/>
    <xf numFmtId="49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164" fontId="0" fillId="0" borderId="0" xfId="0" applyNumberFormat="1"/>
    <xf numFmtId="166" fontId="0" fillId="0" borderId="0" xfId="1" applyNumberFormat="1" applyFont="1"/>
    <xf numFmtId="0" fontId="8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/>
    <xf numFmtId="0" fontId="1" fillId="0" borderId="0" xfId="0" quotePrefix="1" applyFont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right" vertical="center"/>
    </xf>
    <xf numFmtId="166" fontId="4" fillId="0" borderId="0" xfId="1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167" fontId="0" fillId="0" borderId="0" xfId="0" applyNumberFormat="1"/>
    <xf numFmtId="0" fontId="8" fillId="0" borderId="0" xfId="0" applyFont="1" applyFill="1" applyBorder="1" applyAlignment="1">
      <alignment horizontal="left" vertical="center"/>
    </xf>
    <xf numFmtId="164" fontId="11" fillId="0" borderId="21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11" fontId="0" fillId="0" borderId="0" xfId="0" applyNumberFormat="1"/>
    <xf numFmtId="15" fontId="0" fillId="0" borderId="0" xfId="0" applyNumberFormat="1"/>
    <xf numFmtId="0" fontId="0" fillId="0" borderId="0" xfId="0" quotePrefix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4" fillId="0" borderId="0" xfId="0" quotePrefix="1" applyFont="1" applyAlignment="1">
      <alignment horizontal="left"/>
    </xf>
    <xf numFmtId="164" fontId="11" fillId="0" borderId="8" xfId="0" applyNumberFormat="1" applyFont="1" applyBorder="1" applyAlignment="1">
      <alignment horizontal="center"/>
    </xf>
    <xf numFmtId="164" fontId="11" fillId="0" borderId="22" xfId="0" applyNumberFormat="1" applyFont="1" applyBorder="1" applyAlignment="1">
      <alignment horizontal="center"/>
    </xf>
    <xf numFmtId="0" fontId="0" fillId="3" borderId="0" xfId="0" applyFill="1"/>
    <xf numFmtId="14" fontId="0" fillId="0" borderId="0" xfId="0" applyNumberFormat="1"/>
    <xf numFmtId="0" fontId="1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5" fontId="9" fillId="0" borderId="0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5" fontId="1" fillId="0" borderId="0" xfId="0" applyNumberFormat="1" applyFont="1" applyFill="1" applyBorder="1" applyAlignment="1">
      <alignment horizontal="left"/>
    </xf>
    <xf numFmtId="164" fontId="4" fillId="0" borderId="0" xfId="0" applyNumberFormat="1" applyFont="1" applyAlignment="1">
      <alignment horizontal="right"/>
    </xf>
    <xf numFmtId="166" fontId="4" fillId="0" borderId="0" xfId="1" applyNumberFormat="1" applyFont="1" applyAlignment="1">
      <alignment horizontal="center"/>
    </xf>
    <xf numFmtId="167" fontId="4" fillId="0" borderId="0" xfId="0" applyNumberFormat="1" applyFont="1" applyAlignment="1">
      <alignment horizontal="right"/>
    </xf>
    <xf numFmtId="1" fontId="0" fillId="0" borderId="0" xfId="0" applyNumberFormat="1"/>
    <xf numFmtId="2" fontId="5" fillId="2" borderId="5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2" fontId="5" fillId="2" borderId="5" xfId="0" quotePrefix="1" applyNumberFormat="1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19" xfId="0" quotePrefix="1" applyFont="1" applyFill="1" applyBorder="1" applyAlignment="1">
      <alignment horizontal="center" wrapText="1"/>
    </xf>
    <xf numFmtId="0" fontId="0" fillId="0" borderId="0" xfId="0" applyNumberFormat="1"/>
  </cellXfs>
  <cellStyles count="2">
    <cellStyle name="Normal" xfId="0" builtinId="0"/>
    <cellStyle name="Percent" xfId="1" builtinId="5"/>
  </cellStyles>
  <dxfs count="4">
    <dxf>
      <fill>
        <patternFill>
          <bgColor theme="3" tint="0.79998168889431442"/>
        </patternFill>
      </fill>
    </dxf>
    <dxf>
      <fill>
        <patternFill>
          <bgColor indexed="43"/>
        </patternFill>
      </fill>
    </dxf>
    <dxf>
      <fill>
        <patternFill>
          <bgColor rgb="FFFFFF00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22981366459629"/>
          <c:y val="0.14206642066420663"/>
          <c:w val="0.77018633540372672"/>
          <c:h val="0.714022140221402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Table!$F$5:$F$7</c:f>
              <c:strCache>
                <c:ptCount val="3"/>
                <c:pt idx="0">
                  <c:v>Estimated Reference Load (MWh/hour)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Table!$F$8:$F$31</c:f>
              <c:numCache>
                <c:formatCode>#,##0.0</c:formatCode>
                <c:ptCount val="24"/>
                <c:pt idx="0">
                  <c:v>289.03960000000001</c:v>
                </c:pt>
                <c:pt idx="1">
                  <c:v>285.71120000000002</c:v>
                </c:pt>
                <c:pt idx="2">
                  <c:v>283.70429999999999</c:v>
                </c:pt>
                <c:pt idx="3">
                  <c:v>289.37470000000002</c:v>
                </c:pt>
                <c:pt idx="4">
                  <c:v>297.89949999999999</c:v>
                </c:pt>
                <c:pt idx="5">
                  <c:v>313.0351</c:v>
                </c:pt>
                <c:pt idx="6">
                  <c:v>332.5333</c:v>
                </c:pt>
                <c:pt idx="7">
                  <c:v>335.57810000000001</c:v>
                </c:pt>
                <c:pt idx="8">
                  <c:v>338.29059999999998</c:v>
                </c:pt>
                <c:pt idx="9">
                  <c:v>338.07589999999999</c:v>
                </c:pt>
                <c:pt idx="10">
                  <c:v>335.28649999999999</c:v>
                </c:pt>
                <c:pt idx="11">
                  <c:v>326.97309999999999</c:v>
                </c:pt>
                <c:pt idx="12">
                  <c:v>317.41430000000003</c:v>
                </c:pt>
                <c:pt idx="13">
                  <c:v>314.73660000000001</c:v>
                </c:pt>
                <c:pt idx="14">
                  <c:v>304.76060000000001</c:v>
                </c:pt>
                <c:pt idx="15">
                  <c:v>295.35359999999997</c:v>
                </c:pt>
                <c:pt idx="16">
                  <c:v>291.53660000000002</c:v>
                </c:pt>
                <c:pt idx="17">
                  <c:v>287.6105</c:v>
                </c:pt>
                <c:pt idx="18">
                  <c:v>295.27530000000002</c:v>
                </c:pt>
                <c:pt idx="19">
                  <c:v>301.09410000000003</c:v>
                </c:pt>
                <c:pt idx="20">
                  <c:v>302.44200000000001</c:v>
                </c:pt>
                <c:pt idx="21">
                  <c:v>304.5797</c:v>
                </c:pt>
                <c:pt idx="22">
                  <c:v>299.08409999999998</c:v>
                </c:pt>
                <c:pt idx="23">
                  <c:v>294.34500000000003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68-4112-BF14-D96EB57232BB}"/>
            </c:ext>
          </c:extLst>
        </c:ser>
        <c:ser>
          <c:idx val="0"/>
          <c:order val="1"/>
          <c:tx>
            <c:strRef>
              <c:f>Table!$G$5:$G$7</c:f>
              <c:strCache>
                <c:ptCount val="3"/>
                <c:pt idx="0">
                  <c:v>Observed Event Day Load (MWh/hour)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none"/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Table!$G$8:$G$31</c:f>
              <c:numCache>
                <c:formatCode>#,##0.0</c:formatCode>
                <c:ptCount val="24"/>
                <c:pt idx="0">
                  <c:v>293.02140100000003</c:v>
                </c:pt>
                <c:pt idx="1">
                  <c:v>286.99270200000001</c:v>
                </c:pt>
                <c:pt idx="2">
                  <c:v>283.96247269999998</c:v>
                </c:pt>
                <c:pt idx="3">
                  <c:v>293.68462400000004</c:v>
                </c:pt>
                <c:pt idx="4">
                  <c:v>300.71759399999996</c:v>
                </c:pt>
                <c:pt idx="5">
                  <c:v>319.25039400000003</c:v>
                </c:pt>
                <c:pt idx="6">
                  <c:v>336.77378099999999</c:v>
                </c:pt>
                <c:pt idx="7">
                  <c:v>337.17445200000003</c:v>
                </c:pt>
                <c:pt idx="8">
                  <c:v>333.12323599999996</c:v>
                </c:pt>
                <c:pt idx="9">
                  <c:v>334.52798000000001</c:v>
                </c:pt>
                <c:pt idx="10">
                  <c:v>331.714316</c:v>
                </c:pt>
                <c:pt idx="11">
                  <c:v>329.465237</c:v>
                </c:pt>
                <c:pt idx="12">
                  <c:v>320.65616600000004</c:v>
                </c:pt>
                <c:pt idx="13">
                  <c:v>317.97927099999998</c:v>
                </c:pt>
                <c:pt idx="14">
                  <c:v>226.41403000000003</c:v>
                </c:pt>
                <c:pt idx="15">
                  <c:v>45.447699999999969</c:v>
                </c:pt>
                <c:pt idx="16">
                  <c:v>46.121000000000009</c:v>
                </c:pt>
                <c:pt idx="17">
                  <c:v>46.487899999999996</c:v>
                </c:pt>
                <c:pt idx="18">
                  <c:v>46.89100000000002</c:v>
                </c:pt>
                <c:pt idx="19">
                  <c:v>159.56540000000004</c:v>
                </c:pt>
                <c:pt idx="20">
                  <c:v>231.34498000000002</c:v>
                </c:pt>
                <c:pt idx="21">
                  <c:v>247.35181</c:v>
                </c:pt>
                <c:pt idx="22">
                  <c:v>256.23849999999999</c:v>
                </c:pt>
                <c:pt idx="23">
                  <c:v>261.01657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468-4112-BF14-D96EB57232BB}"/>
            </c:ext>
          </c:extLst>
        </c:ser>
        <c:ser>
          <c:idx val="1"/>
          <c:order val="2"/>
          <c:tx>
            <c:strRef>
              <c:f>Table!$I$2</c:f>
              <c:strCache>
                <c:ptCount val="1"/>
                <c:pt idx="0">
                  <c:v>Firm Service Level in MW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(Table!$J$2,Table!$J$2,Table!$J$2,Table!$J$2,Table!$J$2,Table!$J$2,Table!$J$2,Table!$J$2,Table!$J$2,Table!$J$2,Table!$J$2,Table!$J$2,Table!$J$2,Table!$J$2,Table!$J$2,Table!$J$2,Table!$J$2,Table!$J$2,Table!$J$2,Table!$J$2,Table!$J$2,Table!$J$2,Table!$J$2,Table!$J$2)</c:f>
              <c:numCache>
                <c:formatCode>0.0</c:formatCode>
                <c:ptCount val="24"/>
                <c:pt idx="0">
                  <c:v>48.09</c:v>
                </c:pt>
                <c:pt idx="1">
                  <c:v>48.09</c:v>
                </c:pt>
                <c:pt idx="2">
                  <c:v>48.09</c:v>
                </c:pt>
                <c:pt idx="3">
                  <c:v>48.09</c:v>
                </c:pt>
                <c:pt idx="4">
                  <c:v>48.09</c:v>
                </c:pt>
                <c:pt idx="5">
                  <c:v>48.09</c:v>
                </c:pt>
                <c:pt idx="6">
                  <c:v>48.09</c:v>
                </c:pt>
                <c:pt idx="7">
                  <c:v>48.09</c:v>
                </c:pt>
                <c:pt idx="8">
                  <c:v>48.09</c:v>
                </c:pt>
                <c:pt idx="9">
                  <c:v>48.09</c:v>
                </c:pt>
                <c:pt idx="10">
                  <c:v>48.09</c:v>
                </c:pt>
                <c:pt idx="11">
                  <c:v>48.09</c:v>
                </c:pt>
                <c:pt idx="12">
                  <c:v>48.09</c:v>
                </c:pt>
                <c:pt idx="13">
                  <c:v>48.09</c:v>
                </c:pt>
                <c:pt idx="14">
                  <c:v>48.09</c:v>
                </c:pt>
                <c:pt idx="15">
                  <c:v>48.09</c:v>
                </c:pt>
                <c:pt idx="16">
                  <c:v>48.09</c:v>
                </c:pt>
                <c:pt idx="17">
                  <c:v>48.09</c:v>
                </c:pt>
                <c:pt idx="18">
                  <c:v>48.09</c:v>
                </c:pt>
                <c:pt idx="19">
                  <c:v>48.09</c:v>
                </c:pt>
                <c:pt idx="20">
                  <c:v>48.09</c:v>
                </c:pt>
                <c:pt idx="21">
                  <c:v>48.09</c:v>
                </c:pt>
                <c:pt idx="22">
                  <c:v>48.09</c:v>
                </c:pt>
                <c:pt idx="23">
                  <c:v>48.09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468-4112-BF14-D96EB5723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944048"/>
        <c:axId val="513520304"/>
      </c:scatterChart>
      <c:valAx>
        <c:axId val="365944048"/>
        <c:scaling>
          <c:orientation val="minMax"/>
          <c:max val="24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Hour Ending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513520304"/>
        <c:crosses val="autoZero"/>
        <c:crossBetween val="midCat"/>
        <c:majorUnit val="1"/>
      </c:valAx>
      <c:valAx>
        <c:axId val="51352030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 b="1">
                    <a:latin typeface="Arial" panose="020B0604020202020204" pitchFamily="34" charset="0"/>
                    <a:cs typeface="Arial" panose="020B0604020202020204" pitchFamily="34" charset="0"/>
                  </a:rPr>
                  <a:t>Load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3659440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77196328719781"/>
          <c:y val="2.3985964520392398E-2"/>
          <c:w val="0.58986763799865316"/>
          <c:h val="0.1081332274162596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Franklin Gothic Demi Cond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969696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22411</xdr:rowOff>
    </xdr:from>
    <xdr:to>
      <xdr:col>3</xdr:col>
      <xdr:colOff>628650</xdr:colOff>
      <xdr:row>34</xdr:row>
      <xdr:rowOff>175933</xdr:rowOff>
    </xdr:to>
    <xdr:graphicFrame macro="">
      <xdr:nvGraphicFramePr>
        <xdr:cNvPr id="1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abSelected="1" zoomScale="80" zoomScaleNormal="80" workbookViewId="0">
      <selection activeCell="B8" sqref="B8"/>
    </sheetView>
  </sheetViews>
  <sheetFormatPr defaultRowHeight="12.75" x14ac:dyDescent="0.2"/>
  <cols>
    <col min="1" max="1" width="27" bestFit="1" customWidth="1"/>
    <col min="2" max="2" width="31.5703125" customWidth="1"/>
    <col min="3" max="3" width="24" customWidth="1"/>
    <col min="4" max="4" width="10.28515625" customWidth="1"/>
    <col min="5" max="5" width="17.85546875" customWidth="1"/>
    <col min="6" max="6" width="16.140625" customWidth="1"/>
    <col min="7" max="7" width="13.28515625" customWidth="1"/>
    <col min="8" max="8" width="13" customWidth="1"/>
    <col min="9" max="9" width="15.5703125" customWidth="1"/>
    <col min="10" max="14" width="11.42578125" customWidth="1"/>
    <col min="16" max="16" width="9.140625" customWidth="1"/>
  </cols>
  <sheetData>
    <row r="1" spans="1:14" ht="17.25" customHeight="1" thickBot="1" x14ac:dyDescent="0.3">
      <c r="A1" s="2" t="str">
        <f>IF(Two_way_tab_flag=1,"Two-way tabulations not available.  Select 'All' in at least two of three cells.",IF(DGET(data,"_pass",_xlnm.Criteria)=1,"","Results omitted due to confidentiality concerns"))</f>
        <v/>
      </c>
      <c r="B1" s="2"/>
      <c r="C1" s="2"/>
      <c r="I1" s="3"/>
      <c r="J1" s="3"/>
      <c r="K1" s="49"/>
      <c r="L1" s="51"/>
    </row>
    <row r="2" spans="1:14" ht="17.25" customHeight="1" thickTop="1" thickBot="1" x14ac:dyDescent="0.3">
      <c r="A2" s="38" t="s">
        <v>19</v>
      </c>
      <c r="B2" s="7" t="s">
        <v>199</v>
      </c>
      <c r="C2" s="5"/>
      <c r="D2" s="5"/>
      <c r="F2" s="4" t="s">
        <v>247</v>
      </c>
      <c r="G2" s="40">
        <f>IF(Two_way_tab_flag=1,"n/a",DGET(data,"bid",_xlnm.Criteria))</f>
        <v>204</v>
      </c>
      <c r="I2" s="3" t="str">
        <f>"Firm Service Level in "&amp;IF(Result_type="Aggregate Impact","MW","kW")</f>
        <v>Firm Service Level in MW</v>
      </c>
      <c r="J2" s="77">
        <f>IF(Two_way_tab_flag=1,"n/a",DGET(data,"FSL",_xlnm.Criteria)*IF(Result_type="Aggregate Impact",1,1000/Bid))</f>
        <v>48.09</v>
      </c>
      <c r="K2" s="49"/>
      <c r="L2" s="51"/>
    </row>
    <row r="3" spans="1:14" ht="17.25" customHeight="1" thickTop="1" thickBot="1" x14ac:dyDescent="0.3">
      <c r="A3" s="39" t="s">
        <v>10</v>
      </c>
      <c r="B3" s="35" t="s">
        <v>245</v>
      </c>
      <c r="C3" s="5"/>
      <c r="D3" s="5"/>
      <c r="F3" s="3" t="s">
        <v>240</v>
      </c>
      <c r="G3" s="40">
        <f>Enrolled</f>
        <v>204</v>
      </c>
      <c r="I3" s="3" t="s">
        <v>226</v>
      </c>
      <c r="J3" s="65" t="str">
        <f>IF(ISNA(VLOOKUP(date,Lookups!$B$11:$F$23,5,FALSE)),"n/a",VLOOKUP(date,Lookups!$B$11:$F$23,5,FALSE))</f>
        <v>Hours Ending 16 to 19</v>
      </c>
      <c r="K3" s="50"/>
    </row>
    <row r="4" spans="1:14" ht="17.25" customHeight="1" thickBot="1" x14ac:dyDescent="0.25">
      <c r="A4" s="38" t="s">
        <v>20</v>
      </c>
      <c r="B4" s="7" t="s">
        <v>3</v>
      </c>
      <c r="C4" s="5"/>
      <c r="D4" s="5"/>
    </row>
    <row r="5" spans="1:14" ht="17.25" customHeight="1" thickBot="1" x14ac:dyDescent="0.3">
      <c r="A5" s="38" t="s">
        <v>21</v>
      </c>
      <c r="B5" s="13" t="s">
        <v>2</v>
      </c>
      <c r="C5" s="5"/>
      <c r="D5" s="5"/>
      <c r="E5" s="82" t="s">
        <v>4</v>
      </c>
      <c r="F5" s="82" t="str">
        <f>"Estimated Reference Load ("&amp;IF(Result_type="Aggregate impact","MWh","kWh")&amp;"/hour)"</f>
        <v>Estimated Reference Load (MWh/hour)</v>
      </c>
      <c r="G5" s="82" t="str">
        <f>"Observed Event Day Load ("&amp;IF(Result_type="Aggregate Impact","MWh/hour)","kWh/hour)")</f>
        <v>Observed Event Day Load (MWh/hour)</v>
      </c>
      <c r="H5" s="82" t="str">
        <f>"Estimated Load Impact ("&amp;IF(Result_type="Aggregate Impact","MWh/hour)","kWh/hour)")</f>
        <v>Estimated Load Impact (MWh/hour)</v>
      </c>
      <c r="I5" s="85" t="s">
        <v>166</v>
      </c>
      <c r="J5" s="31"/>
      <c r="K5" s="32"/>
      <c r="L5" s="32"/>
      <c r="M5" s="32"/>
      <c r="N5" s="33"/>
    </row>
    <row r="6" spans="1:14" ht="17.25" customHeight="1" thickBot="1" x14ac:dyDescent="0.35">
      <c r="C6" s="5"/>
      <c r="D6" s="5"/>
      <c r="E6" s="83"/>
      <c r="F6" s="83"/>
      <c r="G6" s="83"/>
      <c r="H6" s="83"/>
      <c r="I6" s="83"/>
      <c r="J6" s="56" t="str">
        <f>"Uncertainty Adjusted Impact ("&amp;IF(Result_type="Aggregate Impact","MWh/hr)- Percentiles","kWh/hr)- Percentiles")</f>
        <v>Uncertainty Adjusted Impact (MWh/hr)- Percentiles</v>
      </c>
      <c r="K6" s="57"/>
      <c r="L6" s="57"/>
      <c r="M6" s="57"/>
      <c r="N6" s="58"/>
    </row>
    <row r="7" spans="1:14" ht="39" customHeight="1" thickBot="1" x14ac:dyDescent="0.25">
      <c r="C7" s="5"/>
      <c r="D7" s="5"/>
      <c r="E7" s="84"/>
      <c r="F7" s="84"/>
      <c r="G7" s="84"/>
      <c r="H7" s="84"/>
      <c r="I7" s="84"/>
      <c r="J7" s="8" t="s">
        <v>5</v>
      </c>
      <c r="K7" s="8" t="s">
        <v>6</v>
      </c>
      <c r="L7" s="8" t="s">
        <v>7</v>
      </c>
      <c r="M7" s="8" t="s">
        <v>8</v>
      </c>
      <c r="N7" s="9" t="s">
        <v>9</v>
      </c>
    </row>
    <row r="8" spans="1:14" ht="17.25" customHeight="1" thickBot="1" x14ac:dyDescent="0.25">
      <c r="A8" s="39" t="s">
        <v>18</v>
      </c>
      <c r="B8" s="36" t="s">
        <v>1</v>
      </c>
      <c r="C8" s="10"/>
      <c r="D8" s="10"/>
      <c r="E8" s="37">
        <v>1</v>
      </c>
      <c r="F8" s="55">
        <f>IF(Bid=0,"n/a",DGET(data,"Ref_hr1",_xlnm.Criteria)/IF(Result_type="Aggregate Impact",1,Bid/1000))</f>
        <v>289.03960000000001</v>
      </c>
      <c r="G8" s="55">
        <f t="shared" ref="G8:G31" si="0">IF(Bid=0,"n/a",F8-H8)</f>
        <v>293.02140100000003</v>
      </c>
      <c r="H8" s="55">
        <f>IF(Bid=0,"n/a",DGET(data,"Pctile50_hr1",_xlnm.Criteria)/IF(Result_type="Aggregate Impact",1,Bid/1000))</f>
        <v>-3.9818009999999999</v>
      </c>
      <c r="I8" s="55">
        <f>IF(Bid=0,"n/a",DGET(data,"Temp_hr1",_xlnm.Criteria))</f>
        <v>74.956599999999995</v>
      </c>
      <c r="J8" s="55">
        <f>IF(Bid=0,"n/a",DGET(data,"Pctile10_hr1",_xlnm.Criteria)/IF(Result_type="Aggregate Impact",1,Bid/1000))</f>
        <v>-5.6942000000000004</v>
      </c>
      <c r="K8" s="55">
        <f>IF(Bid=0,"n/a",DGET(data,"Pctile30_hr1",_xlnm.Criteria)/IF(Result_type="Aggregate Impact",1,Bid/1000))</f>
        <v>-4.6825010000000002</v>
      </c>
      <c r="L8" s="55">
        <f>H8</f>
        <v>-3.9818009999999999</v>
      </c>
      <c r="M8" s="55">
        <f>IF(Bid=0,"n/a",DGET(data,"Pctile70_hr1",_xlnm.Criteria)/IF(Result_type="Aggregate Impact",1,Bid/1000))</f>
        <v>-3.281101</v>
      </c>
      <c r="N8" s="55">
        <f>IF(Bid=0,"n/a",DGET(data,"Pctile90_hr1",_xlnm.Criteria)/IF(Result_type="Aggregate Impact",1,Bid/1000))</f>
        <v>-2.2694019999999999</v>
      </c>
    </row>
    <row r="9" spans="1:14" ht="17.25" customHeight="1" thickBot="1" x14ac:dyDescent="0.25">
      <c r="A9" s="38" t="s">
        <v>200</v>
      </c>
      <c r="B9" s="73" t="s">
        <v>1</v>
      </c>
      <c r="C9" s="12"/>
      <c r="D9" s="12"/>
      <c r="E9" s="37">
        <v>2</v>
      </c>
      <c r="F9" s="55">
        <f>IF(Bid=0,"n/a",DGET(data,"Ref_hr2",_xlnm.Criteria)/IF(Result_type="Aggregate Impact",1,Bid/1000))</f>
        <v>285.71120000000002</v>
      </c>
      <c r="G9" s="55">
        <f t="shared" si="0"/>
        <v>286.99270200000001</v>
      </c>
      <c r="H9" s="55">
        <f>IF(Bid=0,"n/a",DGET(data,"Pctile50_hr2",_xlnm.Criteria)/IF(Result_type="Aggregate Impact",1,Bid/1000))</f>
        <v>-1.2815019999999999</v>
      </c>
      <c r="I9" s="55">
        <f>IF(Bid=0,"n/a",DGET(data,"Temp_hr2",_xlnm.Criteria))</f>
        <v>74.080669999999998</v>
      </c>
      <c r="J9" s="55">
        <f>IF(Bid=0,"n/a",DGET(data,"Pctile10_hr2",_xlnm.Criteria)/IF(Result_type="Aggregate Impact",1,Bid/1000))</f>
        <v>-2.634538</v>
      </c>
      <c r="K9" s="55">
        <f>IF(Bid=0,"n/a",DGET(data,"Pctile30_hr2",_xlnm.Criteria)/IF(Result_type="Aggregate Impact",1,Bid/1000))</f>
        <v>-1.835153</v>
      </c>
      <c r="L9" s="55">
        <f t="shared" ref="L9:L31" si="1">H9</f>
        <v>-1.2815019999999999</v>
      </c>
      <c r="M9" s="55">
        <f>IF(Bid=0,"n/a",DGET(data,"Pctile70_hr2",_xlnm.Criteria)/IF(Result_type="Aggregate Impact",1,Bid/1000))</f>
        <v>-0.72785010000000006</v>
      </c>
      <c r="N9" s="55">
        <f>IF(Bid=0,"n/a",DGET(data,"Pctile90_hr2",_xlnm.Criteria)/IF(Result_type="Aggregate Impact",1,Bid/1000))</f>
        <v>7.1534700000000007E-2</v>
      </c>
    </row>
    <row r="10" spans="1:14" ht="17.25" customHeight="1" x14ac:dyDescent="0.2">
      <c r="C10" s="14"/>
      <c r="D10" s="14"/>
      <c r="E10" s="37">
        <v>3</v>
      </c>
      <c r="F10" s="55">
        <f>IF(Bid=0,"n/a",DGET(data,"Ref_hr3",_xlnm.Criteria)/IF(Result_type="Aggregate Impact",1,Bid/1000))</f>
        <v>283.70429999999999</v>
      </c>
      <c r="G10" s="55">
        <f t="shared" si="0"/>
        <v>283.96247269999998</v>
      </c>
      <c r="H10" s="55">
        <f>IF(Bid=0,"n/a",DGET(data,"Pctile50_hr3",_xlnm.Criteria)/IF(Result_type="Aggregate Impact",1,Bid/1000))</f>
        <v>-0.25817269999999998</v>
      </c>
      <c r="I10" s="55">
        <f>IF(Bid=0,"n/a",DGET(data,"Temp_hr3",_xlnm.Criteria))</f>
        <v>72.913340000000005</v>
      </c>
      <c r="J10" s="55">
        <f>IF(Bid=0,"n/a",DGET(data,"Pctile10_hr3",_xlnm.Criteria)/IF(Result_type="Aggregate Impact",1,Bid/1000))</f>
        <v>-1.4352929999999999</v>
      </c>
      <c r="K10" s="55">
        <f>IF(Bid=0,"n/a",DGET(data,"Pctile30_hr3",_xlnm.Criteria)/IF(Result_type="Aggregate Impact",1,Bid/1000))</f>
        <v>-0.73984079999999997</v>
      </c>
      <c r="L10" s="55">
        <f t="shared" si="1"/>
        <v>-0.25817269999999998</v>
      </c>
      <c r="M10" s="55">
        <f>IF(Bid=0,"n/a",DGET(data,"Pctile70_hr3",_xlnm.Criteria)/IF(Result_type="Aggregate Impact",1,Bid/1000))</f>
        <v>0.22349540000000001</v>
      </c>
      <c r="N10" s="55">
        <f>IF(Bid=0,"n/a",DGET(data,"Pctile90_hr3",_xlnm.Criteria)/IF(Result_type="Aggregate Impact",1,Bid/1000))</f>
        <v>0.91894759999999998</v>
      </c>
    </row>
    <row r="11" spans="1:14" ht="17.25" customHeight="1" x14ac:dyDescent="0.2">
      <c r="A11" s="54"/>
      <c r="B11" s="72"/>
      <c r="C11" s="15"/>
      <c r="D11" s="15"/>
      <c r="E11" s="37">
        <v>4</v>
      </c>
      <c r="F11" s="55">
        <f>IF(Bid=0,"n/a",DGET(data,"Ref_hr4",_xlnm.Criteria)/IF(Result_type="Aggregate Impact",1,Bid/1000))</f>
        <v>289.37470000000002</v>
      </c>
      <c r="G11" s="55">
        <f t="shared" si="0"/>
        <v>293.68462400000004</v>
      </c>
      <c r="H11" s="55">
        <f>IF(Bid=0,"n/a",DGET(data,"Pctile50_hr4",_xlnm.Criteria)/IF(Result_type="Aggregate Impact",1,Bid/1000))</f>
        <v>-4.3099239999999996</v>
      </c>
      <c r="I11" s="55">
        <f>IF(Bid=0,"n/a",DGET(data,"Temp_hr4",_xlnm.Criteria))</f>
        <v>71.084630000000004</v>
      </c>
      <c r="J11" s="55">
        <f>IF(Bid=0,"n/a",DGET(data,"Pctile10_hr4",_xlnm.Criteria)/IF(Result_type="Aggregate Impact",1,Bid/1000))</f>
        <v>-5.4795319999999998</v>
      </c>
      <c r="K11" s="55">
        <f>IF(Bid=0,"n/a",DGET(data,"Pctile30_hr4",_xlnm.Criteria)/IF(Result_type="Aggregate Impact",1,Bid/1000))</f>
        <v>-4.7885179999999998</v>
      </c>
      <c r="L11" s="55">
        <f t="shared" si="1"/>
        <v>-4.3099239999999996</v>
      </c>
      <c r="M11" s="55">
        <f>IF(Bid=0,"n/a",DGET(data,"Pctile70_hr4",_xlnm.Criteria)/IF(Result_type="Aggregate Impact",1,Bid/1000))</f>
        <v>-3.8313299999999999</v>
      </c>
      <c r="N11" s="55">
        <f>IF(Bid=0,"n/a",DGET(data,"Pctile90_hr4",_xlnm.Criteria)/IF(Result_type="Aggregate Impact",1,Bid/1000))</f>
        <v>-3.1403159999999999</v>
      </c>
    </row>
    <row r="12" spans="1:14" ht="17.25" customHeight="1" x14ac:dyDescent="0.2">
      <c r="C12" s="15"/>
      <c r="D12" s="15"/>
      <c r="E12" s="37">
        <v>5</v>
      </c>
      <c r="F12" s="55">
        <f>IF(Bid=0,"n/a",DGET(data,"Ref_hr5",_xlnm.Criteria)/IF(Result_type="Aggregate Impact",1,Bid/1000))</f>
        <v>297.89949999999999</v>
      </c>
      <c r="G12" s="55">
        <f t="shared" si="0"/>
        <v>300.71759399999996</v>
      </c>
      <c r="H12" s="55">
        <f>IF(Bid=0,"n/a",DGET(data,"Pctile50_hr5",_xlnm.Criteria)/IF(Result_type="Aggregate Impact",1,Bid/1000))</f>
        <v>-2.8180939999999999</v>
      </c>
      <c r="I12" s="55">
        <f>IF(Bid=0,"n/a",DGET(data,"Temp_hr5",_xlnm.Criteria))</f>
        <v>70.071259999999995</v>
      </c>
      <c r="J12" s="55">
        <f>IF(Bid=0,"n/a",DGET(data,"Pctile10_hr5",_xlnm.Criteria)/IF(Result_type="Aggregate Impact",1,Bid/1000))</f>
        <v>-4.067329</v>
      </c>
      <c r="K12" s="55">
        <f>IF(Bid=0,"n/a",DGET(data,"Pctile30_hr5",_xlnm.Criteria)/IF(Result_type="Aggregate Impact",1,Bid/1000))</f>
        <v>-3.3292709999999999</v>
      </c>
      <c r="L12" s="55">
        <f t="shared" si="1"/>
        <v>-2.8180939999999999</v>
      </c>
      <c r="M12" s="55">
        <f>IF(Bid=0,"n/a",DGET(data,"Pctile70_hr5",_xlnm.Criteria)/IF(Result_type="Aggregate Impact",1,Bid/1000))</f>
        <v>-2.306918</v>
      </c>
      <c r="N12" s="55">
        <f>IF(Bid=0,"n/a",DGET(data,"Pctile90_hr5",_xlnm.Criteria)/IF(Result_type="Aggregate Impact",1,Bid/1000))</f>
        <v>-1.5688599999999999</v>
      </c>
    </row>
    <row r="13" spans="1:14" ht="17.25" customHeight="1" x14ac:dyDescent="0.2">
      <c r="D13" s="5"/>
      <c r="E13" s="37">
        <v>6</v>
      </c>
      <c r="F13" s="55">
        <f>IF(Bid=0,"n/a",DGET(data,"Ref_hr6",_xlnm.Criteria)/IF(Result_type="Aggregate Impact",1,Bid/1000))</f>
        <v>313.0351</v>
      </c>
      <c r="G13" s="55">
        <f t="shared" si="0"/>
        <v>319.25039400000003</v>
      </c>
      <c r="H13" s="55">
        <f>IF(Bid=0,"n/a",DGET(data,"Pctile50_hr6",_xlnm.Criteria)/IF(Result_type="Aggregate Impact",1,Bid/1000))</f>
        <v>-6.2152940000000001</v>
      </c>
      <c r="I13" s="55">
        <f>IF(Bid=0,"n/a",DGET(data,"Temp_hr6",_xlnm.Criteria))</f>
        <v>69.247230000000002</v>
      </c>
      <c r="J13" s="55">
        <f>IF(Bid=0,"n/a",DGET(data,"Pctile10_hr6",_xlnm.Criteria)/IF(Result_type="Aggregate Impact",1,Bid/1000))</f>
        <v>-7.4834990000000001</v>
      </c>
      <c r="K13" s="55">
        <f>IF(Bid=0,"n/a",DGET(data,"Pctile30_hr6",_xlnm.Criteria)/IF(Result_type="Aggregate Impact",1,Bid/1000))</f>
        <v>-6.7342329999999997</v>
      </c>
      <c r="L13" s="55">
        <f t="shared" si="1"/>
        <v>-6.2152940000000001</v>
      </c>
      <c r="M13" s="55">
        <f>IF(Bid=0,"n/a",DGET(data,"Pctile70_hr6",_xlnm.Criteria)/IF(Result_type="Aggregate Impact",1,Bid/1000))</f>
        <v>-5.6963549999999996</v>
      </c>
      <c r="N13" s="55">
        <f>IF(Bid=0,"n/a",DGET(data,"Pctile90_hr6",_xlnm.Criteria)/IF(Result_type="Aggregate Impact",1,Bid/1000))</f>
        <v>-4.9470890000000001</v>
      </c>
    </row>
    <row r="14" spans="1:14" ht="16.5" x14ac:dyDescent="0.2">
      <c r="D14" s="5"/>
      <c r="E14" s="37">
        <v>7</v>
      </c>
      <c r="F14" s="55">
        <f>IF(Bid=0,"n/a",DGET(data,"Ref_hr7",_xlnm.Criteria)/IF(Result_type="Aggregate Impact",1,Bid/1000))</f>
        <v>332.5333</v>
      </c>
      <c r="G14" s="55">
        <f t="shared" si="0"/>
        <v>336.77378099999999</v>
      </c>
      <c r="H14" s="55">
        <f>IF(Bid=0,"n/a",DGET(data,"Pctile50_hr7",_xlnm.Criteria)/IF(Result_type="Aggregate Impact",1,Bid/1000))</f>
        <v>-4.2404809999999999</v>
      </c>
      <c r="I14" s="55">
        <f>IF(Bid=0,"n/a",DGET(data,"Temp_hr7",_xlnm.Criteria))</f>
        <v>68.895880000000005</v>
      </c>
      <c r="J14" s="55">
        <f>IF(Bid=0,"n/a",DGET(data,"Pctile10_hr7",_xlnm.Criteria)/IF(Result_type="Aggregate Impact",1,Bid/1000))</f>
        <v>-5.4513319999999998</v>
      </c>
      <c r="K14" s="55">
        <f>IF(Bid=0,"n/a",DGET(data,"Pctile30_hr7",_xlnm.Criteria)/IF(Result_type="Aggregate Impact",1,Bid/1000))</f>
        <v>-4.735951</v>
      </c>
      <c r="L14" s="55">
        <f t="shared" si="1"/>
        <v>-4.2404809999999999</v>
      </c>
      <c r="M14" s="55">
        <f>IF(Bid=0,"n/a",DGET(data,"Pctile70_hr7",_xlnm.Criteria)/IF(Result_type="Aggregate Impact",1,Bid/1000))</f>
        <v>-3.7450100000000002</v>
      </c>
      <c r="N14" s="55">
        <f>IF(Bid=0,"n/a",DGET(data,"Pctile90_hr7",_xlnm.Criteria)/IF(Result_type="Aggregate Impact",1,Bid/1000))</f>
        <v>-3.02963</v>
      </c>
    </row>
    <row r="15" spans="1:14" ht="16.5" x14ac:dyDescent="0.2">
      <c r="A15" s="16"/>
      <c r="C15" s="5"/>
      <c r="D15" s="5"/>
      <c r="E15" s="37">
        <v>8</v>
      </c>
      <c r="F15" s="55">
        <f>IF(Bid=0,"n/a",DGET(data,"Ref_hr8",_xlnm.Criteria)/IF(Result_type="Aggregate Impact",1,Bid/1000))</f>
        <v>335.57810000000001</v>
      </c>
      <c r="G15" s="55">
        <f t="shared" si="0"/>
        <v>337.17445200000003</v>
      </c>
      <c r="H15" s="55">
        <f>IF(Bid=0,"n/a",DGET(data,"Pctile50_hr8",_xlnm.Criteria)/IF(Result_type="Aggregate Impact",1,Bid/1000))</f>
        <v>-1.596352</v>
      </c>
      <c r="I15" s="55">
        <f>IF(Bid=0,"n/a",DGET(data,"Temp_hr8",_xlnm.Criteria))</f>
        <v>70.398929999999993</v>
      </c>
      <c r="J15" s="55">
        <f>IF(Bid=0,"n/a",DGET(data,"Pctile10_hr8",_xlnm.Criteria)/IF(Result_type="Aggregate Impact",1,Bid/1000))</f>
        <v>-2.9203199999999998</v>
      </c>
      <c r="K15" s="55">
        <f>IF(Bid=0,"n/a",DGET(data,"Pctile30_hr8",_xlnm.Criteria)/IF(Result_type="Aggregate Impact",1,Bid/1000))</f>
        <v>-2.138109</v>
      </c>
      <c r="L15" s="55">
        <f t="shared" si="1"/>
        <v>-1.596352</v>
      </c>
      <c r="M15" s="55">
        <f>IF(Bid=0,"n/a",DGET(data,"Pctile70_hr8",_xlnm.Criteria)/IF(Result_type="Aggregate Impact",1,Bid/1000))</f>
        <v>-1.0545960000000001</v>
      </c>
      <c r="N15" s="55">
        <f>IF(Bid=0,"n/a",DGET(data,"Pctile90_hr8",_xlnm.Criteria)/IF(Result_type="Aggregate Impact",1,Bid/1000))</f>
        <v>-0.27238489999999999</v>
      </c>
    </row>
    <row r="16" spans="1:14" ht="16.5" x14ac:dyDescent="0.2">
      <c r="C16" s="5"/>
      <c r="D16" s="5"/>
      <c r="E16" s="37">
        <v>9</v>
      </c>
      <c r="F16" s="55">
        <f>IF(Bid=0,"n/a",DGET(data,"Ref_hr9",_xlnm.Criteria)/IF(Result_type="Aggregate Impact",1,Bid/1000))</f>
        <v>338.29059999999998</v>
      </c>
      <c r="G16" s="55">
        <f t="shared" si="0"/>
        <v>333.12323599999996</v>
      </c>
      <c r="H16" s="55">
        <f>IF(Bid=0,"n/a",DGET(data,"Pctile50_hr9",_xlnm.Criteria)/IF(Result_type="Aggregate Impact",1,Bid/1000))</f>
        <v>5.1673640000000001</v>
      </c>
      <c r="I16" s="55">
        <f>IF(Bid=0,"n/a",DGET(data,"Temp_hr9",_xlnm.Criteria))</f>
        <v>73.446680000000001</v>
      </c>
      <c r="J16" s="55">
        <f>IF(Bid=0,"n/a",DGET(data,"Pctile10_hr9",_xlnm.Criteria)/IF(Result_type="Aggregate Impact",1,Bid/1000))</f>
        <v>3.5096509999999999</v>
      </c>
      <c r="K16" s="55">
        <f>IF(Bid=0,"n/a",DGET(data,"Pctile30_hr9",_xlnm.Criteria)/IF(Result_type="Aggregate Impact",1,Bid/1000))</f>
        <v>4.4890410000000003</v>
      </c>
      <c r="L16" s="55">
        <f t="shared" si="1"/>
        <v>5.1673640000000001</v>
      </c>
      <c r="M16" s="55">
        <f>IF(Bid=0,"n/a",DGET(data,"Pctile70_hr9",_xlnm.Criteria)/IF(Result_type="Aggregate Impact",1,Bid/1000))</f>
        <v>5.8456869999999999</v>
      </c>
      <c r="N16" s="55">
        <f>IF(Bid=0,"n/a",DGET(data,"Pctile90_hr9",_xlnm.Criteria)/IF(Result_type="Aggregate Impact",1,Bid/1000))</f>
        <v>6.8250770000000003</v>
      </c>
    </row>
    <row r="17" spans="3:23" ht="16.5" x14ac:dyDescent="0.2">
      <c r="C17" s="5"/>
      <c r="D17" s="5"/>
      <c r="E17" s="37">
        <v>10</v>
      </c>
      <c r="F17" s="55">
        <f>IF(Bid=0,"n/a",DGET(data,"Ref_hr10",_xlnm.Criteria)/IF(Result_type="Aggregate Impact",1,Bid/1000))</f>
        <v>338.07589999999999</v>
      </c>
      <c r="G17" s="55">
        <f t="shared" si="0"/>
        <v>334.52798000000001</v>
      </c>
      <c r="H17" s="55">
        <f>IF(Bid=0,"n/a",DGET(data,"Pctile50_hr10",_xlnm.Criteria)/IF(Result_type="Aggregate Impact",1,Bid/1000))</f>
        <v>3.54792</v>
      </c>
      <c r="I17" s="55">
        <f>IF(Bid=0,"n/a",DGET(data,"Temp_hr10",_xlnm.Criteria))</f>
        <v>76.592709999999997</v>
      </c>
      <c r="J17" s="55">
        <f>IF(Bid=0,"n/a",DGET(data,"Pctile10_hr10",_xlnm.Criteria)/IF(Result_type="Aggregate Impact",1,Bid/1000))</f>
        <v>1.7230700000000001</v>
      </c>
      <c r="K17" s="55">
        <f>IF(Bid=0,"n/a",DGET(data,"Pctile30_hr10",_xlnm.Criteria)/IF(Result_type="Aggregate Impact",1,Bid/1000))</f>
        <v>2.8012060000000001</v>
      </c>
      <c r="L17" s="55">
        <f t="shared" si="1"/>
        <v>3.54792</v>
      </c>
      <c r="M17" s="55">
        <f>IF(Bid=0,"n/a",DGET(data,"Pctile70_hr10",_xlnm.Criteria)/IF(Result_type="Aggregate Impact",1,Bid/1000))</f>
        <v>4.2946340000000003</v>
      </c>
      <c r="N17" s="55">
        <f>IF(Bid=0,"n/a",DGET(data,"Pctile90_hr10",_xlnm.Criteria)/IF(Result_type="Aggregate Impact",1,Bid/1000))</f>
        <v>5.37277</v>
      </c>
    </row>
    <row r="18" spans="3:23" ht="16.5" x14ac:dyDescent="0.2">
      <c r="C18" s="5"/>
      <c r="D18" s="5"/>
      <c r="E18" s="37">
        <v>11</v>
      </c>
      <c r="F18" s="55">
        <f>IF(Bid=0,"n/a",DGET(data,"Ref_hr11",_xlnm.Criteria)/IF(Result_type="Aggregate Impact",1,Bid/1000))</f>
        <v>335.28649999999999</v>
      </c>
      <c r="G18" s="55">
        <f t="shared" si="0"/>
        <v>331.714316</v>
      </c>
      <c r="H18" s="55">
        <f>IF(Bid=0,"n/a",DGET(data,"Pctile50_hr11",_xlnm.Criteria)/IF(Result_type="Aggregate Impact",1,Bid/1000))</f>
        <v>3.572184</v>
      </c>
      <c r="I18" s="55">
        <f>IF(Bid=0,"n/a",DGET(data,"Temp_hr11",_xlnm.Criteria))</f>
        <v>79.85915</v>
      </c>
      <c r="J18" s="55">
        <f>IF(Bid=0,"n/a",DGET(data,"Pctile10_hr11",_xlnm.Criteria)/IF(Result_type="Aggregate Impact",1,Bid/1000))</f>
        <v>1.4608490000000001</v>
      </c>
      <c r="K18" s="55">
        <f>IF(Bid=0,"n/a",DGET(data,"Pctile30_hr11",_xlnm.Criteria)/IF(Result_type="Aggregate Impact",1,Bid/1000))</f>
        <v>2.708243</v>
      </c>
      <c r="L18" s="55">
        <f t="shared" si="1"/>
        <v>3.572184</v>
      </c>
      <c r="M18" s="55">
        <f>IF(Bid=0,"n/a",DGET(data,"Pctile70_hr11",_xlnm.Criteria)/IF(Result_type="Aggregate Impact",1,Bid/1000))</f>
        <v>4.4361249999999997</v>
      </c>
      <c r="N18" s="55">
        <f>IF(Bid=0,"n/a",DGET(data,"Pctile90_hr11",_xlnm.Criteria)/IF(Result_type="Aggregate Impact",1,Bid/1000))</f>
        <v>5.6835180000000003</v>
      </c>
      <c r="S18" s="41"/>
      <c r="T18" s="41"/>
      <c r="U18" s="41"/>
      <c r="V18" s="41"/>
      <c r="W18" s="41"/>
    </row>
    <row r="19" spans="3:23" ht="16.5" x14ac:dyDescent="0.2">
      <c r="C19" s="5"/>
      <c r="D19" s="5"/>
      <c r="E19" s="37">
        <v>12</v>
      </c>
      <c r="F19" s="55">
        <f>IF(Bid=0,"n/a",DGET(data,"Ref_hr12",_xlnm.Criteria)/IF(Result_type="Aggregate Impact",1,Bid/1000))</f>
        <v>326.97309999999999</v>
      </c>
      <c r="G19" s="55">
        <f t="shared" si="0"/>
        <v>329.465237</v>
      </c>
      <c r="H19" s="55">
        <f>IF(Bid=0,"n/a",DGET(data,"Pctile50_hr12",_xlnm.Criteria)/IF(Result_type="Aggregate Impact",1,Bid/1000))</f>
        <v>-2.492137</v>
      </c>
      <c r="I19" s="55">
        <f>IF(Bid=0,"n/a",DGET(data,"Temp_hr12",_xlnm.Criteria))</f>
        <v>83.288780000000003</v>
      </c>
      <c r="J19" s="55">
        <f>IF(Bid=0,"n/a",DGET(data,"Pctile10_hr12",_xlnm.Criteria)/IF(Result_type="Aggregate Impact",1,Bid/1000))</f>
        <v>-4.5088210000000002</v>
      </c>
      <c r="K19" s="55">
        <f>IF(Bid=0,"n/a",DGET(data,"Pctile30_hr12",_xlnm.Criteria)/IF(Result_type="Aggregate Impact",1,Bid/1000))</f>
        <v>-3.317348</v>
      </c>
      <c r="L19" s="55">
        <f t="shared" si="1"/>
        <v>-2.492137</v>
      </c>
      <c r="M19" s="55">
        <f>IF(Bid=0,"n/a",DGET(data,"Pctile70_hr12",_xlnm.Criteria)/IF(Result_type="Aggregate Impact",1,Bid/1000))</f>
        <v>-1.6669259999999999</v>
      </c>
      <c r="N19" s="55">
        <f>IF(Bid=0,"n/a",DGET(data,"Pctile90_hr12",_xlnm.Criteria)/IF(Result_type="Aggregate Impact",1,Bid/1000))</f>
        <v>-0.47545290000000001</v>
      </c>
      <c r="S19" s="41"/>
      <c r="T19" s="41"/>
      <c r="U19" s="41"/>
      <c r="V19" s="41"/>
      <c r="W19" s="41"/>
    </row>
    <row r="20" spans="3:23" ht="16.5" x14ac:dyDescent="0.2">
      <c r="C20" s="5"/>
      <c r="D20" s="5"/>
      <c r="E20" s="37">
        <v>13</v>
      </c>
      <c r="F20" s="55">
        <f>IF(Bid=0,"n/a",DGET(data,"Ref_hr13",_xlnm.Criteria)/IF(Result_type="Aggregate Impact",1,Bid/1000))</f>
        <v>317.41430000000003</v>
      </c>
      <c r="G20" s="55">
        <f t="shared" si="0"/>
        <v>320.65616600000004</v>
      </c>
      <c r="H20" s="55">
        <f>IF(Bid=0,"n/a",DGET(data,"Pctile50_hr13",_xlnm.Criteria)/IF(Result_type="Aggregate Impact",1,Bid/1000))</f>
        <v>-3.2418659999999999</v>
      </c>
      <c r="I20" s="55">
        <f>IF(Bid=0,"n/a",DGET(data,"Temp_hr13",_xlnm.Criteria))</f>
        <v>86.714389999999995</v>
      </c>
      <c r="J20" s="55">
        <f>IF(Bid=0,"n/a",DGET(data,"Pctile10_hr13",_xlnm.Criteria)/IF(Result_type="Aggregate Impact",1,Bid/1000))</f>
        <v>-5.1215739999999998</v>
      </c>
      <c r="K20" s="55">
        <f>IF(Bid=0,"n/a",DGET(data,"Pctile30_hr13",_xlnm.Criteria)/IF(Result_type="Aggregate Impact",1,Bid/1000))</f>
        <v>-4.0110270000000003</v>
      </c>
      <c r="L20" s="55">
        <f t="shared" si="1"/>
        <v>-3.2418659999999999</v>
      </c>
      <c r="M20" s="55">
        <f>IF(Bid=0,"n/a",DGET(data,"Pctile70_hr13",_xlnm.Criteria)/IF(Result_type="Aggregate Impact",1,Bid/1000))</f>
        <v>-2.4727039999999998</v>
      </c>
      <c r="N20" s="55">
        <f>IF(Bid=0,"n/a",DGET(data,"Pctile90_hr13",_xlnm.Criteria)/IF(Result_type="Aggregate Impact",1,Bid/1000))</f>
        <v>-1.362158</v>
      </c>
      <c r="S20" s="41"/>
      <c r="T20" s="41"/>
      <c r="U20" s="41"/>
      <c r="V20" s="41"/>
      <c r="W20" s="41"/>
    </row>
    <row r="21" spans="3:23" ht="16.5" x14ac:dyDescent="0.2">
      <c r="C21" s="5"/>
      <c r="D21" s="5"/>
      <c r="E21" s="37">
        <v>14</v>
      </c>
      <c r="F21" s="55">
        <f>IF(Bid=0,"n/a",DGET(data,"Ref_hr14",_xlnm.Criteria)/IF(Result_type="Aggregate Impact",1,Bid/1000))</f>
        <v>314.73660000000001</v>
      </c>
      <c r="G21" s="55">
        <f t="shared" si="0"/>
        <v>317.97927099999998</v>
      </c>
      <c r="H21" s="55">
        <f>IF(Bid=0,"n/a",DGET(data,"Pctile50_hr14",_xlnm.Criteria)/IF(Result_type="Aggregate Impact",1,Bid/1000))</f>
        <v>-3.2426710000000001</v>
      </c>
      <c r="I21" s="55">
        <f>IF(Bid=0,"n/a",DGET(data,"Temp_hr14",_xlnm.Criteria))</f>
        <v>89.192149999999998</v>
      </c>
      <c r="J21" s="55">
        <f>IF(Bid=0,"n/a",DGET(data,"Pctile10_hr14",_xlnm.Criteria)/IF(Result_type="Aggregate Impact",1,Bid/1000))</f>
        <v>-5.1643109999999997</v>
      </c>
      <c r="K21" s="55">
        <f>IF(Bid=0,"n/a",DGET(data,"Pctile30_hr14",_xlnm.Criteria)/IF(Result_type="Aggregate Impact",1,Bid/1000))</f>
        <v>-4.0289900000000003</v>
      </c>
      <c r="L21" s="55">
        <f t="shared" si="1"/>
        <v>-3.2426710000000001</v>
      </c>
      <c r="M21" s="55">
        <f>IF(Bid=0,"n/a",DGET(data,"Pctile70_hr14",_xlnm.Criteria)/IF(Result_type="Aggregate Impact",1,Bid/1000))</f>
        <v>-2.4563510000000002</v>
      </c>
      <c r="N21" s="55">
        <f>IF(Bid=0,"n/a",DGET(data,"Pctile90_hr14",_xlnm.Criteria)/IF(Result_type="Aggregate Impact",1,Bid/1000))</f>
        <v>-1.3210310000000001</v>
      </c>
      <c r="S21" s="41"/>
      <c r="T21" s="41"/>
      <c r="U21" s="41"/>
      <c r="V21" s="41"/>
      <c r="W21" s="41"/>
    </row>
    <row r="22" spans="3:23" ht="16.5" x14ac:dyDescent="0.2">
      <c r="C22" s="5"/>
      <c r="D22" s="5"/>
      <c r="E22" s="37">
        <v>15</v>
      </c>
      <c r="F22" s="55">
        <f>IF(Bid=0,"n/a",DGET(data,"Ref_hr15",_xlnm.Criteria)/IF(Result_type="Aggregate Impact",1,Bid/1000))</f>
        <v>304.76060000000001</v>
      </c>
      <c r="G22" s="55">
        <f t="shared" si="0"/>
        <v>226.41403000000003</v>
      </c>
      <c r="H22" s="55">
        <f>IF(Bid=0,"n/a",DGET(data,"Pctile50_hr15",_xlnm.Criteria)/IF(Result_type="Aggregate Impact",1,Bid/1000))</f>
        <v>78.34657</v>
      </c>
      <c r="I22" s="55">
        <f>IF(Bid=0,"n/a",DGET(data,"Temp_hr15",_xlnm.Criteria))</f>
        <v>90.344179999999994</v>
      </c>
      <c r="J22" s="55">
        <f>IF(Bid=0,"n/a",DGET(data,"Pctile10_hr15",_xlnm.Criteria)/IF(Result_type="Aggregate Impact",1,Bid/1000))</f>
        <v>76.309880000000007</v>
      </c>
      <c r="K22" s="55">
        <f>IF(Bid=0,"n/a",DGET(data,"Pctile30_hr15",_xlnm.Criteria)/IF(Result_type="Aggregate Impact",1,Bid/1000))</f>
        <v>77.513180000000006</v>
      </c>
      <c r="L22" s="55">
        <f t="shared" si="1"/>
        <v>78.34657</v>
      </c>
      <c r="M22" s="55">
        <f>IF(Bid=0,"n/a",DGET(data,"Pctile70_hr15",_xlnm.Criteria)/IF(Result_type="Aggregate Impact",1,Bid/1000))</f>
        <v>79.179969999999997</v>
      </c>
      <c r="N22" s="55">
        <f>IF(Bid=0,"n/a",DGET(data,"Pctile90_hr15",_xlnm.Criteria)/IF(Result_type="Aggregate Impact",1,Bid/1000))</f>
        <v>80.383260000000007</v>
      </c>
      <c r="S22" s="41"/>
      <c r="T22" s="41"/>
      <c r="U22" s="41"/>
      <c r="V22" s="41"/>
      <c r="W22" s="41"/>
    </row>
    <row r="23" spans="3:23" ht="16.5" x14ac:dyDescent="0.2">
      <c r="C23" s="5"/>
      <c r="D23" s="5"/>
      <c r="E23" s="37">
        <v>16</v>
      </c>
      <c r="F23" s="55">
        <f>IF(Bid=0,"n/a",DGET(data,"Ref_hr16",_xlnm.Criteria)/IF(Result_type="Aggregate Impact",1,Bid/1000))</f>
        <v>295.35359999999997</v>
      </c>
      <c r="G23" s="55">
        <f t="shared" si="0"/>
        <v>45.447699999999969</v>
      </c>
      <c r="H23" s="55">
        <f>IF(Bid=0,"n/a",DGET(data,"Pctile50_hr16",_xlnm.Criteria)/IF(Result_type="Aggregate Impact",1,Bid/1000))</f>
        <v>249.9059</v>
      </c>
      <c r="I23" s="55">
        <f>IF(Bid=0,"n/a",DGET(data,"Temp_hr16",_xlnm.Criteria))</f>
        <v>90.362520000000004</v>
      </c>
      <c r="J23" s="55">
        <f>IF(Bid=0,"n/a",DGET(data,"Pctile10_hr16",_xlnm.Criteria)/IF(Result_type="Aggregate Impact",1,Bid/1000))</f>
        <v>247.8699</v>
      </c>
      <c r="K23" s="55">
        <f>IF(Bid=0,"n/a",DGET(data,"Pctile30_hr16",_xlnm.Criteria)/IF(Result_type="Aggregate Impact",1,Bid/1000))</f>
        <v>249.0728</v>
      </c>
      <c r="L23" s="55">
        <f t="shared" si="1"/>
        <v>249.9059</v>
      </c>
      <c r="M23" s="55">
        <f>IF(Bid=0,"n/a",DGET(data,"Pctile70_hr16",_xlnm.Criteria)/IF(Result_type="Aggregate Impact",1,Bid/1000))</f>
        <v>250.739</v>
      </c>
      <c r="N23" s="55">
        <f>IF(Bid=0,"n/a",DGET(data,"Pctile90_hr16",_xlnm.Criteria)/IF(Result_type="Aggregate Impact",1,Bid/1000))</f>
        <v>251.9418</v>
      </c>
      <c r="S23" s="41"/>
      <c r="T23" s="41"/>
      <c r="U23" s="41"/>
      <c r="V23" s="41"/>
      <c r="W23" s="41"/>
    </row>
    <row r="24" spans="3:23" ht="16.5" x14ac:dyDescent="0.2">
      <c r="C24" s="5"/>
      <c r="D24" s="5"/>
      <c r="E24" s="37">
        <v>17</v>
      </c>
      <c r="F24" s="55">
        <f>IF(Bid=0,"n/a",DGET(data,"Ref_hr17",_xlnm.Criteria)/IF(Result_type="Aggregate Impact",1,Bid/1000))</f>
        <v>291.53660000000002</v>
      </c>
      <c r="G24" s="55">
        <f t="shared" si="0"/>
        <v>46.121000000000009</v>
      </c>
      <c r="H24" s="55">
        <f>IF(Bid=0,"n/a",DGET(data,"Pctile50_hr17",_xlnm.Criteria)/IF(Result_type="Aggregate Impact",1,Bid/1000))</f>
        <v>245.41560000000001</v>
      </c>
      <c r="I24" s="55">
        <f>IF(Bid=0,"n/a",DGET(data,"Temp_hr17",_xlnm.Criteria))</f>
        <v>90.567139999999995</v>
      </c>
      <c r="J24" s="55">
        <f>IF(Bid=0,"n/a",DGET(data,"Pctile10_hr17",_xlnm.Criteria)/IF(Result_type="Aggregate Impact",1,Bid/1000))</f>
        <v>243.273</v>
      </c>
      <c r="K24" s="55">
        <f>IF(Bid=0,"n/a",DGET(data,"Pctile30_hr17",_xlnm.Criteria)/IF(Result_type="Aggregate Impact",1,Bid/1000))</f>
        <v>244.53880000000001</v>
      </c>
      <c r="L24" s="55">
        <f t="shared" si="1"/>
        <v>245.41560000000001</v>
      </c>
      <c r="M24" s="55">
        <f>IF(Bid=0,"n/a",DGET(data,"Pctile70_hr17",_xlnm.Criteria)/IF(Result_type="Aggregate Impact",1,Bid/1000))</f>
        <v>246.29230000000001</v>
      </c>
      <c r="N24" s="55">
        <f>IF(Bid=0,"n/a",DGET(data,"Pctile90_hr17",_xlnm.Criteria)/IF(Result_type="Aggregate Impact",1,Bid/1000))</f>
        <v>247.5582</v>
      </c>
      <c r="S24" s="41"/>
      <c r="T24" s="41"/>
      <c r="U24" s="41"/>
      <c r="V24" s="41"/>
      <c r="W24" s="41"/>
    </row>
    <row r="25" spans="3:23" ht="16.5" x14ac:dyDescent="0.2">
      <c r="C25" s="5"/>
      <c r="D25" s="5"/>
      <c r="E25" s="37">
        <v>18</v>
      </c>
      <c r="F25" s="55">
        <f>IF(Bid=0,"n/a",DGET(data,"Ref_hr18",_xlnm.Criteria)/IF(Result_type="Aggregate Impact",1,Bid/1000))</f>
        <v>287.6105</v>
      </c>
      <c r="G25" s="55">
        <f t="shared" si="0"/>
        <v>46.487899999999996</v>
      </c>
      <c r="H25" s="55">
        <f>IF(Bid=0,"n/a",DGET(data,"Pctile50_hr18",_xlnm.Criteria)/IF(Result_type="Aggregate Impact",1,Bid/1000))</f>
        <v>241.12260000000001</v>
      </c>
      <c r="I25" s="55">
        <f>IF(Bid=0,"n/a",DGET(data,"Temp_hr18",_xlnm.Criteria))</f>
        <v>89.764279999999999</v>
      </c>
      <c r="J25" s="55">
        <f>IF(Bid=0,"n/a",DGET(data,"Pctile10_hr18",_xlnm.Criteria)/IF(Result_type="Aggregate Impact",1,Bid/1000))</f>
        <v>238.97880000000001</v>
      </c>
      <c r="K25" s="55">
        <f>IF(Bid=0,"n/a",DGET(data,"Pctile30_hr18",_xlnm.Criteria)/IF(Result_type="Aggregate Impact",1,Bid/1000))</f>
        <v>240.24539999999999</v>
      </c>
      <c r="L25" s="55">
        <f t="shared" si="1"/>
        <v>241.12260000000001</v>
      </c>
      <c r="M25" s="55">
        <f>IF(Bid=0,"n/a",DGET(data,"Pctile70_hr18",_xlnm.Criteria)/IF(Result_type="Aggregate Impact",1,Bid/1000))</f>
        <v>241.99979999999999</v>
      </c>
      <c r="N25" s="55">
        <f>IF(Bid=0,"n/a",DGET(data,"Pctile90_hr18",_xlnm.Criteria)/IF(Result_type="Aggregate Impact",1,Bid/1000))</f>
        <v>243.2663</v>
      </c>
      <c r="S25" s="41"/>
      <c r="T25" s="41"/>
      <c r="U25" s="41"/>
      <c r="V25" s="41"/>
      <c r="W25" s="41"/>
    </row>
    <row r="26" spans="3:23" ht="16.5" x14ac:dyDescent="0.2">
      <c r="C26" s="5"/>
      <c r="D26" s="5"/>
      <c r="E26" s="37">
        <v>19</v>
      </c>
      <c r="F26" s="55">
        <f>IF(Bid=0,"n/a",DGET(data,"Ref_hr19",_xlnm.Criteria)/IF(Result_type="Aggregate Impact",1,Bid/1000))</f>
        <v>295.27530000000002</v>
      </c>
      <c r="G26" s="55">
        <f t="shared" si="0"/>
        <v>46.89100000000002</v>
      </c>
      <c r="H26" s="55">
        <f>IF(Bid=0,"n/a",DGET(data,"Pctile50_hr19",_xlnm.Criteria)/IF(Result_type="Aggregate Impact",1,Bid/1000))</f>
        <v>248.3843</v>
      </c>
      <c r="I26" s="55">
        <f>IF(Bid=0,"n/a",DGET(data,"Temp_hr19",_xlnm.Criteria))</f>
        <v>88.082750000000004</v>
      </c>
      <c r="J26" s="55">
        <f>IF(Bid=0,"n/a",DGET(data,"Pctile10_hr19",_xlnm.Criteria)/IF(Result_type="Aggregate Impact",1,Bid/1000))</f>
        <v>246.209</v>
      </c>
      <c r="K26" s="55">
        <f>IF(Bid=0,"n/a",DGET(data,"Pctile30_hr19",_xlnm.Criteria)/IF(Result_type="Aggregate Impact",1,Bid/1000))</f>
        <v>247.49420000000001</v>
      </c>
      <c r="L26" s="55">
        <f t="shared" si="1"/>
        <v>248.3843</v>
      </c>
      <c r="M26" s="55">
        <f>IF(Bid=0,"n/a",DGET(data,"Pctile70_hr19",_xlnm.Criteria)/IF(Result_type="Aggregate Impact",1,Bid/1000))</f>
        <v>249.27449999999999</v>
      </c>
      <c r="N26" s="55">
        <f>IF(Bid=0,"n/a",DGET(data,"Pctile90_hr19",_xlnm.Criteria)/IF(Result_type="Aggregate Impact",1,Bid/1000))</f>
        <v>250.55969999999999</v>
      </c>
      <c r="S26" s="41"/>
      <c r="T26" s="41"/>
      <c r="U26" s="41"/>
      <c r="V26" s="41"/>
      <c r="W26" s="41"/>
    </row>
    <row r="27" spans="3:23" ht="16.5" x14ac:dyDescent="0.2">
      <c r="C27" s="5"/>
      <c r="D27" s="5"/>
      <c r="E27" s="37">
        <v>20</v>
      </c>
      <c r="F27" s="55">
        <f>IF(Bid=0,"n/a",DGET(data,"Ref_hr20",_xlnm.Criteria)/IF(Result_type="Aggregate Impact",1,Bid/1000))</f>
        <v>301.09410000000003</v>
      </c>
      <c r="G27" s="55">
        <f t="shared" si="0"/>
        <v>159.56540000000004</v>
      </c>
      <c r="H27" s="55">
        <f>IF(Bid=0,"n/a",DGET(data,"Pctile50_hr20",_xlnm.Criteria)/IF(Result_type="Aggregate Impact",1,Bid/1000))</f>
        <v>141.52869999999999</v>
      </c>
      <c r="I27" s="55">
        <f>IF(Bid=0,"n/a",DGET(data,"Temp_hr20",_xlnm.Criteria))</f>
        <v>84.169420000000002</v>
      </c>
      <c r="J27" s="55">
        <f>IF(Bid=0,"n/a",DGET(data,"Pctile10_hr20",_xlnm.Criteria)/IF(Result_type="Aggregate Impact",1,Bid/1000))</f>
        <v>139.364</v>
      </c>
      <c r="K27" s="55">
        <f>IF(Bid=0,"n/a",DGET(data,"Pctile30_hr20",_xlnm.Criteria)/IF(Result_type="Aggregate Impact",1,Bid/1000))</f>
        <v>140.6429</v>
      </c>
      <c r="L27" s="55">
        <f t="shared" si="1"/>
        <v>141.52869999999999</v>
      </c>
      <c r="M27" s="55">
        <f>IF(Bid=0,"n/a",DGET(data,"Pctile70_hr20",_xlnm.Criteria)/IF(Result_type="Aggregate Impact",1,Bid/1000))</f>
        <v>142.4144</v>
      </c>
      <c r="N27" s="55">
        <f>IF(Bid=0,"n/a",DGET(data,"Pctile90_hr20",_xlnm.Criteria)/IF(Result_type="Aggregate Impact",1,Bid/1000))</f>
        <v>143.69329999999999</v>
      </c>
      <c r="S27" s="41"/>
      <c r="T27" s="41"/>
      <c r="U27" s="41"/>
      <c r="V27" s="41"/>
      <c r="W27" s="41"/>
    </row>
    <row r="28" spans="3:23" ht="16.5" x14ac:dyDescent="0.2">
      <c r="C28" s="5"/>
      <c r="D28" s="5"/>
      <c r="E28" s="37">
        <v>21</v>
      </c>
      <c r="F28" s="55">
        <f>IF(Bid=0,"n/a",DGET(data,"Ref_hr21",_xlnm.Criteria)/IF(Result_type="Aggregate Impact",1,Bid/1000))</f>
        <v>302.44200000000001</v>
      </c>
      <c r="G28" s="55">
        <f t="shared" si="0"/>
        <v>231.34498000000002</v>
      </c>
      <c r="H28" s="55">
        <f>IF(Bid=0,"n/a",DGET(data,"Pctile50_hr21",_xlnm.Criteria)/IF(Result_type="Aggregate Impact",1,Bid/1000))</f>
        <v>71.097020000000001</v>
      </c>
      <c r="I28" s="55">
        <f>IF(Bid=0,"n/a",DGET(data,"Temp_hr21",_xlnm.Criteria))</f>
        <v>80.696330000000003</v>
      </c>
      <c r="J28" s="55">
        <f>IF(Bid=0,"n/a",DGET(data,"Pctile10_hr21",_xlnm.Criteria)/IF(Result_type="Aggregate Impact",1,Bid/1000))</f>
        <v>68.972639999999998</v>
      </c>
      <c r="K28" s="55">
        <f>IF(Bid=0,"n/a",DGET(data,"Pctile30_hr21",_xlnm.Criteria)/IF(Result_type="Aggregate Impact",1,Bid/1000))</f>
        <v>70.227739999999997</v>
      </c>
      <c r="L28" s="55">
        <f t="shared" si="1"/>
        <v>71.097020000000001</v>
      </c>
      <c r="M28" s="55">
        <f>IF(Bid=0,"n/a",DGET(data,"Pctile70_hr21",_xlnm.Criteria)/IF(Result_type="Aggregate Impact",1,Bid/1000))</f>
        <v>71.966290000000001</v>
      </c>
      <c r="N28" s="55">
        <f>IF(Bid=0,"n/a",DGET(data,"Pctile90_hr21",_xlnm.Criteria)/IF(Result_type="Aggregate Impact",1,Bid/1000))</f>
        <v>73.22139</v>
      </c>
      <c r="S28" s="41"/>
      <c r="T28" s="41"/>
      <c r="U28" s="41"/>
      <c r="V28" s="41"/>
      <c r="W28" s="41"/>
    </row>
    <row r="29" spans="3:23" ht="16.5" x14ac:dyDescent="0.2">
      <c r="C29" s="5"/>
      <c r="D29" s="5"/>
      <c r="E29" s="37">
        <v>22</v>
      </c>
      <c r="F29" s="55">
        <f>IF(Bid=0,"n/a",DGET(data,"Ref_hr22",_xlnm.Criteria)/IF(Result_type="Aggregate Impact",1,Bid/1000))</f>
        <v>304.5797</v>
      </c>
      <c r="G29" s="55">
        <f t="shared" si="0"/>
        <v>247.35181</v>
      </c>
      <c r="H29" s="55">
        <f>IF(Bid=0,"n/a",DGET(data,"Pctile50_hr22",_xlnm.Criteria)/IF(Result_type="Aggregate Impact",1,Bid/1000))</f>
        <v>57.227890000000002</v>
      </c>
      <c r="I29" s="55">
        <f>IF(Bid=0,"n/a",DGET(data,"Temp_hr22",_xlnm.Criteria))</f>
        <v>78.634540000000001</v>
      </c>
      <c r="J29" s="55">
        <f>IF(Bid=0,"n/a",DGET(data,"Pctile10_hr22",_xlnm.Criteria)/IF(Result_type="Aggregate Impact",1,Bid/1000))</f>
        <v>54.928469999999997</v>
      </c>
      <c r="K29" s="55">
        <f>IF(Bid=0,"n/a",DGET(data,"Pctile30_hr22",_xlnm.Criteria)/IF(Result_type="Aggregate Impact",1,Bid/1000))</f>
        <v>56.28698</v>
      </c>
      <c r="L29" s="55">
        <f t="shared" si="1"/>
        <v>57.227890000000002</v>
      </c>
      <c r="M29" s="55">
        <f>IF(Bid=0,"n/a",DGET(data,"Pctile70_hr22",_xlnm.Criteria)/IF(Result_type="Aggregate Impact",1,Bid/1000))</f>
        <v>58.168790000000001</v>
      </c>
      <c r="N29" s="55">
        <f>IF(Bid=0,"n/a",DGET(data,"Pctile90_hr22",_xlnm.Criteria)/IF(Result_type="Aggregate Impact",1,Bid/1000))</f>
        <v>59.527299999999997</v>
      </c>
      <c r="R29" s="45"/>
    </row>
    <row r="30" spans="3:23" ht="16.5" x14ac:dyDescent="0.2">
      <c r="C30" s="5"/>
      <c r="D30" s="5"/>
      <c r="E30" s="37">
        <v>23</v>
      </c>
      <c r="F30" s="55">
        <f>IF(Bid=0,"n/a",DGET(data,"Ref_hr23",_xlnm.Criteria)/IF(Result_type="Aggregate Impact",1,Bid/1000))</f>
        <v>299.08409999999998</v>
      </c>
      <c r="G30" s="55">
        <f t="shared" si="0"/>
        <v>256.23849999999999</v>
      </c>
      <c r="H30" s="55">
        <f>IF(Bid=0,"n/a",DGET(data,"Pctile50_hr23",_xlnm.Criteria)/IF(Result_type="Aggregate Impact",1,Bid/1000))</f>
        <v>42.845599999999997</v>
      </c>
      <c r="I30" s="55">
        <f>IF(Bid=0,"n/a",DGET(data,"Temp_hr23",_xlnm.Criteria))</f>
        <v>76.982339999999994</v>
      </c>
      <c r="J30" s="55">
        <f>IF(Bid=0,"n/a",DGET(data,"Pctile10_hr23",_xlnm.Criteria)/IF(Result_type="Aggregate Impact",1,Bid/1000))</f>
        <v>40.659030000000001</v>
      </c>
      <c r="K30" s="55">
        <f>IF(Bid=0,"n/a",DGET(data,"Pctile30_hr23",_xlnm.Criteria)/IF(Result_type="Aggregate Impact",1,Bid/1000))</f>
        <v>41.950870000000002</v>
      </c>
      <c r="L30" s="55">
        <f t="shared" si="1"/>
        <v>42.845599999999997</v>
      </c>
      <c r="M30" s="55">
        <f>IF(Bid=0,"n/a",DGET(data,"Pctile70_hr23",_xlnm.Criteria)/IF(Result_type="Aggregate Impact",1,Bid/1000))</f>
        <v>43.74033</v>
      </c>
      <c r="N30" s="55">
        <f>IF(Bid=0,"n/a",DGET(data,"Pctile90_hr23",_xlnm.Criteria)/IF(Result_type="Aggregate Impact",1,Bid/1000))</f>
        <v>45.032179999999997</v>
      </c>
    </row>
    <row r="31" spans="3:23" ht="16.5" x14ac:dyDescent="0.2">
      <c r="C31" s="5"/>
      <c r="D31" s="5"/>
      <c r="E31" s="37">
        <v>24</v>
      </c>
      <c r="F31" s="55">
        <f>IF(Bid=0,"n/a",DGET(data,"Ref_hr24",_xlnm.Criteria)/IF(Result_type="Aggregate Impact",1,Bid/1000))</f>
        <v>294.34500000000003</v>
      </c>
      <c r="G31" s="55">
        <f t="shared" si="0"/>
        <v>261.01657</v>
      </c>
      <c r="H31" s="55">
        <f>IF(Bid=0,"n/a",DGET(data,"Pctile50_hr24",_xlnm.Criteria)/IF(Result_type="Aggregate Impact",1,Bid/1000))</f>
        <v>33.328429999999997</v>
      </c>
      <c r="I31" s="55">
        <f>IF(Bid=0,"n/a",DGET(data,"Temp_hr24",_xlnm.Criteria))</f>
        <v>75.331729999999993</v>
      </c>
      <c r="J31" s="55">
        <f>IF(Bid=0,"n/a",DGET(data,"Pctile10_hr24",_xlnm.Criteria)/IF(Result_type="Aggregate Impact",1,Bid/1000))</f>
        <v>31.12998</v>
      </c>
      <c r="K31" s="55">
        <f>IF(Bid=0,"n/a",DGET(data,"Pctile30_hr24",_xlnm.Criteria)/IF(Result_type="Aggregate Impact",1,Bid/1000))</f>
        <v>32.428840000000001</v>
      </c>
      <c r="L31" s="55">
        <f t="shared" si="1"/>
        <v>33.328429999999997</v>
      </c>
      <c r="M31" s="55">
        <f>IF(Bid=0,"n/a",DGET(data,"Pctile70_hr24",_xlnm.Criteria)/IF(Result_type="Aggregate Impact",1,Bid/1000))</f>
        <v>34.228009999999998</v>
      </c>
      <c r="N31" s="55">
        <f>IF(Bid=0,"n/a",DGET(data,"Pctile90_hr24",_xlnm.Criteria)/IF(Result_type="Aggregate Impact",1,Bid/1000))</f>
        <v>35.526870000000002</v>
      </c>
    </row>
    <row r="32" spans="3:23" ht="49.5" customHeight="1" thickBot="1" x14ac:dyDescent="0.35">
      <c r="C32" s="5"/>
      <c r="D32" s="5"/>
      <c r="E32" s="17"/>
      <c r="F32" s="79" t="str">
        <f>"Estimated Reference
Energy Use
("&amp;IF(Result_type="Aggregate Impact","MWh)","kWh)")</f>
        <v>Estimated Reference
Energy Use
(MWh)</v>
      </c>
      <c r="G32" s="79" t="str">
        <f>"Observed 
Event Day Energy Use ("&amp;IF(Result_type="Aggregate Impact","MWh)","kWh)")</f>
        <v>Observed 
Event Day Energy Use (MWh)</v>
      </c>
      <c r="H32" s="79" t="str">
        <f>"Estimated 
Change in Energy Use ("&amp;IF(Result_type="Aggregate Impact","MWh)","kWh)")</f>
        <v>Estimated 
Change in Energy Use (MWh)</v>
      </c>
      <c r="I32" s="81" t="s">
        <v>204</v>
      </c>
      <c r="J32" s="59" t="str">
        <f>"Uncertainty Adjusted Impact ("&amp;IF(Result_type="Aggregate Impact","MWh/hour) - Percentiles","kWh/hour) - Percentiles")</f>
        <v>Uncertainty Adjusted Impact (MWh/hour) - Percentiles</v>
      </c>
      <c r="K32" s="59"/>
      <c r="L32" s="59"/>
      <c r="M32" s="59"/>
      <c r="N32" s="60"/>
    </row>
    <row r="33" spans="3:14" ht="16.5" x14ac:dyDescent="0.3">
      <c r="C33" s="5"/>
      <c r="D33" s="5"/>
      <c r="E33" s="64" t="s">
        <v>225</v>
      </c>
      <c r="F33" s="80"/>
      <c r="G33" s="80"/>
      <c r="H33" s="80"/>
      <c r="I33" s="80"/>
      <c r="J33" s="18" t="s">
        <v>11</v>
      </c>
      <c r="K33" s="18" t="s">
        <v>12</v>
      </c>
      <c r="L33" s="18" t="s">
        <v>13</v>
      </c>
      <c r="M33" s="18" t="s">
        <v>14</v>
      </c>
      <c r="N33" s="19" t="s">
        <v>15</v>
      </c>
    </row>
    <row r="34" spans="3:14" ht="17.25" thickBot="1" x14ac:dyDescent="0.35">
      <c r="C34" s="5"/>
      <c r="D34" s="5"/>
      <c r="E34" s="20" t="s">
        <v>16</v>
      </c>
      <c r="F34" s="21">
        <f>IF(Bid=0,"n/a",SUM(F8:F31))</f>
        <v>7373.734300000001</v>
      </c>
      <c r="G34" s="22">
        <f>IF(Bid=0,"n/a",SUM(G8:G31))</f>
        <v>5985.9225166999995</v>
      </c>
      <c r="H34" s="22">
        <f>IF(Bid=0,"n/a",SUM(H8:H31))</f>
        <v>1387.8117833000001</v>
      </c>
      <c r="I34" s="23">
        <f>IF(Bid=0,"n/a",SUM(Lookups!B32:B55))</f>
        <v>135.58241000000001</v>
      </c>
      <c r="J34" s="23" t="s">
        <v>17</v>
      </c>
      <c r="K34" s="23" t="s">
        <v>17</v>
      </c>
      <c r="L34" s="23" t="s">
        <v>17</v>
      </c>
      <c r="M34" s="23" t="s">
        <v>17</v>
      </c>
      <c r="N34" s="67" t="s">
        <v>17</v>
      </c>
    </row>
    <row r="35" spans="3:14" ht="17.25" thickBot="1" x14ac:dyDescent="0.35">
      <c r="E35" s="20" t="s">
        <v>224</v>
      </c>
      <c r="F35" s="66">
        <f>IF(Bid=0,"n/a",Lookups!D56)</f>
        <v>292.44400000000002</v>
      </c>
      <c r="G35" s="23">
        <f>IF(Bid=0,"n/a",Lookups!E56)</f>
        <v>46.236899999999999</v>
      </c>
      <c r="H35" s="23">
        <f>IF(Bid=0,"n/a",Lookups!F56)</f>
        <v>246.20710000000003</v>
      </c>
      <c r="I35" s="23">
        <f>IF(Bid=0,"n/a",Lookups!G56)</f>
        <v>58.776690000000002</v>
      </c>
      <c r="J35" s="23">
        <f>IF(Bid=0,"n/a",Lookups!C59)</f>
        <v>244.26306573126593</v>
      </c>
      <c r="K35" s="23">
        <f>IF(Bid=0,"n/a",Lookups!D59)</f>
        <v>245.41161693505373</v>
      </c>
      <c r="L35" s="23">
        <f>IF(Bid=0,"n/a",Lookups!E59)</f>
        <v>246.20710000000003</v>
      </c>
      <c r="M35" s="23">
        <f>IF(Bid=0,"n/a",Lookups!F59)</f>
        <v>247.00258306494632</v>
      </c>
      <c r="N35" s="23">
        <f>IF(Bid=0,"n/a",Lookups!G59)</f>
        <v>248.15113426873413</v>
      </c>
    </row>
    <row r="36" spans="3:14" ht="15" x14ac:dyDescent="0.25">
      <c r="E36" s="24"/>
      <c r="F36" s="41"/>
      <c r="G36" s="75" t="s">
        <v>242</v>
      </c>
      <c r="H36" s="76">
        <f>IF(Bid=0,"n/a",H35/F35)</f>
        <v>0.84189485850282453</v>
      </c>
      <c r="I36" s="41"/>
    </row>
    <row r="37" spans="3:14" x14ac:dyDescent="0.2">
      <c r="E37" s="24"/>
      <c r="F37" s="41"/>
      <c r="G37" s="41"/>
      <c r="H37" s="41"/>
      <c r="I37" s="42"/>
    </row>
    <row r="38" spans="3:14" x14ac:dyDescent="0.2">
      <c r="E38" s="24"/>
      <c r="F38" s="41"/>
      <c r="G38" s="41"/>
      <c r="H38" s="41"/>
      <c r="I38" s="41"/>
    </row>
    <row r="40" spans="3:14" x14ac:dyDescent="0.2">
      <c r="E40" s="24"/>
      <c r="F40" s="41"/>
      <c r="G40" s="41"/>
      <c r="H40" s="41"/>
      <c r="I40" s="42"/>
    </row>
  </sheetData>
  <mergeCells count="9">
    <mergeCell ref="F32:F33"/>
    <mergeCell ref="G32:G33"/>
    <mergeCell ref="H32:H33"/>
    <mergeCell ref="I32:I33"/>
    <mergeCell ref="E5:E7"/>
    <mergeCell ref="F5:F7"/>
    <mergeCell ref="G5:G7"/>
    <mergeCell ref="H5:H7"/>
    <mergeCell ref="I5:I7"/>
  </mergeCells>
  <phoneticPr fontId="2" type="noConversion"/>
  <conditionalFormatting sqref="A1:B1">
    <cfRule type="expression" dxfId="3" priority="41" stopIfTrue="1">
      <formula>$A$1&lt;&gt;""</formula>
    </cfRule>
  </conditionalFormatting>
  <conditionalFormatting sqref="C2">
    <cfRule type="expression" dxfId="2" priority="33">
      <formula>size_lca_flag=1</formula>
    </cfRule>
  </conditionalFormatting>
  <conditionalFormatting sqref="C1">
    <cfRule type="expression" dxfId="1" priority="22" stopIfTrue="1">
      <formula>$A$1&lt;&gt;""</formula>
    </cfRule>
  </conditionalFormatting>
  <dataValidations count="5">
    <dataValidation type="list" allowBlank="1" showInputMessage="1" showErrorMessage="1" sqref="B8">
      <formula1>lca_list</formula1>
    </dataValidation>
    <dataValidation type="list" allowBlank="1" showInputMessage="1" showErrorMessage="1" sqref="B5">
      <formula1>date_list</formula1>
    </dataValidation>
    <dataValidation type="list" allowBlank="1" showInputMessage="1" showErrorMessage="1" sqref="B4">
      <formula1>Result_type_list</formula1>
    </dataValidation>
    <dataValidation type="list" allowBlank="1" showInputMessage="1" showErrorMessage="1" sqref="B9">
      <formula1>Size_list</formula1>
    </dataValidation>
    <dataValidation type="list" allowBlank="1" showInputMessage="1" showErrorMessage="1" sqref="B11">
      <formula1>notice_list</formula1>
    </dataValidation>
  </dataValidations>
  <pageMargins left="0.75" right="0.75" top="1" bottom="1" header="0.5" footer="0.5"/>
  <pageSetup scale="54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3" id="{E609E01C-C478-4F14-A9A0-A2F09152C0BA}">
            <xm:f>AND($E8&gt;=VLOOKUP(date,Lookups!$B$11:$D$23,3,FALSE),$E8&lt;=VLOOKUP(date,Lookups!$B$11:$E$23,4,FALSE))</xm:f>
            <x14:dxf>
              <fill>
                <patternFill>
                  <bgColor theme="3" tint="0.79998168889431442"/>
                </patternFill>
              </fill>
            </x14:dxf>
          </x14:cfRule>
          <xm:sqref>E8:N31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opLeftCell="A4" workbookViewId="0">
      <selection activeCell="C26" sqref="C26"/>
    </sheetView>
  </sheetViews>
  <sheetFormatPr defaultRowHeight="12.75" x14ac:dyDescent="0.2"/>
  <cols>
    <col min="1" max="1" width="16.85546875" customWidth="1"/>
    <col min="2" max="2" width="9.7109375" bestFit="1" customWidth="1"/>
    <col min="3" max="3" width="24.140625" bestFit="1" customWidth="1"/>
    <col min="4" max="4" width="17.140625" bestFit="1" customWidth="1"/>
    <col min="5" max="5" width="9.5703125" bestFit="1" customWidth="1"/>
    <col min="6" max="6" width="8.85546875" bestFit="1" customWidth="1"/>
    <col min="7" max="7" width="5.5703125" bestFit="1" customWidth="1"/>
    <col min="8" max="8" width="10.85546875" bestFit="1" customWidth="1"/>
    <col min="10" max="10" width="25.5703125" bestFit="1" customWidth="1"/>
    <col min="11" max="11" width="16" bestFit="1" customWidth="1"/>
    <col min="12" max="12" width="31" bestFit="1" customWidth="1"/>
    <col min="13" max="13" width="15.5703125" bestFit="1" customWidth="1"/>
    <col min="14" max="14" width="16.42578125" bestFit="1" customWidth="1"/>
    <col min="15" max="15" width="13.42578125" bestFit="1" customWidth="1"/>
  </cols>
  <sheetData>
    <row r="1" spans="1:19" x14ac:dyDescent="0.2">
      <c r="G1" s="1"/>
      <c r="H1" s="1"/>
    </row>
    <row r="3" spans="1:19" ht="15" x14ac:dyDescent="0.25">
      <c r="A3" s="27"/>
      <c r="B3" s="25" t="s">
        <v>215</v>
      </c>
      <c r="C3" s="25"/>
      <c r="D3" s="25" t="s">
        <v>213</v>
      </c>
      <c r="E3" s="25" t="s">
        <v>214</v>
      </c>
      <c r="F3" s="25"/>
      <c r="G3" s="70"/>
      <c r="J3" s="2" t="s">
        <v>219</v>
      </c>
      <c r="K3" s="11" t="s">
        <v>216</v>
      </c>
      <c r="L3" s="11" t="s">
        <v>217</v>
      </c>
      <c r="M3" s="11" t="s">
        <v>0</v>
      </c>
      <c r="N3" s="43" t="s">
        <v>201</v>
      </c>
      <c r="O3" s="11" t="s">
        <v>218</v>
      </c>
      <c r="S3" s="45"/>
    </row>
    <row r="4" spans="1:19" x14ac:dyDescent="0.2">
      <c r="A4" s="29"/>
      <c r="B4" s="69" t="str">
        <f>date</f>
        <v>Typical Event Day</v>
      </c>
      <c r="C4" s="26"/>
      <c r="D4" s="5" t="str">
        <f>lca</f>
        <v>All</v>
      </c>
      <c r="E4" t="str">
        <f>Size</f>
        <v>All</v>
      </c>
      <c r="F4" s="5"/>
      <c r="G4" s="71"/>
      <c r="J4" t="s">
        <v>3</v>
      </c>
      <c r="K4" s="69">
        <v>42046</v>
      </c>
      <c r="L4" t="s">
        <v>1</v>
      </c>
      <c r="M4" t="s">
        <v>1</v>
      </c>
      <c r="N4" s="44" t="s">
        <v>1</v>
      </c>
      <c r="O4" s="45" t="s">
        <v>1</v>
      </c>
      <c r="R4" s="69"/>
    </row>
    <row r="5" spans="1:19" ht="13.5" x14ac:dyDescent="0.25">
      <c r="A5" s="27"/>
      <c r="B5" s="27"/>
      <c r="C5" s="27"/>
      <c r="D5" s="27"/>
      <c r="E5" s="27"/>
      <c r="F5" s="27"/>
      <c r="G5" s="28"/>
      <c r="H5" s="28"/>
      <c r="J5" s="46" t="s">
        <v>244</v>
      </c>
      <c r="K5" s="69">
        <v>42117</v>
      </c>
      <c r="L5" t="s">
        <v>206</v>
      </c>
      <c r="M5" t="s">
        <v>191</v>
      </c>
      <c r="N5" s="47" t="s">
        <v>202</v>
      </c>
      <c r="O5" s="45"/>
      <c r="R5" s="69"/>
    </row>
    <row r="6" spans="1:19" x14ac:dyDescent="0.2">
      <c r="A6" s="29"/>
      <c r="B6" s="29"/>
      <c r="C6" s="74" t="s">
        <v>241</v>
      </c>
      <c r="D6" s="30">
        <f>IF(Two_way_tab_flag=1,"n/a",DGET(data,"enrolled",Criteria_enrolled))</f>
        <v>204</v>
      </c>
      <c r="E6" s="29"/>
      <c r="F6" s="30"/>
      <c r="G6" s="30"/>
      <c r="H6" s="30"/>
      <c r="K6" s="69">
        <v>42215</v>
      </c>
      <c r="L6" t="s">
        <v>207</v>
      </c>
      <c r="M6" t="s">
        <v>192</v>
      </c>
      <c r="N6" s="48" t="s">
        <v>203</v>
      </c>
      <c r="O6" s="45"/>
      <c r="R6" s="69"/>
    </row>
    <row r="7" spans="1:19" ht="13.5" x14ac:dyDescent="0.25">
      <c r="A7" s="27"/>
      <c r="C7" s="45" t="s">
        <v>220</v>
      </c>
      <c r="D7">
        <f>IF(COUNTIF(Table!B8:B9,"All")&lt;1,1,0)</f>
        <v>0</v>
      </c>
      <c r="K7" s="69">
        <v>42269</v>
      </c>
      <c r="L7" t="s">
        <v>208</v>
      </c>
      <c r="M7" t="s">
        <v>193</v>
      </c>
      <c r="N7" s="48"/>
      <c r="R7" s="69"/>
    </row>
    <row r="8" spans="1:19" ht="13.5" x14ac:dyDescent="0.25">
      <c r="A8" s="28"/>
      <c r="C8" s="45" t="s">
        <v>243</v>
      </c>
      <c r="D8">
        <f>IF(ISERROR(DGET(data,"bid",_xlnm.Criteria))=TRUE,0,DGET(data,"bid",_xlnm.Criteria))</f>
        <v>204</v>
      </c>
      <c r="K8" t="s">
        <v>2</v>
      </c>
      <c r="L8" t="s">
        <v>209</v>
      </c>
      <c r="M8" t="s">
        <v>194</v>
      </c>
      <c r="N8" s="34"/>
    </row>
    <row r="9" spans="1:19" x14ac:dyDescent="0.2">
      <c r="K9" s="69"/>
      <c r="L9" t="s">
        <v>210</v>
      </c>
      <c r="M9" t="s">
        <v>195</v>
      </c>
      <c r="N9" s="34"/>
    </row>
    <row r="10" spans="1:19" x14ac:dyDescent="0.2">
      <c r="B10" t="s">
        <v>215</v>
      </c>
      <c r="C10" t="s">
        <v>221</v>
      </c>
      <c r="D10" t="s">
        <v>222</v>
      </c>
      <c r="E10" t="s">
        <v>223</v>
      </c>
      <c r="K10" s="69"/>
      <c r="L10" t="s">
        <v>211</v>
      </c>
      <c r="M10" t="s">
        <v>196</v>
      </c>
      <c r="N10" s="34"/>
      <c r="R10" s="45"/>
    </row>
    <row r="11" spans="1:19" x14ac:dyDescent="0.2">
      <c r="B11" s="69">
        <v>42046</v>
      </c>
      <c r="D11">
        <v>15</v>
      </c>
      <c r="E11">
        <v>16</v>
      </c>
      <c r="F11" t="str">
        <f t="shared" ref="F11:F15" si="0">"Hours Ending "&amp;D11&amp;" to "&amp;E11</f>
        <v>Hours Ending 15 to 16</v>
      </c>
      <c r="K11" s="69"/>
      <c r="L11" t="s">
        <v>212</v>
      </c>
      <c r="M11" t="s">
        <v>197</v>
      </c>
      <c r="N11" s="34"/>
      <c r="R11" s="45"/>
    </row>
    <row r="12" spans="1:19" x14ac:dyDescent="0.2">
      <c r="B12" s="69">
        <v>42117</v>
      </c>
      <c r="D12">
        <v>15</v>
      </c>
      <c r="E12">
        <v>16</v>
      </c>
      <c r="F12" t="str">
        <f t="shared" si="0"/>
        <v>Hours Ending 15 to 16</v>
      </c>
      <c r="K12" s="69"/>
      <c r="M12" t="s">
        <v>198</v>
      </c>
    </row>
    <row r="13" spans="1:19" x14ac:dyDescent="0.2">
      <c r="B13" s="69">
        <v>42215</v>
      </c>
      <c r="D13">
        <v>16</v>
      </c>
      <c r="E13">
        <v>19</v>
      </c>
      <c r="F13" t="str">
        <f t="shared" si="0"/>
        <v>Hours Ending 16 to 19</v>
      </c>
      <c r="K13" s="69"/>
    </row>
    <row r="14" spans="1:19" x14ac:dyDescent="0.2">
      <c r="B14" s="69">
        <v>42269</v>
      </c>
      <c r="D14">
        <v>15</v>
      </c>
      <c r="E14">
        <v>16</v>
      </c>
      <c r="F14" t="str">
        <f t="shared" si="0"/>
        <v>Hours Ending 15 to 16</v>
      </c>
      <c r="K14" s="69"/>
    </row>
    <row r="15" spans="1:19" x14ac:dyDescent="0.2">
      <c r="B15" t="s">
        <v>2</v>
      </c>
      <c r="D15">
        <v>16</v>
      </c>
      <c r="E15">
        <v>19</v>
      </c>
      <c r="F15" t="str">
        <f t="shared" si="0"/>
        <v>Hours Ending 16 to 19</v>
      </c>
      <c r="K15" s="69"/>
    </row>
    <row r="16" spans="1:19" x14ac:dyDescent="0.2">
      <c r="B16" s="69"/>
    </row>
    <row r="17" spans="1:15" x14ac:dyDescent="0.2">
      <c r="B17" s="69"/>
    </row>
    <row r="18" spans="1:15" ht="13.5" x14ac:dyDescent="0.25">
      <c r="B18" s="25" t="s">
        <v>215</v>
      </c>
      <c r="C18" s="25"/>
      <c r="D18" s="25" t="s">
        <v>213</v>
      </c>
      <c r="E18" s="25" t="s">
        <v>214</v>
      </c>
    </row>
    <row r="19" spans="1:15" x14ac:dyDescent="0.2">
      <c r="B19" s="69" t="s">
        <v>2</v>
      </c>
      <c r="C19" s="26"/>
      <c r="D19" s="5" t="str">
        <f>lca</f>
        <v>All</v>
      </c>
      <c r="E19" t="str">
        <f>Size</f>
        <v>All</v>
      </c>
      <c r="O19" s="34"/>
    </row>
    <row r="20" spans="1:15" x14ac:dyDescent="0.2">
      <c r="B20" s="69"/>
      <c r="O20" s="34"/>
    </row>
    <row r="21" spans="1:15" x14ac:dyDescent="0.2">
      <c r="B21" s="69"/>
      <c r="O21" s="34"/>
    </row>
    <row r="22" spans="1:15" x14ac:dyDescent="0.2">
      <c r="B22" s="69"/>
      <c r="O22" s="34"/>
    </row>
    <row r="23" spans="1:15" x14ac:dyDescent="0.2">
      <c r="B23" s="69"/>
      <c r="O23" s="34"/>
    </row>
    <row r="24" spans="1:15" x14ac:dyDescent="0.2">
      <c r="B24" s="62"/>
      <c r="O24" s="34"/>
    </row>
    <row r="25" spans="1:15" x14ac:dyDescent="0.2">
      <c r="B25" s="63"/>
      <c r="O25" s="34"/>
    </row>
    <row r="26" spans="1:15" x14ac:dyDescent="0.2">
      <c r="B26" s="63"/>
    </row>
    <row r="27" spans="1:15" x14ac:dyDescent="0.2">
      <c r="B27" s="63"/>
    </row>
    <row r="28" spans="1:15" x14ac:dyDescent="0.2">
      <c r="A28" s="6"/>
      <c r="B28" s="6"/>
      <c r="C28" s="6"/>
      <c r="D28" s="6"/>
      <c r="E28" s="6"/>
      <c r="F28" s="6"/>
    </row>
    <row r="29" spans="1:15" x14ac:dyDescent="0.2">
      <c r="A29" s="6"/>
      <c r="B29" s="6"/>
      <c r="C29" s="6"/>
      <c r="D29" s="6"/>
      <c r="E29" s="6"/>
      <c r="F29" s="6"/>
    </row>
    <row r="30" spans="1:15" x14ac:dyDescent="0.2">
      <c r="A30" s="6"/>
      <c r="B30" s="6"/>
      <c r="C30" s="6"/>
      <c r="D30" s="6"/>
      <c r="E30" s="6"/>
      <c r="F30" s="6"/>
    </row>
    <row r="31" spans="1:15" x14ac:dyDescent="0.2">
      <c r="B31" s="52" t="s">
        <v>205</v>
      </c>
      <c r="C31" s="45" t="s">
        <v>237</v>
      </c>
      <c r="D31" s="45" t="s">
        <v>227</v>
      </c>
      <c r="E31" s="45" t="s">
        <v>228</v>
      </c>
      <c r="F31" s="45" t="s">
        <v>229</v>
      </c>
      <c r="G31" s="45" t="s">
        <v>235</v>
      </c>
      <c r="H31" s="45" t="s">
        <v>230</v>
      </c>
      <c r="I31" s="45" t="s">
        <v>231</v>
      </c>
      <c r="J31" s="45" t="s">
        <v>232</v>
      </c>
      <c r="K31" s="45" t="s">
        <v>233</v>
      </c>
      <c r="L31" s="45" t="s">
        <v>234</v>
      </c>
      <c r="M31" s="45" t="s">
        <v>238</v>
      </c>
    </row>
    <row r="32" spans="1:15" x14ac:dyDescent="0.2">
      <c r="A32">
        <v>1</v>
      </c>
      <c r="B32" s="53">
        <f>MAX(0,Table!I8-75)</f>
        <v>0</v>
      </c>
      <c r="C32" t="str">
        <f t="shared" ref="C32:C55" si="1">IF(AND(A32&gt;=VLOOKUP(date,$B$11:$D$27,3,FALSE),A32&lt;=VLOOKUP(date,$B$11:$E$27,4,FALSE)),1,"")</f>
        <v/>
      </c>
      <c r="D32" s="6" t="str">
        <f>IF($C32=1,Table!F8,"")</f>
        <v/>
      </c>
      <c r="E32" s="6" t="str">
        <f>IF($C32=1,Table!G8,"")</f>
        <v/>
      </c>
      <c r="F32" s="6" t="str">
        <f>IF($C32=1,Table!H8,"")</f>
        <v/>
      </c>
      <c r="G32" s="6" t="str">
        <f>IF($C32=1,B32,"")</f>
        <v/>
      </c>
      <c r="H32" s="6" t="str">
        <f>IF($C32=1,Table!J8,"")</f>
        <v/>
      </c>
      <c r="I32" s="6" t="str">
        <f>IF($C32=1,Table!K8,"")</f>
        <v/>
      </c>
      <c r="J32" s="6" t="str">
        <f>IF($C32=1,Table!L8,"")</f>
        <v/>
      </c>
      <c r="K32" s="6" t="str">
        <f>IF($C32=1,Table!M8,"")</f>
        <v/>
      </c>
      <c r="L32" s="6" t="str">
        <f>IF($C32=1,Table!N8,"")</f>
        <v/>
      </c>
      <c r="M32" s="41" t="str">
        <f>IF(C32=1,((Table!K8-Table!L8)/NORMSINV(0.3))^2,"")</f>
        <v/>
      </c>
    </row>
    <row r="33" spans="1:13" x14ac:dyDescent="0.2">
      <c r="A33">
        <f>A32+1</f>
        <v>2</v>
      </c>
      <c r="B33" s="53">
        <f>MAX(0,Table!I9-75)</f>
        <v>0</v>
      </c>
      <c r="C33" t="str">
        <f t="shared" si="1"/>
        <v/>
      </c>
      <c r="D33" s="6" t="str">
        <f>IF($C33=1,Table!F9,"")</f>
        <v/>
      </c>
      <c r="E33" s="6" t="str">
        <f>IF($C33=1,Table!G9,"")</f>
        <v/>
      </c>
      <c r="F33" s="6" t="str">
        <f>IF($C33=1,Table!H9,"")</f>
        <v/>
      </c>
      <c r="G33" s="6" t="str">
        <f t="shared" ref="G33:G55" si="2">IF($C33=1,B33,"")</f>
        <v/>
      </c>
      <c r="H33" s="6" t="str">
        <f>IF($C33=1,Table!J9,"")</f>
        <v/>
      </c>
      <c r="I33" s="6" t="str">
        <f>IF($C33=1,Table!K9,"")</f>
        <v/>
      </c>
      <c r="J33" s="6" t="str">
        <f>IF($C33=1,Table!L9,"")</f>
        <v/>
      </c>
      <c r="K33" s="6" t="str">
        <f>IF($C33=1,Table!M9,"")</f>
        <v/>
      </c>
      <c r="L33" s="6" t="str">
        <f>IF($C33=1,Table!N9,"")</f>
        <v/>
      </c>
      <c r="M33" s="41" t="str">
        <f>IF(C33=1,((Table!K9-Table!L9)/NORMSINV(0.3))^2,"")</f>
        <v/>
      </c>
    </row>
    <row r="34" spans="1:13" x14ac:dyDescent="0.2">
      <c r="A34">
        <f t="shared" ref="A34:A55" si="3">A33+1</f>
        <v>3</v>
      </c>
      <c r="B34" s="53">
        <f>MAX(0,Table!I10-75)</f>
        <v>0</v>
      </c>
      <c r="C34" t="str">
        <f t="shared" si="1"/>
        <v/>
      </c>
      <c r="D34" s="6" t="str">
        <f>IF($C34=1,Table!F10,"")</f>
        <v/>
      </c>
      <c r="E34" s="6" t="str">
        <f>IF($C34=1,Table!G10,"")</f>
        <v/>
      </c>
      <c r="F34" s="6" t="str">
        <f>IF($C34=1,Table!H10,"")</f>
        <v/>
      </c>
      <c r="G34" s="6" t="str">
        <f t="shared" si="2"/>
        <v/>
      </c>
      <c r="H34" s="6" t="str">
        <f>IF($C34=1,Table!J10,"")</f>
        <v/>
      </c>
      <c r="I34" s="6" t="str">
        <f>IF($C34=1,Table!K10,"")</f>
        <v/>
      </c>
      <c r="J34" s="6" t="str">
        <f>IF($C34=1,Table!L10,"")</f>
        <v/>
      </c>
      <c r="K34" s="6" t="str">
        <f>IF($C34=1,Table!M10,"")</f>
        <v/>
      </c>
      <c r="L34" s="6" t="str">
        <f>IF($C34=1,Table!N10,"")</f>
        <v/>
      </c>
      <c r="M34" s="41" t="str">
        <f>IF(C34=1,((Table!K10-Table!L10)/NORMSINV(0.3))^2,"")</f>
        <v/>
      </c>
    </row>
    <row r="35" spans="1:13" x14ac:dyDescent="0.2">
      <c r="A35">
        <f t="shared" si="3"/>
        <v>4</v>
      </c>
      <c r="B35" s="53">
        <f>MAX(0,Table!I11-75)</f>
        <v>0</v>
      </c>
      <c r="C35" t="str">
        <f t="shared" si="1"/>
        <v/>
      </c>
      <c r="D35" s="6" t="str">
        <f>IF($C35=1,Table!F11,"")</f>
        <v/>
      </c>
      <c r="E35" s="6" t="str">
        <f>IF($C35=1,Table!G11,"")</f>
        <v/>
      </c>
      <c r="F35" s="6" t="str">
        <f>IF($C35=1,Table!H11,"")</f>
        <v/>
      </c>
      <c r="G35" s="6" t="str">
        <f t="shared" si="2"/>
        <v/>
      </c>
      <c r="H35" s="6" t="str">
        <f>IF($C35=1,Table!J11,"")</f>
        <v/>
      </c>
      <c r="I35" s="6" t="str">
        <f>IF($C35=1,Table!K11,"")</f>
        <v/>
      </c>
      <c r="J35" s="6" t="str">
        <f>IF($C35=1,Table!L11,"")</f>
        <v/>
      </c>
      <c r="K35" s="6" t="str">
        <f>IF($C35=1,Table!M11,"")</f>
        <v/>
      </c>
      <c r="L35" s="6" t="str">
        <f>IF($C35=1,Table!N11,"")</f>
        <v/>
      </c>
      <c r="M35" s="41" t="str">
        <f>IF(C35=1,((Table!K11-Table!L11)/NORMSINV(0.3))^2,"")</f>
        <v/>
      </c>
    </row>
    <row r="36" spans="1:13" x14ac:dyDescent="0.2">
      <c r="A36">
        <f t="shared" si="3"/>
        <v>5</v>
      </c>
      <c r="B36" s="53">
        <f>MAX(0,Table!I12-75)</f>
        <v>0</v>
      </c>
      <c r="C36" t="str">
        <f t="shared" si="1"/>
        <v/>
      </c>
      <c r="D36" s="6" t="str">
        <f>IF($C36=1,Table!F12,"")</f>
        <v/>
      </c>
      <c r="E36" s="6" t="str">
        <f>IF($C36=1,Table!G12,"")</f>
        <v/>
      </c>
      <c r="F36" s="6" t="str">
        <f>IF($C36=1,Table!H12,"")</f>
        <v/>
      </c>
      <c r="G36" s="6" t="str">
        <f t="shared" si="2"/>
        <v/>
      </c>
      <c r="H36" s="6" t="str">
        <f>IF($C36=1,Table!J12,"")</f>
        <v/>
      </c>
      <c r="I36" s="6" t="str">
        <f>IF($C36=1,Table!K12,"")</f>
        <v/>
      </c>
      <c r="J36" s="6" t="str">
        <f>IF($C36=1,Table!L12,"")</f>
        <v/>
      </c>
      <c r="K36" s="6" t="str">
        <f>IF($C36=1,Table!M12,"")</f>
        <v/>
      </c>
      <c r="L36" s="6" t="str">
        <f>IF($C36=1,Table!N12,"")</f>
        <v/>
      </c>
      <c r="M36" s="41" t="str">
        <f>IF(C36=1,((Table!K12-Table!L12)/NORMSINV(0.3))^2,"")</f>
        <v/>
      </c>
    </row>
    <row r="37" spans="1:13" x14ac:dyDescent="0.2">
      <c r="A37">
        <f t="shared" si="3"/>
        <v>6</v>
      </c>
      <c r="B37" s="53">
        <f>MAX(0,Table!I13-75)</f>
        <v>0</v>
      </c>
      <c r="C37" t="str">
        <f t="shared" si="1"/>
        <v/>
      </c>
      <c r="D37" s="6" t="str">
        <f>IF($C37=1,Table!F13,"")</f>
        <v/>
      </c>
      <c r="E37" s="6" t="str">
        <f>IF($C37=1,Table!G13,"")</f>
        <v/>
      </c>
      <c r="F37" s="6" t="str">
        <f>IF($C37=1,Table!H13,"")</f>
        <v/>
      </c>
      <c r="G37" s="6" t="str">
        <f t="shared" si="2"/>
        <v/>
      </c>
      <c r="H37" s="6" t="str">
        <f>IF($C37=1,Table!J13,"")</f>
        <v/>
      </c>
      <c r="I37" s="6" t="str">
        <f>IF($C37=1,Table!K13,"")</f>
        <v/>
      </c>
      <c r="J37" s="6" t="str">
        <f>IF($C37=1,Table!L13,"")</f>
        <v/>
      </c>
      <c r="K37" s="6" t="str">
        <f>IF($C37=1,Table!M13,"")</f>
        <v/>
      </c>
      <c r="L37" s="6" t="str">
        <f>IF($C37=1,Table!N13,"")</f>
        <v/>
      </c>
      <c r="M37" s="41" t="str">
        <f>IF(C37=1,((Table!K13-Table!L13)/NORMSINV(0.3))^2,"")</f>
        <v/>
      </c>
    </row>
    <row r="38" spans="1:13" x14ac:dyDescent="0.2">
      <c r="A38">
        <f t="shared" si="3"/>
        <v>7</v>
      </c>
      <c r="B38" s="53">
        <f>MAX(0,Table!I14-75)</f>
        <v>0</v>
      </c>
      <c r="C38" t="str">
        <f t="shared" si="1"/>
        <v/>
      </c>
      <c r="D38" s="6" t="str">
        <f>IF($C38=1,Table!F14,"")</f>
        <v/>
      </c>
      <c r="E38" s="6" t="str">
        <f>IF($C38=1,Table!G14,"")</f>
        <v/>
      </c>
      <c r="F38" s="6" t="str">
        <f>IF($C38=1,Table!H14,"")</f>
        <v/>
      </c>
      <c r="G38" s="6" t="str">
        <f t="shared" si="2"/>
        <v/>
      </c>
      <c r="H38" s="6" t="str">
        <f>IF($C38=1,Table!J14,"")</f>
        <v/>
      </c>
      <c r="I38" s="6" t="str">
        <f>IF($C38=1,Table!K14,"")</f>
        <v/>
      </c>
      <c r="J38" s="6" t="str">
        <f>IF($C38=1,Table!L14,"")</f>
        <v/>
      </c>
      <c r="K38" s="6" t="str">
        <f>IF($C38=1,Table!M14,"")</f>
        <v/>
      </c>
      <c r="L38" s="6" t="str">
        <f>IF($C38=1,Table!N14,"")</f>
        <v/>
      </c>
      <c r="M38" s="41" t="str">
        <f>IF(C38=1,((Table!K14-Table!L14)/NORMSINV(0.3))^2,"")</f>
        <v/>
      </c>
    </row>
    <row r="39" spans="1:13" x14ac:dyDescent="0.2">
      <c r="A39">
        <f t="shared" si="3"/>
        <v>8</v>
      </c>
      <c r="B39" s="53">
        <f>MAX(0,Table!I15-75)</f>
        <v>0</v>
      </c>
      <c r="C39" t="str">
        <f t="shared" si="1"/>
        <v/>
      </c>
      <c r="D39" s="6" t="str">
        <f>IF($C39=1,Table!F15,"")</f>
        <v/>
      </c>
      <c r="E39" s="6" t="str">
        <f>IF($C39=1,Table!G15,"")</f>
        <v/>
      </c>
      <c r="F39" s="6" t="str">
        <f>IF($C39=1,Table!H15,"")</f>
        <v/>
      </c>
      <c r="G39" s="6" t="str">
        <f t="shared" si="2"/>
        <v/>
      </c>
      <c r="H39" s="6" t="str">
        <f>IF($C39=1,Table!J15,"")</f>
        <v/>
      </c>
      <c r="I39" s="6" t="str">
        <f>IF($C39=1,Table!K15,"")</f>
        <v/>
      </c>
      <c r="J39" s="6" t="str">
        <f>IF($C39=1,Table!L15,"")</f>
        <v/>
      </c>
      <c r="K39" s="6" t="str">
        <f>IF($C39=1,Table!M15,"")</f>
        <v/>
      </c>
      <c r="L39" s="6" t="str">
        <f>IF($C39=1,Table!N15,"")</f>
        <v/>
      </c>
      <c r="M39" s="41" t="str">
        <f>IF(C39=1,((Table!K15-Table!L15)/NORMSINV(0.3))^2,"")</f>
        <v/>
      </c>
    </row>
    <row r="40" spans="1:13" x14ac:dyDescent="0.2">
      <c r="A40">
        <f t="shared" si="3"/>
        <v>9</v>
      </c>
      <c r="B40" s="53">
        <f>MAX(0,Table!I16-75)</f>
        <v>0</v>
      </c>
      <c r="C40" t="str">
        <f t="shared" si="1"/>
        <v/>
      </c>
      <c r="D40" s="6" t="str">
        <f>IF($C40=1,Table!F16,"")</f>
        <v/>
      </c>
      <c r="E40" s="6" t="str">
        <f>IF($C40=1,Table!G16,"")</f>
        <v/>
      </c>
      <c r="F40" s="6" t="str">
        <f>IF($C40=1,Table!H16,"")</f>
        <v/>
      </c>
      <c r="G40" s="6" t="str">
        <f t="shared" si="2"/>
        <v/>
      </c>
      <c r="H40" s="6" t="str">
        <f>IF($C40=1,Table!J16,"")</f>
        <v/>
      </c>
      <c r="I40" s="6" t="str">
        <f>IF($C40=1,Table!K16,"")</f>
        <v/>
      </c>
      <c r="J40" s="6" t="str">
        <f>IF($C40=1,Table!L16,"")</f>
        <v/>
      </c>
      <c r="K40" s="6" t="str">
        <f>IF($C40=1,Table!M16,"")</f>
        <v/>
      </c>
      <c r="L40" s="6" t="str">
        <f>IF($C40=1,Table!N16,"")</f>
        <v/>
      </c>
      <c r="M40" s="41" t="str">
        <f>IF(C40=1,((Table!K16-Table!L16)/NORMSINV(0.3))^2,"")</f>
        <v/>
      </c>
    </row>
    <row r="41" spans="1:13" x14ac:dyDescent="0.2">
      <c r="A41">
        <f t="shared" si="3"/>
        <v>10</v>
      </c>
      <c r="B41" s="53">
        <f>MAX(0,Table!I17-75)</f>
        <v>1.5927099999999967</v>
      </c>
      <c r="C41" t="str">
        <f t="shared" si="1"/>
        <v/>
      </c>
      <c r="D41" s="6" t="str">
        <f>IF($C41=1,Table!F17,"")</f>
        <v/>
      </c>
      <c r="E41" s="6" t="str">
        <f>IF($C41=1,Table!G17,"")</f>
        <v/>
      </c>
      <c r="F41" s="6" t="str">
        <f>IF($C41=1,Table!H17,"")</f>
        <v/>
      </c>
      <c r="G41" s="6" t="str">
        <f t="shared" si="2"/>
        <v/>
      </c>
      <c r="H41" s="6" t="str">
        <f>IF($C41=1,Table!J17,"")</f>
        <v/>
      </c>
      <c r="I41" s="6" t="str">
        <f>IF($C41=1,Table!K17,"")</f>
        <v/>
      </c>
      <c r="J41" s="6" t="str">
        <f>IF($C41=1,Table!L17,"")</f>
        <v/>
      </c>
      <c r="K41" s="6" t="str">
        <f>IF($C41=1,Table!M17,"")</f>
        <v/>
      </c>
      <c r="L41" s="6" t="str">
        <f>IF($C41=1,Table!N17,"")</f>
        <v/>
      </c>
      <c r="M41" s="41" t="str">
        <f>IF(C41=1,((Table!K17-Table!L17)/NORMSINV(0.3))^2,"")</f>
        <v/>
      </c>
    </row>
    <row r="42" spans="1:13" x14ac:dyDescent="0.2">
      <c r="A42">
        <f t="shared" si="3"/>
        <v>11</v>
      </c>
      <c r="B42" s="53">
        <f>MAX(0,Table!I18-75)</f>
        <v>4.8591499999999996</v>
      </c>
      <c r="C42" t="str">
        <f t="shared" si="1"/>
        <v/>
      </c>
      <c r="D42" s="6" t="str">
        <f>IF($C42=1,Table!F18,"")</f>
        <v/>
      </c>
      <c r="E42" s="6" t="str">
        <f>IF($C42=1,Table!G18,"")</f>
        <v/>
      </c>
      <c r="F42" s="6" t="str">
        <f>IF($C42=1,Table!H18,"")</f>
        <v/>
      </c>
      <c r="G42" s="6" t="str">
        <f t="shared" si="2"/>
        <v/>
      </c>
      <c r="H42" s="6" t="str">
        <f>IF($C42=1,Table!J18,"")</f>
        <v/>
      </c>
      <c r="I42" s="6" t="str">
        <f>IF($C42=1,Table!K18,"")</f>
        <v/>
      </c>
      <c r="J42" s="6" t="str">
        <f>IF($C42=1,Table!L18,"")</f>
        <v/>
      </c>
      <c r="K42" s="6" t="str">
        <f>IF($C42=1,Table!M18,"")</f>
        <v/>
      </c>
      <c r="L42" s="6" t="str">
        <f>IF($C42=1,Table!N18,"")</f>
        <v/>
      </c>
      <c r="M42" s="41" t="str">
        <f>IF(C42=1,((Table!K18-Table!L18)/NORMSINV(0.3))^2,"")</f>
        <v/>
      </c>
    </row>
    <row r="43" spans="1:13" x14ac:dyDescent="0.2">
      <c r="A43">
        <f t="shared" si="3"/>
        <v>12</v>
      </c>
      <c r="B43" s="53">
        <f>MAX(0,Table!I19-75)</f>
        <v>8.2887800000000027</v>
      </c>
      <c r="C43" t="str">
        <f t="shared" si="1"/>
        <v/>
      </c>
      <c r="D43" s="6" t="str">
        <f>IF($C43=1,Table!F19,"")</f>
        <v/>
      </c>
      <c r="E43" s="6" t="str">
        <f>IF($C43=1,Table!G19,"")</f>
        <v/>
      </c>
      <c r="F43" s="6" t="str">
        <f>IF($C43=1,Table!H19,"")</f>
        <v/>
      </c>
      <c r="G43" s="6" t="str">
        <f t="shared" si="2"/>
        <v/>
      </c>
      <c r="H43" s="6" t="str">
        <f>IF($C43=1,Table!J19,"")</f>
        <v/>
      </c>
      <c r="I43" s="6" t="str">
        <f>IF($C43=1,Table!K19,"")</f>
        <v/>
      </c>
      <c r="J43" s="6" t="str">
        <f>IF($C43=1,Table!L19,"")</f>
        <v/>
      </c>
      <c r="K43" s="6" t="str">
        <f>IF($C43=1,Table!M19,"")</f>
        <v/>
      </c>
      <c r="L43" s="6" t="str">
        <f>IF($C43=1,Table!N19,"")</f>
        <v/>
      </c>
      <c r="M43" s="41" t="str">
        <f>IF(C43=1,((Table!K19-Table!L19)/NORMSINV(0.3))^2,"")</f>
        <v/>
      </c>
    </row>
    <row r="44" spans="1:13" x14ac:dyDescent="0.2">
      <c r="A44">
        <f t="shared" si="3"/>
        <v>13</v>
      </c>
      <c r="B44" s="53">
        <f>MAX(0,Table!I20-75)</f>
        <v>11.714389999999995</v>
      </c>
      <c r="C44" t="str">
        <f t="shared" si="1"/>
        <v/>
      </c>
      <c r="D44" s="6" t="str">
        <f>IF($C44=1,Table!F20,"")</f>
        <v/>
      </c>
      <c r="E44" s="6" t="str">
        <f>IF($C44=1,Table!G20,"")</f>
        <v/>
      </c>
      <c r="F44" s="6" t="str">
        <f>IF($C44=1,Table!H20,"")</f>
        <v/>
      </c>
      <c r="G44" s="6" t="str">
        <f t="shared" si="2"/>
        <v/>
      </c>
      <c r="H44" s="6" t="str">
        <f>IF($C44=1,Table!J20,"")</f>
        <v/>
      </c>
      <c r="I44" s="6" t="str">
        <f>IF($C44=1,Table!K20,"")</f>
        <v/>
      </c>
      <c r="J44" s="6" t="str">
        <f>IF($C44=1,Table!L20,"")</f>
        <v/>
      </c>
      <c r="K44" s="6" t="str">
        <f>IF($C44=1,Table!M20,"")</f>
        <v/>
      </c>
      <c r="L44" s="6" t="str">
        <f>IF($C44=1,Table!N20,"")</f>
        <v/>
      </c>
      <c r="M44" s="41" t="str">
        <f>IF(C44=1,((Table!K20-Table!L20)/NORMSINV(0.3))^2,"")</f>
        <v/>
      </c>
    </row>
    <row r="45" spans="1:13" x14ac:dyDescent="0.2">
      <c r="A45">
        <f t="shared" si="3"/>
        <v>14</v>
      </c>
      <c r="B45" s="53">
        <f>MAX(0,Table!I21-75)</f>
        <v>14.192149999999998</v>
      </c>
      <c r="C45" t="str">
        <f t="shared" si="1"/>
        <v/>
      </c>
      <c r="D45" s="6" t="str">
        <f>IF($C45=1,Table!F21,"")</f>
        <v/>
      </c>
      <c r="E45" s="6" t="str">
        <f>IF($C45=1,Table!G21,"")</f>
        <v/>
      </c>
      <c r="F45" s="6" t="str">
        <f>IF($C45=1,Table!H21,"")</f>
        <v/>
      </c>
      <c r="G45" s="6" t="str">
        <f t="shared" si="2"/>
        <v/>
      </c>
      <c r="H45" s="6" t="str">
        <f>IF($C45=1,Table!J21,"")</f>
        <v/>
      </c>
      <c r="I45" s="6" t="str">
        <f>IF($C45=1,Table!K21,"")</f>
        <v/>
      </c>
      <c r="J45" s="6" t="str">
        <f>IF($C45=1,Table!L21,"")</f>
        <v/>
      </c>
      <c r="K45" s="6" t="str">
        <f>IF($C45=1,Table!M21,"")</f>
        <v/>
      </c>
      <c r="L45" s="6" t="str">
        <f>IF($C45=1,Table!N21,"")</f>
        <v/>
      </c>
      <c r="M45" s="41" t="str">
        <f>IF(C45=1,((Table!K21-Table!L21)/NORMSINV(0.3))^2,"")</f>
        <v/>
      </c>
    </row>
    <row r="46" spans="1:13" x14ac:dyDescent="0.2">
      <c r="A46">
        <f t="shared" si="3"/>
        <v>15</v>
      </c>
      <c r="B46" s="53">
        <f>MAX(0,Table!I22-75)</f>
        <v>15.344179999999994</v>
      </c>
      <c r="C46" t="str">
        <f t="shared" si="1"/>
        <v/>
      </c>
      <c r="D46" s="6" t="str">
        <f>IF($C46=1,Table!F22,"")</f>
        <v/>
      </c>
      <c r="E46" s="6" t="str">
        <f>IF($C46=1,Table!G22,"")</f>
        <v/>
      </c>
      <c r="F46" s="6" t="str">
        <f>IF($C46=1,Table!H22,"")</f>
        <v/>
      </c>
      <c r="G46" s="6" t="str">
        <f t="shared" si="2"/>
        <v/>
      </c>
      <c r="H46" s="6" t="str">
        <f>IF($C46=1,Table!J22,"")</f>
        <v/>
      </c>
      <c r="I46" s="6" t="str">
        <f>IF($C46=1,Table!K22,"")</f>
        <v/>
      </c>
      <c r="J46" s="6" t="str">
        <f>IF($C46=1,Table!L22,"")</f>
        <v/>
      </c>
      <c r="K46" s="6" t="str">
        <f>IF($C46=1,Table!M22,"")</f>
        <v/>
      </c>
      <c r="L46" s="6" t="str">
        <f>IF($C46=1,Table!N22,"")</f>
        <v/>
      </c>
      <c r="M46" s="41" t="str">
        <f>IF(C46=1,((Table!K22-Table!L22)/NORMSINV(0.3))^2,"")</f>
        <v/>
      </c>
    </row>
    <row r="47" spans="1:13" x14ac:dyDescent="0.2">
      <c r="A47">
        <f t="shared" si="3"/>
        <v>16</v>
      </c>
      <c r="B47" s="53">
        <f>MAX(0,Table!I23-75)</f>
        <v>15.362520000000004</v>
      </c>
      <c r="C47">
        <f t="shared" si="1"/>
        <v>1</v>
      </c>
      <c r="D47" s="6">
        <f>IF($C47=1,Table!F23,"")</f>
        <v>295.35359999999997</v>
      </c>
      <c r="E47" s="6">
        <f>IF($C47=1,Table!G23,"")</f>
        <v>45.447699999999969</v>
      </c>
      <c r="F47" s="6">
        <f>IF($C47=1,Table!H23,"")</f>
        <v>249.9059</v>
      </c>
      <c r="G47" s="6">
        <f t="shared" si="2"/>
        <v>15.362520000000004</v>
      </c>
      <c r="H47" s="6">
        <f>IF($C47=1,Table!J23,"")</f>
        <v>247.8699</v>
      </c>
      <c r="I47" s="6">
        <f>IF($C47=1,Table!K23,"")</f>
        <v>249.0728</v>
      </c>
      <c r="J47" s="6">
        <f>IF($C47=1,Table!L23,"")</f>
        <v>249.9059</v>
      </c>
      <c r="K47" s="6">
        <f>IF($C47=1,Table!M23,"")</f>
        <v>250.739</v>
      </c>
      <c r="L47" s="6">
        <f>IF($C47=1,Table!N23,"")</f>
        <v>251.9418</v>
      </c>
      <c r="M47" s="41">
        <f>IF(C47=1,((Table!K23-Table!L23)/NORMSINV(0.3))^2,"")</f>
        <v>2.5238762313659886</v>
      </c>
    </row>
    <row r="48" spans="1:13" x14ac:dyDescent="0.2">
      <c r="A48">
        <f t="shared" si="3"/>
        <v>17</v>
      </c>
      <c r="B48" s="53">
        <f>MAX(0,Table!I24-75)</f>
        <v>15.567139999999995</v>
      </c>
      <c r="C48">
        <f t="shared" si="1"/>
        <v>1</v>
      </c>
      <c r="D48" s="6">
        <f>IF($C48=1,Table!F24,"")</f>
        <v>291.53660000000002</v>
      </c>
      <c r="E48" s="6">
        <f>IF($C48=1,Table!G24,"")</f>
        <v>46.121000000000009</v>
      </c>
      <c r="F48" s="6">
        <f>IF($C48=1,Table!H24,"")</f>
        <v>245.41560000000001</v>
      </c>
      <c r="G48" s="6">
        <f t="shared" si="2"/>
        <v>15.567139999999995</v>
      </c>
      <c r="H48" s="6">
        <f>IF($C48=1,Table!J24,"")</f>
        <v>243.273</v>
      </c>
      <c r="I48" s="6">
        <f>IF($C48=1,Table!K24,"")</f>
        <v>244.53880000000001</v>
      </c>
      <c r="J48" s="6">
        <f>IF($C48=1,Table!L24,"")</f>
        <v>245.41560000000001</v>
      </c>
      <c r="K48" s="6">
        <f>IF($C48=1,Table!M24,"")</f>
        <v>246.29230000000001</v>
      </c>
      <c r="L48" s="6">
        <f>IF($C48=1,Table!N24,"")</f>
        <v>247.5582</v>
      </c>
      <c r="M48" s="41">
        <f>IF(C48=1,((Table!K24-Table!L24)/NORMSINV(0.3))^2,"")</f>
        <v>2.7955989392944787</v>
      </c>
    </row>
    <row r="49" spans="1:13" x14ac:dyDescent="0.2">
      <c r="A49">
        <f t="shared" si="3"/>
        <v>18</v>
      </c>
      <c r="B49" s="53">
        <f>MAX(0,Table!I25-75)</f>
        <v>14.764279999999999</v>
      </c>
      <c r="C49">
        <f t="shared" si="1"/>
        <v>1</v>
      </c>
      <c r="D49" s="6">
        <f>IF($C49=1,Table!F25,"")</f>
        <v>287.6105</v>
      </c>
      <c r="E49" s="6">
        <f>IF($C49=1,Table!G25,"")</f>
        <v>46.487899999999996</v>
      </c>
      <c r="F49" s="6">
        <f>IF($C49=1,Table!H25,"")</f>
        <v>241.12260000000001</v>
      </c>
      <c r="G49" s="6">
        <f t="shared" si="2"/>
        <v>14.764279999999999</v>
      </c>
      <c r="H49" s="6">
        <f>IF($C49=1,Table!J25,"")</f>
        <v>238.97880000000001</v>
      </c>
      <c r="I49" s="6">
        <f>IF($C49=1,Table!K25,"")</f>
        <v>240.24539999999999</v>
      </c>
      <c r="J49" s="6">
        <f>IF($C49=1,Table!L25,"")</f>
        <v>241.12260000000001</v>
      </c>
      <c r="K49" s="6">
        <f>IF($C49=1,Table!M25,"")</f>
        <v>241.99979999999999</v>
      </c>
      <c r="L49" s="6">
        <f>IF($C49=1,Table!N25,"")</f>
        <v>243.2663</v>
      </c>
      <c r="M49" s="41">
        <f>IF(C49=1,((Table!K25-Table!L25)/NORMSINV(0.3))^2,"")</f>
        <v>2.7981502500806354</v>
      </c>
    </row>
    <row r="50" spans="1:13" x14ac:dyDescent="0.2">
      <c r="A50">
        <f t="shared" si="3"/>
        <v>19</v>
      </c>
      <c r="B50" s="53">
        <f>MAX(0,Table!I26-75)</f>
        <v>13.082750000000004</v>
      </c>
      <c r="C50">
        <f t="shared" si="1"/>
        <v>1</v>
      </c>
      <c r="D50" s="6">
        <f>IF($C50=1,Table!F26,"")</f>
        <v>295.27530000000002</v>
      </c>
      <c r="E50" s="6">
        <f>IF($C50=1,Table!G26,"")</f>
        <v>46.89100000000002</v>
      </c>
      <c r="F50" s="6">
        <f>IF($C50=1,Table!H26,"")</f>
        <v>248.3843</v>
      </c>
      <c r="G50" s="6">
        <f t="shared" si="2"/>
        <v>13.082750000000004</v>
      </c>
      <c r="H50" s="6">
        <f>IF($C50=1,Table!J26,"")</f>
        <v>246.209</v>
      </c>
      <c r="I50" s="6">
        <f>IF($C50=1,Table!K26,"")</f>
        <v>247.49420000000001</v>
      </c>
      <c r="J50" s="6">
        <f>IF($C50=1,Table!L26,"")</f>
        <v>248.3843</v>
      </c>
      <c r="K50" s="6">
        <f>IF($C50=1,Table!M26,"")</f>
        <v>249.27449999999999</v>
      </c>
      <c r="L50" s="6">
        <f>IF($C50=1,Table!N26,"")</f>
        <v>250.55969999999999</v>
      </c>
      <c r="M50" s="41">
        <f>IF(C50=1,((Table!K26-Table!L26)/NORMSINV(0.3))^2,"")</f>
        <v>2.8810539231472978</v>
      </c>
    </row>
    <row r="51" spans="1:13" x14ac:dyDescent="0.2">
      <c r="A51">
        <f t="shared" si="3"/>
        <v>20</v>
      </c>
      <c r="B51" s="53">
        <f>MAX(0,Table!I27-75)</f>
        <v>9.1694200000000023</v>
      </c>
      <c r="C51" t="str">
        <f t="shared" si="1"/>
        <v/>
      </c>
      <c r="D51" s="6" t="str">
        <f>IF($C51=1,Table!F27,"")</f>
        <v/>
      </c>
      <c r="E51" s="6" t="str">
        <f>IF($C51=1,Table!G27,"")</f>
        <v/>
      </c>
      <c r="F51" s="6" t="str">
        <f>IF($C51=1,Table!H27,"")</f>
        <v/>
      </c>
      <c r="G51" s="6" t="str">
        <f t="shared" si="2"/>
        <v/>
      </c>
      <c r="H51" s="6" t="str">
        <f>IF($C51=1,Table!J27,"")</f>
        <v/>
      </c>
      <c r="I51" s="6" t="str">
        <f>IF($C51=1,Table!K27,"")</f>
        <v/>
      </c>
      <c r="J51" s="6" t="str">
        <f>IF($C51=1,Table!L27,"")</f>
        <v/>
      </c>
      <c r="K51" s="6" t="str">
        <f>IF($C51=1,Table!M27,"")</f>
        <v/>
      </c>
      <c r="L51" s="6" t="str">
        <f>IF($C51=1,Table!N27,"")</f>
        <v/>
      </c>
      <c r="M51" s="41" t="str">
        <f>IF(C51=1,((Table!K27-Table!L27)/NORMSINV(0.3))^2,"")</f>
        <v/>
      </c>
    </row>
    <row r="52" spans="1:13" x14ac:dyDescent="0.2">
      <c r="A52">
        <f t="shared" si="3"/>
        <v>21</v>
      </c>
      <c r="B52" s="53">
        <f>MAX(0,Table!I28-75)</f>
        <v>5.6963300000000032</v>
      </c>
      <c r="C52" t="str">
        <f t="shared" si="1"/>
        <v/>
      </c>
      <c r="D52" s="6" t="str">
        <f>IF($C52=1,Table!F28,"")</f>
        <v/>
      </c>
      <c r="E52" s="6" t="str">
        <f>IF($C52=1,Table!G28,"")</f>
        <v/>
      </c>
      <c r="F52" s="6" t="str">
        <f>IF($C52=1,Table!H28,"")</f>
        <v/>
      </c>
      <c r="G52" s="6" t="str">
        <f t="shared" si="2"/>
        <v/>
      </c>
      <c r="H52" s="6" t="str">
        <f>IF($C52=1,Table!J28,"")</f>
        <v/>
      </c>
      <c r="I52" s="6" t="str">
        <f>IF($C52=1,Table!K28,"")</f>
        <v/>
      </c>
      <c r="J52" s="6" t="str">
        <f>IF($C52=1,Table!L28,"")</f>
        <v/>
      </c>
      <c r="K52" s="6" t="str">
        <f>IF($C52=1,Table!M28,"")</f>
        <v/>
      </c>
      <c r="L52" s="6" t="str">
        <f>IF($C52=1,Table!N28,"")</f>
        <v/>
      </c>
      <c r="M52" s="41" t="str">
        <f>IF(C52=1,((Table!K28-Table!L28)/NORMSINV(0.3))^2,"")</f>
        <v/>
      </c>
    </row>
    <row r="53" spans="1:13" x14ac:dyDescent="0.2">
      <c r="A53">
        <f t="shared" si="3"/>
        <v>22</v>
      </c>
      <c r="B53" s="53">
        <f>MAX(0,Table!I29-75)</f>
        <v>3.6345400000000012</v>
      </c>
      <c r="C53" t="str">
        <f t="shared" si="1"/>
        <v/>
      </c>
      <c r="D53" s="6" t="str">
        <f>IF($C53=1,Table!F29,"")</f>
        <v/>
      </c>
      <c r="E53" s="6" t="str">
        <f>IF($C53=1,Table!G29,"")</f>
        <v/>
      </c>
      <c r="F53" s="6" t="str">
        <f>IF($C53=1,Table!H29,"")</f>
        <v/>
      </c>
      <c r="G53" s="6" t="str">
        <f t="shared" si="2"/>
        <v/>
      </c>
      <c r="H53" s="6" t="str">
        <f>IF($C53=1,Table!J29,"")</f>
        <v/>
      </c>
      <c r="I53" s="6" t="str">
        <f>IF($C53=1,Table!K29,"")</f>
        <v/>
      </c>
      <c r="J53" s="6" t="str">
        <f>IF($C53=1,Table!L29,"")</f>
        <v/>
      </c>
      <c r="K53" s="6" t="str">
        <f>IF($C53=1,Table!M29,"")</f>
        <v/>
      </c>
      <c r="L53" s="6" t="str">
        <f>IF($C53=1,Table!N29,"")</f>
        <v/>
      </c>
      <c r="M53" s="41" t="str">
        <f>IF(C53=1,((Table!K29-Table!L29)/NORMSINV(0.3))^2,"")</f>
        <v/>
      </c>
    </row>
    <row r="54" spans="1:13" x14ac:dyDescent="0.2">
      <c r="A54">
        <f t="shared" si="3"/>
        <v>23</v>
      </c>
      <c r="B54" s="53">
        <f>MAX(0,Table!I30-75)</f>
        <v>1.9823399999999936</v>
      </c>
      <c r="C54" t="str">
        <f t="shared" si="1"/>
        <v/>
      </c>
      <c r="D54" s="6" t="str">
        <f>IF($C54=1,Table!F30,"")</f>
        <v/>
      </c>
      <c r="E54" s="6" t="str">
        <f>IF($C54=1,Table!G30,"")</f>
        <v/>
      </c>
      <c r="F54" s="6" t="str">
        <f>IF($C54=1,Table!H30,"")</f>
        <v/>
      </c>
      <c r="G54" s="6" t="str">
        <f t="shared" si="2"/>
        <v/>
      </c>
      <c r="H54" s="6" t="str">
        <f>IF($C54=1,Table!J30,"")</f>
        <v/>
      </c>
      <c r="I54" s="6" t="str">
        <f>IF($C54=1,Table!K30,"")</f>
        <v/>
      </c>
      <c r="J54" s="6" t="str">
        <f>IF($C54=1,Table!L30,"")</f>
        <v/>
      </c>
      <c r="K54" s="6" t="str">
        <f>IF($C54=1,Table!M30,"")</f>
        <v/>
      </c>
      <c r="L54" s="6" t="str">
        <f>IF($C54=1,Table!N30,"")</f>
        <v/>
      </c>
      <c r="M54" s="41" t="str">
        <f>IF(C54=1,((Table!K30-Table!L30)/NORMSINV(0.3))^2,"")</f>
        <v/>
      </c>
    </row>
    <row r="55" spans="1:13" x14ac:dyDescent="0.2">
      <c r="A55">
        <f t="shared" si="3"/>
        <v>24</v>
      </c>
      <c r="B55" s="53">
        <f>MAX(0,Table!I31-75)</f>
        <v>0.3317299999999932</v>
      </c>
      <c r="C55" t="str">
        <f t="shared" si="1"/>
        <v/>
      </c>
      <c r="D55" s="6" t="str">
        <f>IF($C55=1,Table!F31,"")</f>
        <v/>
      </c>
      <c r="E55" s="6" t="str">
        <f>IF($C55=1,Table!G31,"")</f>
        <v/>
      </c>
      <c r="F55" s="6" t="str">
        <f>IF($C55=1,Table!H31,"")</f>
        <v/>
      </c>
      <c r="G55" s="6" t="str">
        <f t="shared" si="2"/>
        <v/>
      </c>
      <c r="H55" s="6" t="str">
        <f>IF($C55=1,Table!J31,"")</f>
        <v/>
      </c>
      <c r="I55" s="6" t="str">
        <f>IF($C55=1,Table!K31,"")</f>
        <v/>
      </c>
      <c r="J55" s="6" t="str">
        <f>IF($C55=1,Table!L31,"")</f>
        <v/>
      </c>
      <c r="K55" s="6" t="str">
        <f>IF($C55=1,Table!M31,"")</f>
        <v/>
      </c>
      <c r="L55" s="6" t="str">
        <f>IF($C55=1,Table!N31,"")</f>
        <v/>
      </c>
      <c r="M55" s="41" t="str">
        <f>IF(C55=1,((Table!K31-Table!L31)/NORMSINV(0.3))^2,"")</f>
        <v/>
      </c>
    </row>
    <row r="56" spans="1:13" x14ac:dyDescent="0.2">
      <c r="A56" s="45" t="s">
        <v>236</v>
      </c>
      <c r="D56">
        <f>AVERAGE(D32:D55)</f>
        <v>292.44400000000002</v>
      </c>
      <c r="E56">
        <f>AVERAGE(E32:E55)</f>
        <v>46.236899999999999</v>
      </c>
      <c r="F56">
        <f>AVERAGE(F32:F55)</f>
        <v>246.20710000000003</v>
      </c>
      <c r="G56" s="6">
        <f>SUM(G32:G55)</f>
        <v>58.776690000000002</v>
      </c>
      <c r="H56">
        <f t="shared" ref="H56:L56" si="4">AVERAGE(H32:H55)</f>
        <v>244.08267499999999</v>
      </c>
      <c r="I56">
        <f t="shared" si="4"/>
        <v>245.33779999999999</v>
      </c>
      <c r="J56">
        <f t="shared" si="4"/>
        <v>246.20710000000003</v>
      </c>
      <c r="K56">
        <f t="shared" si="4"/>
        <v>247.07639999999998</v>
      </c>
      <c r="L56">
        <f t="shared" si="4"/>
        <v>248.33150000000001</v>
      </c>
      <c r="M56" s="53">
        <f>SQRT((1/SUM(C32:C55)^2*SUM(M32:M55)))</f>
        <v>0.82910642199480344</v>
      </c>
    </row>
    <row r="57" spans="1:13" x14ac:dyDescent="0.2">
      <c r="G57" s="6"/>
      <c r="H57" s="6"/>
    </row>
    <row r="58" spans="1:13" x14ac:dyDescent="0.2">
      <c r="B58" t="s">
        <v>249</v>
      </c>
      <c r="C58">
        <v>0.1</v>
      </c>
      <c r="D58">
        <v>0.3</v>
      </c>
      <c r="E58">
        <v>0.5</v>
      </c>
      <c r="F58">
        <v>0.7</v>
      </c>
      <c r="G58" s="6">
        <v>0.9</v>
      </c>
      <c r="H58" s="6"/>
    </row>
    <row r="59" spans="1:13" x14ac:dyDescent="0.2">
      <c r="A59" s="45" t="s">
        <v>251</v>
      </c>
      <c r="B59">
        <f>IF(Result_type="Aggregate Impact",B60,B61)</f>
        <v>1.5169379999999999</v>
      </c>
      <c r="C59" s="53">
        <f>NORMINV(C58,$F$56,$B$59)</f>
        <v>244.26306573126593</v>
      </c>
      <c r="D59" s="53">
        <f t="shared" ref="D59:G59" si="5">NORMINV(D58,$F$56,$B$59)</f>
        <v>245.41161693505373</v>
      </c>
      <c r="E59" s="53">
        <f t="shared" si="5"/>
        <v>246.20710000000003</v>
      </c>
      <c r="F59" s="53">
        <f t="shared" si="5"/>
        <v>247.00258306494632</v>
      </c>
      <c r="G59" s="53">
        <f t="shared" si="5"/>
        <v>248.15113426873413</v>
      </c>
      <c r="H59" s="6"/>
    </row>
    <row r="60" spans="1:13" x14ac:dyDescent="0.2">
      <c r="A60" s="45" t="s">
        <v>252</v>
      </c>
      <c r="B60">
        <f>DGET(data,"stderr_evt_hr",_xlnm.Criteria)</f>
        <v>1.5169379999999999</v>
      </c>
      <c r="G60" s="6"/>
      <c r="H60" s="6"/>
    </row>
    <row r="61" spans="1:13" x14ac:dyDescent="0.2">
      <c r="A61" s="45" t="s">
        <v>253</v>
      </c>
      <c r="B61">
        <f>B60*1000/Bid</f>
        <v>7.4359705882352936</v>
      </c>
      <c r="G61" s="6"/>
      <c r="H61" s="6"/>
    </row>
    <row r="62" spans="1:13" x14ac:dyDescent="0.2">
      <c r="G62" s="6"/>
      <c r="H62" s="6"/>
    </row>
    <row r="63" spans="1:13" x14ac:dyDescent="0.2">
      <c r="G63" s="6"/>
      <c r="H63" s="6"/>
    </row>
    <row r="64" spans="1:13" x14ac:dyDescent="0.2">
      <c r="G64" s="6"/>
      <c r="H64" s="6"/>
    </row>
    <row r="65" spans="7:8" x14ac:dyDescent="0.2">
      <c r="G65" s="6"/>
      <c r="H65" s="6"/>
    </row>
    <row r="66" spans="7:8" x14ac:dyDescent="0.2">
      <c r="G66" s="6"/>
      <c r="H66" s="6"/>
    </row>
    <row r="67" spans="7:8" x14ac:dyDescent="0.2">
      <c r="G67" s="6"/>
      <c r="H67" s="6"/>
    </row>
    <row r="68" spans="7:8" x14ac:dyDescent="0.2">
      <c r="G68" s="6"/>
      <c r="H68" s="6"/>
    </row>
    <row r="69" spans="7:8" x14ac:dyDescent="0.2">
      <c r="G69" s="6"/>
      <c r="H69" s="6"/>
    </row>
    <row r="70" spans="7:8" x14ac:dyDescent="0.2">
      <c r="G70" s="6"/>
      <c r="H70" s="6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0239"/>
  <sheetViews>
    <sheetView zoomScaleNormal="100" workbookViewId="0">
      <pane xSplit="7" ySplit="1" topLeftCell="FK26" activePane="bottomRight" state="frozen"/>
      <selection activeCell="G33" sqref="G33"/>
      <selection pane="topRight" activeCell="G33" sqref="G33"/>
      <selection pane="bottomLeft" activeCell="G33" sqref="G33"/>
      <selection pane="bottomRight" activeCell="E27" sqref="E27"/>
    </sheetView>
  </sheetViews>
  <sheetFormatPr defaultRowHeight="12.75" x14ac:dyDescent="0.2"/>
  <cols>
    <col min="1" max="1" width="31" bestFit="1" customWidth="1"/>
    <col min="2" max="2" width="15.5703125" customWidth="1"/>
    <col min="3" max="3" width="16.42578125" customWidth="1"/>
    <col min="4" max="4" width="11.85546875" customWidth="1"/>
    <col min="5" max="5" width="16" customWidth="1"/>
    <col min="6" max="6" width="10" customWidth="1"/>
    <col min="7" max="7" width="8" customWidth="1"/>
    <col min="8" max="31" width="10" customWidth="1"/>
    <col min="32" max="40" width="12.85546875" customWidth="1"/>
    <col min="41" max="55" width="14" customWidth="1"/>
    <col min="56" max="64" width="12.85546875" customWidth="1"/>
    <col min="65" max="79" width="14" customWidth="1"/>
    <col min="80" max="88" width="12.85546875" customWidth="1"/>
    <col min="89" max="103" width="14" customWidth="1"/>
    <col min="104" max="112" width="12.85546875" customWidth="1"/>
    <col min="113" max="127" width="14" customWidth="1"/>
    <col min="128" max="136" width="12.85546875" customWidth="1"/>
    <col min="137" max="151" width="14" customWidth="1"/>
    <col min="152" max="160" width="9" customWidth="1"/>
    <col min="161" max="175" width="9.7109375" customWidth="1"/>
    <col min="176" max="177" width="12" bestFit="1" customWidth="1"/>
    <col min="178" max="178" width="9.28515625" customWidth="1"/>
    <col min="179" max="181" width="10.140625" bestFit="1" customWidth="1"/>
  </cols>
  <sheetData>
    <row r="1" spans="1:176" x14ac:dyDescent="0.2">
      <c r="A1" s="68" t="s">
        <v>213</v>
      </c>
      <c r="B1" t="s">
        <v>214</v>
      </c>
      <c r="C1" t="s">
        <v>215</v>
      </c>
      <c r="D1" t="s">
        <v>250</v>
      </c>
      <c r="E1" t="s">
        <v>239</v>
      </c>
      <c r="F1" t="s">
        <v>246</v>
      </c>
      <c r="G1" t="s">
        <v>167</v>
      </c>
      <c r="H1" t="s">
        <v>168</v>
      </c>
      <c r="I1" t="s">
        <v>169</v>
      </c>
      <c r="J1" t="s">
        <v>170</v>
      </c>
      <c r="K1" t="s">
        <v>171</v>
      </c>
      <c r="L1" t="s">
        <v>172</v>
      </c>
      <c r="M1" t="s">
        <v>173</v>
      </c>
      <c r="N1" t="s">
        <v>174</v>
      </c>
      <c r="O1" t="s">
        <v>175</v>
      </c>
      <c r="P1" t="s">
        <v>176</v>
      </c>
      <c r="Q1" t="s">
        <v>177</v>
      </c>
      <c r="R1" t="s">
        <v>178</v>
      </c>
      <c r="S1" t="s">
        <v>179</v>
      </c>
      <c r="T1" t="s">
        <v>180</v>
      </c>
      <c r="U1" t="s">
        <v>181</v>
      </c>
      <c r="V1" t="s">
        <v>182</v>
      </c>
      <c r="W1" t="s">
        <v>183</v>
      </c>
      <c r="X1" t="s">
        <v>184</v>
      </c>
      <c r="Y1" t="s">
        <v>185</v>
      </c>
      <c r="Z1" t="s">
        <v>186</v>
      </c>
      <c r="AA1" t="s">
        <v>187</v>
      </c>
      <c r="AB1" t="s">
        <v>188</v>
      </c>
      <c r="AC1" t="s">
        <v>189</v>
      </c>
      <c r="AD1" t="s">
        <v>190</v>
      </c>
      <c r="AE1" t="s">
        <v>22</v>
      </c>
      <c r="AF1" t="s">
        <v>23</v>
      </c>
      <c r="AG1" t="s">
        <v>24</v>
      </c>
      <c r="AH1" t="s">
        <v>25</v>
      </c>
      <c r="AI1" t="s">
        <v>26</v>
      </c>
      <c r="AJ1" t="s">
        <v>27</v>
      </c>
      <c r="AK1" t="s">
        <v>28</v>
      </c>
      <c r="AL1" t="s">
        <v>29</v>
      </c>
      <c r="AM1" t="s">
        <v>30</v>
      </c>
      <c r="AN1" t="s">
        <v>31</v>
      </c>
      <c r="AO1" t="s">
        <v>32</v>
      </c>
      <c r="AP1" t="s">
        <v>33</v>
      </c>
      <c r="AQ1" t="s">
        <v>34</v>
      </c>
      <c r="AR1" t="s">
        <v>35</v>
      </c>
      <c r="AS1" t="s">
        <v>36</v>
      </c>
      <c r="AT1" t="s">
        <v>37</v>
      </c>
      <c r="AU1" t="s">
        <v>38</v>
      </c>
      <c r="AV1" t="s">
        <v>39</v>
      </c>
      <c r="AW1" t="s">
        <v>40</v>
      </c>
      <c r="AX1" t="s">
        <v>41</v>
      </c>
      <c r="AY1" t="s">
        <v>42</v>
      </c>
      <c r="AZ1" t="s">
        <v>43</v>
      </c>
      <c r="BA1" t="s">
        <v>44</v>
      </c>
      <c r="BB1" t="s">
        <v>45</v>
      </c>
      <c r="BC1" t="s">
        <v>46</v>
      </c>
      <c r="BD1" t="s">
        <v>47</v>
      </c>
      <c r="BE1" t="s">
        <v>48</v>
      </c>
      <c r="BF1" t="s">
        <v>49</v>
      </c>
      <c r="BG1" t="s">
        <v>50</v>
      </c>
      <c r="BH1" t="s">
        <v>51</v>
      </c>
      <c r="BI1" t="s">
        <v>52</v>
      </c>
      <c r="BJ1" t="s">
        <v>53</v>
      </c>
      <c r="BK1" t="s">
        <v>54</v>
      </c>
      <c r="BL1" t="s">
        <v>55</v>
      </c>
      <c r="BM1" t="s">
        <v>56</v>
      </c>
      <c r="BN1" t="s">
        <v>57</v>
      </c>
      <c r="BO1" t="s">
        <v>58</v>
      </c>
      <c r="BP1" t="s">
        <v>59</v>
      </c>
      <c r="BQ1" t="s">
        <v>60</v>
      </c>
      <c r="BR1" t="s">
        <v>61</v>
      </c>
      <c r="BS1" t="s">
        <v>62</v>
      </c>
      <c r="BT1" t="s">
        <v>63</v>
      </c>
      <c r="BU1" t="s">
        <v>64</v>
      </c>
      <c r="BV1" t="s">
        <v>65</v>
      </c>
      <c r="BW1" t="s">
        <v>66</v>
      </c>
      <c r="BX1" t="s">
        <v>67</v>
      </c>
      <c r="BY1" t="s">
        <v>68</v>
      </c>
      <c r="BZ1" t="s">
        <v>69</v>
      </c>
      <c r="CA1" t="s">
        <v>70</v>
      </c>
      <c r="CB1" t="s">
        <v>71</v>
      </c>
      <c r="CC1" t="s">
        <v>72</v>
      </c>
      <c r="CD1" t="s">
        <v>73</v>
      </c>
      <c r="CE1" t="s">
        <v>74</v>
      </c>
      <c r="CF1" t="s">
        <v>75</v>
      </c>
      <c r="CG1" t="s">
        <v>76</v>
      </c>
      <c r="CH1" t="s">
        <v>77</v>
      </c>
      <c r="CI1" t="s">
        <v>78</v>
      </c>
      <c r="CJ1" t="s">
        <v>79</v>
      </c>
      <c r="CK1" t="s">
        <v>80</v>
      </c>
      <c r="CL1" t="s">
        <v>81</v>
      </c>
      <c r="CM1" t="s">
        <v>82</v>
      </c>
      <c r="CN1" t="s">
        <v>83</v>
      </c>
      <c r="CO1" t="s">
        <v>84</v>
      </c>
      <c r="CP1" t="s">
        <v>85</v>
      </c>
      <c r="CQ1" t="s">
        <v>86</v>
      </c>
      <c r="CR1" t="s">
        <v>87</v>
      </c>
      <c r="CS1" t="s">
        <v>88</v>
      </c>
      <c r="CT1" t="s">
        <v>89</v>
      </c>
      <c r="CU1" t="s">
        <v>90</v>
      </c>
      <c r="CV1" t="s">
        <v>91</v>
      </c>
      <c r="CW1" t="s">
        <v>92</v>
      </c>
      <c r="CX1" t="s">
        <v>93</v>
      </c>
      <c r="CY1" t="s">
        <v>94</v>
      </c>
      <c r="CZ1" t="s">
        <v>95</v>
      </c>
      <c r="DA1" t="s">
        <v>96</v>
      </c>
      <c r="DB1" t="s">
        <v>97</v>
      </c>
      <c r="DC1" t="s">
        <v>98</v>
      </c>
      <c r="DD1" t="s">
        <v>99</v>
      </c>
      <c r="DE1" t="s">
        <v>100</v>
      </c>
      <c r="DF1" t="s">
        <v>101</v>
      </c>
      <c r="DG1" t="s">
        <v>102</v>
      </c>
      <c r="DH1" t="s">
        <v>103</v>
      </c>
      <c r="DI1" t="s">
        <v>104</v>
      </c>
      <c r="DJ1" t="s">
        <v>105</v>
      </c>
      <c r="DK1" t="s">
        <v>106</v>
      </c>
      <c r="DL1" t="s">
        <v>107</v>
      </c>
      <c r="DM1" t="s">
        <v>108</v>
      </c>
      <c r="DN1" t="s">
        <v>109</v>
      </c>
      <c r="DO1" t="s">
        <v>110</v>
      </c>
      <c r="DP1" t="s">
        <v>111</v>
      </c>
      <c r="DQ1" t="s">
        <v>112</v>
      </c>
      <c r="DR1" t="s">
        <v>113</v>
      </c>
      <c r="DS1" t="s">
        <v>114</v>
      </c>
      <c r="DT1" t="s">
        <v>115</v>
      </c>
      <c r="DU1" t="s">
        <v>116</v>
      </c>
      <c r="DV1" t="s">
        <v>117</v>
      </c>
      <c r="DW1" t="s">
        <v>118</v>
      </c>
      <c r="DX1" t="s">
        <v>119</v>
      </c>
      <c r="DY1" t="s">
        <v>120</v>
      </c>
      <c r="DZ1" t="s">
        <v>121</v>
      </c>
      <c r="EA1" t="s">
        <v>122</v>
      </c>
      <c r="EB1" t="s">
        <v>123</v>
      </c>
      <c r="EC1" t="s">
        <v>124</v>
      </c>
      <c r="ED1" t="s">
        <v>125</v>
      </c>
      <c r="EE1" t="s">
        <v>126</v>
      </c>
      <c r="EF1" t="s">
        <v>127</v>
      </c>
      <c r="EG1" t="s">
        <v>128</v>
      </c>
      <c r="EH1" t="s">
        <v>129</v>
      </c>
      <c r="EI1" t="s">
        <v>130</v>
      </c>
      <c r="EJ1" t="s">
        <v>131</v>
      </c>
      <c r="EK1" t="s">
        <v>132</v>
      </c>
      <c r="EL1" t="s">
        <v>133</v>
      </c>
      <c r="EM1" t="s">
        <v>134</v>
      </c>
      <c r="EN1" t="s">
        <v>135</v>
      </c>
      <c r="EO1" t="s">
        <v>136</v>
      </c>
      <c r="EP1" t="s">
        <v>137</v>
      </c>
      <c r="EQ1" t="s">
        <v>138</v>
      </c>
      <c r="ER1" t="s">
        <v>139</v>
      </c>
      <c r="ES1" t="s">
        <v>140</v>
      </c>
      <c r="ET1" t="s">
        <v>141</v>
      </c>
      <c r="EU1" t="s">
        <v>142</v>
      </c>
      <c r="EV1" t="s">
        <v>143</v>
      </c>
      <c r="EW1" t="s">
        <v>144</v>
      </c>
      <c r="EX1" t="s">
        <v>145</v>
      </c>
      <c r="EY1" t="s">
        <v>146</v>
      </c>
      <c r="EZ1" t="s">
        <v>147</v>
      </c>
      <c r="FA1" t="s">
        <v>148</v>
      </c>
      <c r="FB1" t="s">
        <v>149</v>
      </c>
      <c r="FC1" t="s">
        <v>150</v>
      </c>
      <c r="FD1" t="s">
        <v>151</v>
      </c>
      <c r="FE1" t="s">
        <v>152</v>
      </c>
      <c r="FF1" t="s">
        <v>153</v>
      </c>
      <c r="FG1" t="s">
        <v>154</v>
      </c>
      <c r="FH1" t="s">
        <v>155</v>
      </c>
      <c r="FI1" t="s">
        <v>156</v>
      </c>
      <c r="FJ1" t="s">
        <v>157</v>
      </c>
      <c r="FK1" t="s">
        <v>158</v>
      </c>
      <c r="FL1" t="s">
        <v>159</v>
      </c>
      <c r="FM1" t="s">
        <v>160</v>
      </c>
      <c r="FN1" t="s">
        <v>161</v>
      </c>
      <c r="FO1" t="s">
        <v>162</v>
      </c>
      <c r="FP1" t="s">
        <v>163</v>
      </c>
      <c r="FQ1" t="s">
        <v>164</v>
      </c>
      <c r="FR1" t="s">
        <v>165</v>
      </c>
      <c r="FS1" t="s">
        <v>248</v>
      </c>
      <c r="FT1" s="45" t="s">
        <v>249</v>
      </c>
    </row>
    <row r="2" spans="1:176" x14ac:dyDescent="0.2">
      <c r="A2" t="s">
        <v>1</v>
      </c>
      <c r="B2" t="s">
        <v>202</v>
      </c>
      <c r="C2" s="69">
        <v>42215</v>
      </c>
      <c r="D2">
        <v>0</v>
      </c>
      <c r="E2" s="78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0</v>
      </c>
      <c r="FQ2">
        <v>0</v>
      </c>
      <c r="FR2">
        <v>0</v>
      </c>
      <c r="FS2">
        <v>0</v>
      </c>
      <c r="FT2" s="45">
        <v>0</v>
      </c>
    </row>
    <row r="3" spans="1:176" x14ac:dyDescent="0.2">
      <c r="A3" t="s">
        <v>1</v>
      </c>
      <c r="B3" t="s">
        <v>202</v>
      </c>
      <c r="C3" s="69">
        <v>42269</v>
      </c>
      <c r="D3">
        <v>0</v>
      </c>
      <c r="E3" s="78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0</v>
      </c>
      <c r="FT3" s="45">
        <v>0</v>
      </c>
    </row>
    <row r="4" spans="1:176" x14ac:dyDescent="0.2">
      <c r="A4" t="s">
        <v>1</v>
      </c>
      <c r="B4" t="s">
        <v>202</v>
      </c>
      <c r="C4" s="69" t="s">
        <v>2</v>
      </c>
      <c r="D4">
        <v>0</v>
      </c>
      <c r="E4" s="78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 s="45">
        <v>0</v>
      </c>
    </row>
    <row r="5" spans="1:176" x14ac:dyDescent="0.2">
      <c r="A5" t="s">
        <v>1</v>
      </c>
      <c r="B5" t="s">
        <v>203</v>
      </c>
      <c r="C5" s="69">
        <v>42215</v>
      </c>
      <c r="D5">
        <v>194</v>
      </c>
      <c r="E5" s="78">
        <v>194</v>
      </c>
      <c r="F5">
        <v>47.500999999999998</v>
      </c>
      <c r="G5">
        <v>288.3886</v>
      </c>
      <c r="H5">
        <v>285.08269999999999</v>
      </c>
      <c r="I5">
        <v>283.07060000000001</v>
      </c>
      <c r="J5">
        <v>288.68619999999999</v>
      </c>
      <c r="K5">
        <v>297.18110000000001</v>
      </c>
      <c r="L5">
        <v>312.27319999999997</v>
      </c>
      <c r="M5">
        <v>331.70089999999999</v>
      </c>
      <c r="N5">
        <v>334.66419999999999</v>
      </c>
      <c r="O5">
        <v>337.32389999999998</v>
      </c>
      <c r="P5">
        <v>337.06849999999997</v>
      </c>
      <c r="Q5">
        <v>334.28829999999999</v>
      </c>
      <c r="R5">
        <v>326.0061</v>
      </c>
      <c r="S5">
        <v>316.4384</v>
      </c>
      <c r="T5">
        <v>313.75700000000001</v>
      </c>
      <c r="U5">
        <v>303.8005</v>
      </c>
      <c r="V5">
        <v>294.40629999999999</v>
      </c>
      <c r="W5">
        <v>290.60430000000002</v>
      </c>
      <c r="X5">
        <v>286.74549999999999</v>
      </c>
      <c r="Y5">
        <v>294.47230000000002</v>
      </c>
      <c r="Z5">
        <v>300.28370000000001</v>
      </c>
      <c r="AA5">
        <v>301.6771</v>
      </c>
      <c r="AB5">
        <v>303.85660000000001</v>
      </c>
      <c r="AC5">
        <v>298.39729999999997</v>
      </c>
      <c r="AD5">
        <v>293.66699999999997</v>
      </c>
      <c r="AE5">
        <v>-5.6950440000000002</v>
      </c>
      <c r="AF5">
        <v>-2.6378940000000002</v>
      </c>
      <c r="AG5">
        <v>-1.438717</v>
      </c>
      <c r="AH5">
        <v>-5.478205</v>
      </c>
      <c r="AI5">
        <v>-4.0677139999999996</v>
      </c>
      <c r="AJ5">
        <v>-7.4816779999999996</v>
      </c>
      <c r="AK5">
        <v>-5.4298690000000001</v>
      </c>
      <c r="AL5">
        <v>-2.9357920000000002</v>
      </c>
      <c r="AM5">
        <v>3.518802</v>
      </c>
      <c r="AN5">
        <v>1.7059219999999999</v>
      </c>
      <c r="AO5">
        <v>1.4593879999999999</v>
      </c>
      <c r="AP5">
        <v>-4.5244150000000003</v>
      </c>
      <c r="AQ5">
        <v>-5.1309589999999998</v>
      </c>
      <c r="AR5">
        <v>-5.1580440000000003</v>
      </c>
      <c r="AS5">
        <v>76.209819999999993</v>
      </c>
      <c r="AT5">
        <v>247.25790000000001</v>
      </c>
      <c r="AU5">
        <v>242.66640000000001</v>
      </c>
      <c r="AV5">
        <v>238.43190000000001</v>
      </c>
      <c r="AW5">
        <v>245.70609999999999</v>
      </c>
      <c r="AX5">
        <v>139.24039999999999</v>
      </c>
      <c r="AY5">
        <v>69.008150000000001</v>
      </c>
      <c r="AZ5">
        <v>54.958799999999997</v>
      </c>
      <c r="BA5">
        <v>40.648910000000001</v>
      </c>
      <c r="BB5">
        <v>31.125800000000002</v>
      </c>
      <c r="BC5">
        <v>-4.6833549999999997</v>
      </c>
      <c r="BD5">
        <v>-1.838517</v>
      </c>
      <c r="BE5">
        <v>-0.74329730000000005</v>
      </c>
      <c r="BF5">
        <v>-4.7872490000000001</v>
      </c>
      <c r="BG5">
        <v>-3.3297059999999998</v>
      </c>
      <c r="BH5">
        <v>-6.7324669999999998</v>
      </c>
      <c r="BI5">
        <v>-4.7145159999999997</v>
      </c>
      <c r="BJ5">
        <v>-2.15361</v>
      </c>
      <c r="BK5">
        <v>4.4981059999999999</v>
      </c>
      <c r="BL5">
        <v>2.7840280000000002</v>
      </c>
      <c r="BM5">
        <v>2.7067220000000001</v>
      </c>
      <c r="BN5">
        <v>-3.3329819999999999</v>
      </c>
      <c r="BO5">
        <v>-4.0204420000000001</v>
      </c>
      <c r="BP5">
        <v>-4.0227550000000001</v>
      </c>
      <c r="BQ5">
        <v>77.413070000000005</v>
      </c>
      <c r="BR5">
        <v>248.46080000000001</v>
      </c>
      <c r="BS5">
        <v>243.9323</v>
      </c>
      <c r="BT5">
        <v>239.69829999999999</v>
      </c>
      <c r="BU5">
        <v>246.9913</v>
      </c>
      <c r="BV5">
        <v>140.51929999999999</v>
      </c>
      <c r="BW5">
        <v>70.263210000000001</v>
      </c>
      <c r="BX5">
        <v>56.317300000000003</v>
      </c>
      <c r="BY5">
        <v>41.940739999999998</v>
      </c>
      <c r="BZ5">
        <v>32.42465</v>
      </c>
      <c r="CA5">
        <v>-3.9826630000000001</v>
      </c>
      <c r="CB5">
        <v>-1.28487</v>
      </c>
      <c r="CC5">
        <v>-0.26165189999999999</v>
      </c>
      <c r="CD5">
        <v>-4.3086950000000002</v>
      </c>
      <c r="CE5">
        <v>-2.8185639999999998</v>
      </c>
      <c r="CF5">
        <v>-6.213565</v>
      </c>
      <c r="CG5">
        <v>-4.2190640000000004</v>
      </c>
      <c r="CH5">
        <v>-1.6118729999999999</v>
      </c>
      <c r="CI5">
        <v>5.1763690000000002</v>
      </c>
      <c r="CJ5">
        <v>3.5307210000000002</v>
      </c>
      <c r="CK5">
        <v>3.5706220000000002</v>
      </c>
      <c r="CL5">
        <v>-2.5077989999999999</v>
      </c>
      <c r="CM5">
        <v>-3.2513019999999999</v>
      </c>
      <c r="CN5">
        <v>-3.2364579999999998</v>
      </c>
      <c r="CO5">
        <v>78.246440000000007</v>
      </c>
      <c r="CP5">
        <v>249.29390000000001</v>
      </c>
      <c r="CQ5">
        <v>244.809</v>
      </c>
      <c r="CR5">
        <v>240.57550000000001</v>
      </c>
      <c r="CS5">
        <v>247.88130000000001</v>
      </c>
      <c r="CT5">
        <v>141.405</v>
      </c>
      <c r="CU5">
        <v>71.132469999999998</v>
      </c>
      <c r="CV5">
        <v>57.258189999999999</v>
      </c>
      <c r="CW5">
        <v>42.835459999999998</v>
      </c>
      <c r="CX5">
        <v>33.32423</v>
      </c>
      <c r="CY5">
        <v>-3.281971</v>
      </c>
      <c r="CZ5">
        <v>-0.73122399999999999</v>
      </c>
      <c r="DA5">
        <v>0.21999360000000001</v>
      </c>
      <c r="DB5">
        <v>-3.8301409999999998</v>
      </c>
      <c r="DC5">
        <v>-2.3074219999999999</v>
      </c>
      <c r="DD5">
        <v>-5.6946630000000003</v>
      </c>
      <c r="DE5">
        <v>-3.7236120000000001</v>
      </c>
      <c r="DF5">
        <v>-1.0701369999999999</v>
      </c>
      <c r="DG5">
        <v>5.8546310000000004</v>
      </c>
      <c r="DH5">
        <v>4.2774140000000003</v>
      </c>
      <c r="DI5">
        <v>4.4345220000000003</v>
      </c>
      <c r="DJ5">
        <v>-1.6826159999999999</v>
      </c>
      <c r="DK5">
        <v>-2.4821620000000002</v>
      </c>
      <c r="DL5">
        <v>-2.4501599999999999</v>
      </c>
      <c r="DM5">
        <v>79.079819999999998</v>
      </c>
      <c r="DN5">
        <v>250.12700000000001</v>
      </c>
      <c r="DO5">
        <v>245.6857</v>
      </c>
      <c r="DP5">
        <v>241.45269999999999</v>
      </c>
      <c r="DQ5">
        <v>248.7714</v>
      </c>
      <c r="DR5">
        <v>142.29069999999999</v>
      </c>
      <c r="DS5">
        <v>72.001720000000006</v>
      </c>
      <c r="DT5">
        <v>58.199080000000002</v>
      </c>
      <c r="DU5">
        <v>43.730179999999997</v>
      </c>
      <c r="DV5">
        <v>34.223799999999997</v>
      </c>
      <c r="DW5">
        <v>-2.2702830000000001</v>
      </c>
      <c r="DX5">
        <v>6.81533E-2</v>
      </c>
      <c r="DY5">
        <v>0.91541309999999998</v>
      </c>
      <c r="DZ5">
        <v>-3.1391849999999999</v>
      </c>
      <c r="EA5">
        <v>-1.5694129999999999</v>
      </c>
      <c r="EB5">
        <v>-4.9454510000000003</v>
      </c>
      <c r="EC5">
        <v>-3.0082580000000001</v>
      </c>
      <c r="ED5">
        <v>-0.28795490000000001</v>
      </c>
      <c r="EE5">
        <v>6.8339350000000003</v>
      </c>
      <c r="EF5">
        <v>5.3555190000000001</v>
      </c>
      <c r="EG5">
        <v>5.6818559999999998</v>
      </c>
      <c r="EH5">
        <v>-0.49118270000000003</v>
      </c>
      <c r="EI5">
        <v>-1.3716459999999999</v>
      </c>
      <c r="EJ5">
        <v>-1.3148709999999999</v>
      </c>
      <c r="EK5">
        <v>80.283069999999995</v>
      </c>
      <c r="EL5">
        <v>251.32980000000001</v>
      </c>
      <c r="EM5">
        <v>246.95150000000001</v>
      </c>
      <c r="EN5">
        <v>242.7191</v>
      </c>
      <c r="EO5">
        <v>250.0566</v>
      </c>
      <c r="EP5">
        <v>143.56960000000001</v>
      </c>
      <c r="EQ5">
        <v>73.256789999999995</v>
      </c>
      <c r="ER5">
        <v>59.557580000000002</v>
      </c>
      <c r="ES5">
        <v>45.022010000000002</v>
      </c>
      <c r="ET5">
        <v>35.522660000000002</v>
      </c>
      <c r="EU5">
        <v>74.962040000000002</v>
      </c>
      <c r="EV5">
        <v>74.086380000000005</v>
      </c>
      <c r="EW5">
        <v>72.918719999999993</v>
      </c>
      <c r="EX5">
        <v>71.088930000000005</v>
      </c>
      <c r="EY5">
        <v>70.076639999999998</v>
      </c>
      <c r="EZ5">
        <v>69.252070000000003</v>
      </c>
      <c r="FA5">
        <v>68.898859999999999</v>
      </c>
      <c r="FB5">
        <v>70.400850000000005</v>
      </c>
      <c r="FC5">
        <v>73.447620000000001</v>
      </c>
      <c r="FD5">
        <v>76.592709999999997</v>
      </c>
      <c r="FE5">
        <v>79.858940000000004</v>
      </c>
      <c r="FF5">
        <v>83.28792</v>
      </c>
      <c r="FG5">
        <v>86.715149999999994</v>
      </c>
      <c r="FH5">
        <v>89.19341</v>
      </c>
      <c r="FI5">
        <v>90.341660000000005</v>
      </c>
      <c r="FJ5">
        <v>90.336910000000003</v>
      </c>
      <c r="FK5">
        <v>90.54383</v>
      </c>
      <c r="FL5">
        <v>89.748279999999994</v>
      </c>
      <c r="FM5">
        <v>88.074759999999998</v>
      </c>
      <c r="FN5">
        <v>84.17013</v>
      </c>
      <c r="FO5">
        <v>80.696789999999993</v>
      </c>
      <c r="FP5">
        <v>78.63409</v>
      </c>
      <c r="FQ5">
        <v>76.984949999999998</v>
      </c>
      <c r="FR5">
        <v>75.333560000000006</v>
      </c>
      <c r="FS5">
        <v>1</v>
      </c>
      <c r="FT5" s="45">
        <v>1.516799</v>
      </c>
    </row>
    <row r="6" spans="1:176" x14ac:dyDescent="0.2">
      <c r="A6" t="s">
        <v>1</v>
      </c>
      <c r="B6" t="s">
        <v>203</v>
      </c>
      <c r="C6" s="69">
        <v>42269</v>
      </c>
      <c r="D6">
        <v>0</v>
      </c>
      <c r="E6" s="78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 s="45">
        <v>0</v>
      </c>
    </row>
    <row r="7" spans="1:176" x14ac:dyDescent="0.2">
      <c r="A7" t="s">
        <v>1</v>
      </c>
      <c r="B7" t="s">
        <v>203</v>
      </c>
      <c r="C7" s="69" t="s">
        <v>2</v>
      </c>
      <c r="D7">
        <v>194</v>
      </c>
      <c r="E7" s="78">
        <v>194</v>
      </c>
      <c r="F7">
        <v>47.500999999999998</v>
      </c>
      <c r="G7">
        <v>288.3886</v>
      </c>
      <c r="H7">
        <v>285.08269999999999</v>
      </c>
      <c r="I7">
        <v>283.07060000000001</v>
      </c>
      <c r="J7">
        <v>288.68619999999999</v>
      </c>
      <c r="K7">
        <v>297.18110000000001</v>
      </c>
      <c r="L7">
        <v>312.27319999999997</v>
      </c>
      <c r="M7">
        <v>331.70089999999999</v>
      </c>
      <c r="N7">
        <v>334.66419999999999</v>
      </c>
      <c r="O7">
        <v>337.32389999999998</v>
      </c>
      <c r="P7">
        <v>337.06849999999997</v>
      </c>
      <c r="Q7">
        <v>334.28829999999999</v>
      </c>
      <c r="R7">
        <v>326.0061</v>
      </c>
      <c r="S7">
        <v>316.4384</v>
      </c>
      <c r="T7">
        <v>313.75700000000001</v>
      </c>
      <c r="U7">
        <v>303.8005</v>
      </c>
      <c r="V7">
        <v>294.40629999999999</v>
      </c>
      <c r="W7">
        <v>290.60430000000002</v>
      </c>
      <c r="X7">
        <v>286.74549999999999</v>
      </c>
      <c r="Y7">
        <v>294.47230000000002</v>
      </c>
      <c r="Z7">
        <v>300.28370000000001</v>
      </c>
      <c r="AA7">
        <v>301.6771</v>
      </c>
      <c r="AB7">
        <v>303.85660000000001</v>
      </c>
      <c r="AC7">
        <v>298.39729999999997</v>
      </c>
      <c r="AD7">
        <v>293.66699999999997</v>
      </c>
      <c r="AE7">
        <v>-5.6950440000000002</v>
      </c>
      <c r="AF7">
        <v>-2.6378940000000002</v>
      </c>
      <c r="AG7">
        <v>-1.438717</v>
      </c>
      <c r="AH7">
        <v>-5.478205</v>
      </c>
      <c r="AI7">
        <v>-4.0677139999999996</v>
      </c>
      <c r="AJ7">
        <v>-7.4816779999999996</v>
      </c>
      <c r="AK7">
        <v>-5.4298690000000001</v>
      </c>
      <c r="AL7">
        <v>-2.9357920000000002</v>
      </c>
      <c r="AM7">
        <v>3.518802</v>
      </c>
      <c r="AN7">
        <v>1.7059219999999999</v>
      </c>
      <c r="AO7">
        <v>1.4593879999999999</v>
      </c>
      <c r="AP7">
        <v>-4.5244150000000003</v>
      </c>
      <c r="AQ7">
        <v>-5.1309589999999998</v>
      </c>
      <c r="AR7">
        <v>-5.1580440000000003</v>
      </c>
      <c r="AS7">
        <v>76.209819999999993</v>
      </c>
      <c r="AT7">
        <v>247.25790000000001</v>
      </c>
      <c r="AU7">
        <v>242.66640000000001</v>
      </c>
      <c r="AV7">
        <v>238.43190000000001</v>
      </c>
      <c r="AW7">
        <v>245.70609999999999</v>
      </c>
      <c r="AX7">
        <v>139.24039999999999</v>
      </c>
      <c r="AY7">
        <v>69.008150000000001</v>
      </c>
      <c r="AZ7">
        <v>54.958799999999997</v>
      </c>
      <c r="BA7">
        <v>40.648910000000001</v>
      </c>
      <c r="BB7">
        <v>31.125800000000002</v>
      </c>
      <c r="BC7">
        <v>-4.6833549999999997</v>
      </c>
      <c r="BD7">
        <v>-1.838517</v>
      </c>
      <c r="BE7">
        <v>-0.74329730000000005</v>
      </c>
      <c r="BF7">
        <v>-4.7872490000000001</v>
      </c>
      <c r="BG7">
        <v>-3.3297059999999998</v>
      </c>
      <c r="BH7">
        <v>-6.7324669999999998</v>
      </c>
      <c r="BI7">
        <v>-4.7145159999999997</v>
      </c>
      <c r="BJ7">
        <v>-2.15361</v>
      </c>
      <c r="BK7">
        <v>4.4981059999999999</v>
      </c>
      <c r="BL7">
        <v>2.7840280000000002</v>
      </c>
      <c r="BM7">
        <v>2.7067220000000001</v>
      </c>
      <c r="BN7">
        <v>-3.3329819999999999</v>
      </c>
      <c r="BO7">
        <v>-4.0204420000000001</v>
      </c>
      <c r="BP7">
        <v>-4.0227550000000001</v>
      </c>
      <c r="BQ7">
        <v>77.413070000000005</v>
      </c>
      <c r="BR7">
        <v>248.46080000000001</v>
      </c>
      <c r="BS7">
        <v>243.9323</v>
      </c>
      <c r="BT7">
        <v>239.69829999999999</v>
      </c>
      <c r="BU7">
        <v>246.9913</v>
      </c>
      <c r="BV7">
        <v>140.51929999999999</v>
      </c>
      <c r="BW7">
        <v>70.263210000000001</v>
      </c>
      <c r="BX7">
        <v>56.317300000000003</v>
      </c>
      <c r="BY7">
        <v>41.940739999999998</v>
      </c>
      <c r="BZ7">
        <v>32.42465</v>
      </c>
      <c r="CA7">
        <v>-3.9826630000000001</v>
      </c>
      <c r="CB7">
        <v>-1.28487</v>
      </c>
      <c r="CC7">
        <v>-0.26165189999999999</v>
      </c>
      <c r="CD7">
        <v>-4.3086950000000002</v>
      </c>
      <c r="CE7">
        <v>-2.8185639999999998</v>
      </c>
      <c r="CF7">
        <v>-6.213565</v>
      </c>
      <c r="CG7">
        <v>-4.2190640000000004</v>
      </c>
      <c r="CH7">
        <v>-1.6118729999999999</v>
      </c>
      <c r="CI7">
        <v>5.1763690000000002</v>
      </c>
      <c r="CJ7">
        <v>3.5307210000000002</v>
      </c>
      <c r="CK7">
        <v>3.5706220000000002</v>
      </c>
      <c r="CL7">
        <v>-2.5077989999999999</v>
      </c>
      <c r="CM7">
        <v>-3.2513019999999999</v>
      </c>
      <c r="CN7">
        <v>-3.2364579999999998</v>
      </c>
      <c r="CO7">
        <v>78.246440000000007</v>
      </c>
      <c r="CP7">
        <v>249.29390000000001</v>
      </c>
      <c r="CQ7">
        <v>244.809</v>
      </c>
      <c r="CR7">
        <v>240.57550000000001</v>
      </c>
      <c r="CS7">
        <v>247.88130000000001</v>
      </c>
      <c r="CT7">
        <v>141.405</v>
      </c>
      <c r="CU7">
        <v>71.132469999999998</v>
      </c>
      <c r="CV7">
        <v>57.258189999999999</v>
      </c>
      <c r="CW7">
        <v>42.835459999999998</v>
      </c>
      <c r="CX7">
        <v>33.32423</v>
      </c>
      <c r="CY7">
        <v>-3.281971</v>
      </c>
      <c r="CZ7">
        <v>-0.73122399999999999</v>
      </c>
      <c r="DA7">
        <v>0.21999360000000001</v>
      </c>
      <c r="DB7">
        <v>-3.8301409999999998</v>
      </c>
      <c r="DC7">
        <v>-2.3074219999999999</v>
      </c>
      <c r="DD7">
        <v>-5.6946630000000003</v>
      </c>
      <c r="DE7">
        <v>-3.7236120000000001</v>
      </c>
      <c r="DF7">
        <v>-1.0701369999999999</v>
      </c>
      <c r="DG7">
        <v>5.8546310000000004</v>
      </c>
      <c r="DH7">
        <v>4.2774140000000003</v>
      </c>
      <c r="DI7">
        <v>4.4345220000000003</v>
      </c>
      <c r="DJ7">
        <v>-1.6826159999999999</v>
      </c>
      <c r="DK7">
        <v>-2.4821620000000002</v>
      </c>
      <c r="DL7">
        <v>-2.4501599999999999</v>
      </c>
      <c r="DM7">
        <v>79.079819999999998</v>
      </c>
      <c r="DN7">
        <v>250.12700000000001</v>
      </c>
      <c r="DO7">
        <v>245.6857</v>
      </c>
      <c r="DP7">
        <v>241.45269999999999</v>
      </c>
      <c r="DQ7">
        <v>248.7714</v>
      </c>
      <c r="DR7">
        <v>142.29069999999999</v>
      </c>
      <c r="DS7">
        <v>72.001720000000006</v>
      </c>
      <c r="DT7">
        <v>58.199080000000002</v>
      </c>
      <c r="DU7">
        <v>43.730179999999997</v>
      </c>
      <c r="DV7">
        <v>34.223799999999997</v>
      </c>
      <c r="DW7">
        <v>-2.2702830000000001</v>
      </c>
      <c r="DX7">
        <v>6.81533E-2</v>
      </c>
      <c r="DY7">
        <v>0.91541309999999998</v>
      </c>
      <c r="DZ7">
        <v>-3.1391849999999999</v>
      </c>
      <c r="EA7">
        <v>-1.5694129999999999</v>
      </c>
      <c r="EB7">
        <v>-4.9454510000000003</v>
      </c>
      <c r="EC7">
        <v>-3.0082580000000001</v>
      </c>
      <c r="ED7">
        <v>-0.28795490000000001</v>
      </c>
      <c r="EE7">
        <v>6.8339350000000003</v>
      </c>
      <c r="EF7">
        <v>5.3555190000000001</v>
      </c>
      <c r="EG7">
        <v>5.6818559999999998</v>
      </c>
      <c r="EH7">
        <v>-0.49118270000000003</v>
      </c>
      <c r="EI7">
        <v>-1.3716459999999999</v>
      </c>
      <c r="EJ7">
        <v>-1.3148709999999999</v>
      </c>
      <c r="EK7">
        <v>80.283069999999995</v>
      </c>
      <c r="EL7">
        <v>251.32980000000001</v>
      </c>
      <c r="EM7">
        <v>246.95150000000001</v>
      </c>
      <c r="EN7">
        <v>242.7191</v>
      </c>
      <c r="EO7">
        <v>250.0566</v>
      </c>
      <c r="EP7">
        <v>143.56960000000001</v>
      </c>
      <c r="EQ7">
        <v>73.256789999999995</v>
      </c>
      <c r="ER7">
        <v>59.557580000000002</v>
      </c>
      <c r="ES7">
        <v>45.022010000000002</v>
      </c>
      <c r="ET7">
        <v>35.522660000000002</v>
      </c>
      <c r="EU7">
        <v>74.962040000000002</v>
      </c>
      <c r="EV7">
        <v>74.086380000000005</v>
      </c>
      <c r="EW7">
        <v>72.918719999999993</v>
      </c>
      <c r="EX7">
        <v>71.088930000000005</v>
      </c>
      <c r="EY7">
        <v>70.076639999999998</v>
      </c>
      <c r="EZ7">
        <v>69.252070000000003</v>
      </c>
      <c r="FA7">
        <v>68.898859999999999</v>
      </c>
      <c r="FB7">
        <v>70.400850000000005</v>
      </c>
      <c r="FC7">
        <v>73.447620000000001</v>
      </c>
      <c r="FD7">
        <v>76.592709999999997</v>
      </c>
      <c r="FE7">
        <v>79.858940000000004</v>
      </c>
      <c r="FF7">
        <v>83.28792</v>
      </c>
      <c r="FG7">
        <v>86.715149999999994</v>
      </c>
      <c r="FH7">
        <v>89.19341</v>
      </c>
      <c r="FI7">
        <v>90.341660000000005</v>
      </c>
      <c r="FJ7">
        <v>90.336910000000003</v>
      </c>
      <c r="FK7">
        <v>90.54383</v>
      </c>
      <c r="FL7">
        <v>89.748279999999994</v>
      </c>
      <c r="FM7">
        <v>88.074759999999998</v>
      </c>
      <c r="FN7">
        <v>84.17013</v>
      </c>
      <c r="FO7">
        <v>80.696789999999993</v>
      </c>
      <c r="FP7">
        <v>78.63409</v>
      </c>
      <c r="FQ7">
        <v>76.984949999999998</v>
      </c>
      <c r="FR7">
        <v>75.333560000000006</v>
      </c>
      <c r="FS7">
        <v>1</v>
      </c>
      <c r="FT7" s="45">
        <v>1.516799</v>
      </c>
    </row>
    <row r="8" spans="1:176" x14ac:dyDescent="0.2">
      <c r="A8" t="s">
        <v>1</v>
      </c>
      <c r="B8" t="s">
        <v>1</v>
      </c>
      <c r="C8" s="69">
        <v>42215</v>
      </c>
      <c r="D8">
        <v>204</v>
      </c>
      <c r="E8" s="78">
        <v>204</v>
      </c>
      <c r="F8">
        <v>48.09</v>
      </c>
      <c r="G8">
        <v>289.03960000000001</v>
      </c>
      <c r="H8">
        <v>285.71120000000002</v>
      </c>
      <c r="I8">
        <v>283.70429999999999</v>
      </c>
      <c r="J8">
        <v>289.37470000000002</v>
      </c>
      <c r="K8">
        <v>297.89949999999999</v>
      </c>
      <c r="L8">
        <v>313.0351</v>
      </c>
      <c r="M8">
        <v>332.5333</v>
      </c>
      <c r="N8">
        <v>335.57810000000001</v>
      </c>
      <c r="O8">
        <v>338.29059999999998</v>
      </c>
      <c r="P8">
        <v>338.07589999999999</v>
      </c>
      <c r="Q8">
        <v>335.28649999999999</v>
      </c>
      <c r="R8">
        <v>326.97309999999999</v>
      </c>
      <c r="S8">
        <v>317.41430000000003</v>
      </c>
      <c r="T8">
        <v>314.73660000000001</v>
      </c>
      <c r="U8">
        <v>304.76060000000001</v>
      </c>
      <c r="V8">
        <v>295.35359999999997</v>
      </c>
      <c r="W8">
        <v>291.53660000000002</v>
      </c>
      <c r="X8">
        <v>287.6105</v>
      </c>
      <c r="Y8">
        <v>295.27530000000002</v>
      </c>
      <c r="Z8">
        <v>301.09410000000003</v>
      </c>
      <c r="AA8">
        <v>302.44200000000001</v>
      </c>
      <c r="AB8">
        <v>304.5797</v>
      </c>
      <c r="AC8">
        <v>299.08409999999998</v>
      </c>
      <c r="AD8">
        <v>294.34500000000003</v>
      </c>
      <c r="AE8">
        <v>-5.6942000000000004</v>
      </c>
      <c r="AF8">
        <v>-2.634538</v>
      </c>
      <c r="AG8">
        <v>-1.4352929999999999</v>
      </c>
      <c r="AH8">
        <v>-5.4795319999999998</v>
      </c>
      <c r="AI8">
        <v>-4.067329</v>
      </c>
      <c r="AJ8">
        <v>-7.4834990000000001</v>
      </c>
      <c r="AK8">
        <v>-5.4513319999999998</v>
      </c>
      <c r="AL8">
        <v>-2.9203199999999998</v>
      </c>
      <c r="AM8">
        <v>3.5096509999999999</v>
      </c>
      <c r="AN8">
        <v>1.7230700000000001</v>
      </c>
      <c r="AO8">
        <v>1.4608490000000001</v>
      </c>
      <c r="AP8">
        <v>-4.5088210000000002</v>
      </c>
      <c r="AQ8">
        <v>-5.1215739999999998</v>
      </c>
      <c r="AR8">
        <v>-5.1643109999999997</v>
      </c>
      <c r="AS8">
        <v>76.309880000000007</v>
      </c>
      <c r="AT8">
        <v>247.8699</v>
      </c>
      <c r="AU8">
        <v>243.273</v>
      </c>
      <c r="AV8">
        <v>238.97880000000001</v>
      </c>
      <c r="AW8">
        <v>246.209</v>
      </c>
      <c r="AX8">
        <v>139.364</v>
      </c>
      <c r="AY8">
        <v>68.972639999999998</v>
      </c>
      <c r="AZ8">
        <v>54.928469999999997</v>
      </c>
      <c r="BA8">
        <v>40.659030000000001</v>
      </c>
      <c r="BB8">
        <v>31.12998</v>
      </c>
      <c r="BC8">
        <v>-4.6825010000000002</v>
      </c>
      <c r="BD8">
        <v>-1.835153</v>
      </c>
      <c r="BE8">
        <v>-0.73984079999999997</v>
      </c>
      <c r="BF8">
        <v>-4.7885179999999998</v>
      </c>
      <c r="BG8">
        <v>-3.3292709999999999</v>
      </c>
      <c r="BH8">
        <v>-6.7342329999999997</v>
      </c>
      <c r="BI8">
        <v>-4.735951</v>
      </c>
      <c r="BJ8">
        <v>-2.138109</v>
      </c>
      <c r="BK8">
        <v>4.4890410000000003</v>
      </c>
      <c r="BL8">
        <v>2.8012060000000001</v>
      </c>
      <c r="BM8">
        <v>2.708243</v>
      </c>
      <c r="BN8">
        <v>-3.317348</v>
      </c>
      <c r="BO8">
        <v>-4.0110270000000003</v>
      </c>
      <c r="BP8">
        <v>-4.0289900000000003</v>
      </c>
      <c r="BQ8">
        <v>77.513180000000006</v>
      </c>
      <c r="BR8">
        <v>249.0728</v>
      </c>
      <c r="BS8">
        <v>244.53880000000001</v>
      </c>
      <c r="BT8">
        <v>240.24539999999999</v>
      </c>
      <c r="BU8">
        <v>247.49420000000001</v>
      </c>
      <c r="BV8">
        <v>140.6429</v>
      </c>
      <c r="BW8">
        <v>70.227739999999997</v>
      </c>
      <c r="BX8">
        <v>56.28698</v>
      </c>
      <c r="BY8">
        <v>41.950870000000002</v>
      </c>
      <c r="BZ8">
        <v>32.428840000000001</v>
      </c>
      <c r="CA8">
        <v>-3.9818009999999999</v>
      </c>
      <c r="CB8">
        <v>-1.2815019999999999</v>
      </c>
      <c r="CC8">
        <v>-0.25817269999999998</v>
      </c>
      <c r="CD8">
        <v>-4.3099239999999996</v>
      </c>
      <c r="CE8">
        <v>-2.8180939999999999</v>
      </c>
      <c r="CF8">
        <v>-6.2152940000000001</v>
      </c>
      <c r="CG8">
        <v>-4.2404809999999999</v>
      </c>
      <c r="CH8">
        <v>-1.596352</v>
      </c>
      <c r="CI8">
        <v>5.1673640000000001</v>
      </c>
      <c r="CJ8">
        <v>3.54792</v>
      </c>
      <c r="CK8">
        <v>3.572184</v>
      </c>
      <c r="CL8">
        <v>-2.492137</v>
      </c>
      <c r="CM8">
        <v>-3.2418659999999999</v>
      </c>
      <c r="CN8">
        <v>-3.2426710000000001</v>
      </c>
      <c r="CO8">
        <v>78.34657</v>
      </c>
      <c r="CP8">
        <v>249.9059</v>
      </c>
      <c r="CQ8">
        <v>245.41560000000001</v>
      </c>
      <c r="CR8">
        <v>241.12260000000001</v>
      </c>
      <c r="CS8">
        <v>248.3843</v>
      </c>
      <c r="CT8">
        <v>141.52869999999999</v>
      </c>
      <c r="CU8">
        <v>71.097020000000001</v>
      </c>
      <c r="CV8">
        <v>57.227890000000002</v>
      </c>
      <c r="CW8">
        <v>42.845599999999997</v>
      </c>
      <c r="CX8">
        <v>33.328429999999997</v>
      </c>
      <c r="CY8">
        <v>-3.281101</v>
      </c>
      <c r="CZ8">
        <v>-0.72785010000000006</v>
      </c>
      <c r="DA8">
        <v>0.22349540000000001</v>
      </c>
      <c r="DB8">
        <v>-3.8313299999999999</v>
      </c>
      <c r="DC8">
        <v>-2.306918</v>
      </c>
      <c r="DD8">
        <v>-5.6963549999999996</v>
      </c>
      <c r="DE8">
        <v>-3.7450100000000002</v>
      </c>
      <c r="DF8">
        <v>-1.0545960000000001</v>
      </c>
      <c r="DG8">
        <v>5.8456869999999999</v>
      </c>
      <c r="DH8">
        <v>4.2946340000000003</v>
      </c>
      <c r="DI8">
        <v>4.4361249999999997</v>
      </c>
      <c r="DJ8">
        <v>-1.6669259999999999</v>
      </c>
      <c r="DK8">
        <v>-2.4727039999999998</v>
      </c>
      <c r="DL8">
        <v>-2.4563510000000002</v>
      </c>
      <c r="DM8">
        <v>79.179969999999997</v>
      </c>
      <c r="DN8">
        <v>250.739</v>
      </c>
      <c r="DO8">
        <v>246.29230000000001</v>
      </c>
      <c r="DP8">
        <v>241.99979999999999</v>
      </c>
      <c r="DQ8">
        <v>249.27449999999999</v>
      </c>
      <c r="DR8">
        <v>142.4144</v>
      </c>
      <c r="DS8">
        <v>71.966290000000001</v>
      </c>
      <c r="DT8">
        <v>58.168790000000001</v>
      </c>
      <c r="DU8">
        <v>43.74033</v>
      </c>
      <c r="DV8">
        <v>34.228009999999998</v>
      </c>
      <c r="DW8">
        <v>-2.2694019999999999</v>
      </c>
      <c r="DX8">
        <v>7.1534700000000007E-2</v>
      </c>
      <c r="DY8">
        <v>0.91894759999999998</v>
      </c>
      <c r="DZ8">
        <v>-3.1403159999999999</v>
      </c>
      <c r="EA8">
        <v>-1.5688599999999999</v>
      </c>
      <c r="EB8">
        <v>-4.9470890000000001</v>
      </c>
      <c r="EC8">
        <v>-3.02963</v>
      </c>
      <c r="ED8">
        <v>-0.27238489999999999</v>
      </c>
      <c r="EE8">
        <v>6.8250770000000003</v>
      </c>
      <c r="EF8">
        <v>5.37277</v>
      </c>
      <c r="EG8">
        <v>5.6835180000000003</v>
      </c>
      <c r="EH8">
        <v>-0.47545290000000001</v>
      </c>
      <c r="EI8">
        <v>-1.362158</v>
      </c>
      <c r="EJ8">
        <v>-1.3210310000000001</v>
      </c>
      <c r="EK8">
        <v>80.383260000000007</v>
      </c>
      <c r="EL8">
        <v>251.9418</v>
      </c>
      <c r="EM8">
        <v>247.5582</v>
      </c>
      <c r="EN8">
        <v>243.2663</v>
      </c>
      <c r="EO8">
        <v>250.55969999999999</v>
      </c>
      <c r="EP8">
        <v>143.69329999999999</v>
      </c>
      <c r="EQ8">
        <v>73.22139</v>
      </c>
      <c r="ER8">
        <v>59.527299999999997</v>
      </c>
      <c r="ES8">
        <v>45.032179999999997</v>
      </c>
      <c r="ET8">
        <v>35.526870000000002</v>
      </c>
      <c r="EU8">
        <v>74.956599999999995</v>
      </c>
      <c r="EV8">
        <v>74.080669999999998</v>
      </c>
      <c r="EW8">
        <v>72.913340000000005</v>
      </c>
      <c r="EX8">
        <v>71.084630000000004</v>
      </c>
      <c r="EY8">
        <v>70.071259999999995</v>
      </c>
      <c r="EZ8">
        <v>69.247230000000002</v>
      </c>
      <c r="FA8">
        <v>68.895880000000005</v>
      </c>
      <c r="FB8">
        <v>70.398929999999993</v>
      </c>
      <c r="FC8">
        <v>73.446680000000001</v>
      </c>
      <c r="FD8">
        <v>76.592709999999997</v>
      </c>
      <c r="FE8">
        <v>79.85915</v>
      </c>
      <c r="FF8">
        <v>83.288780000000003</v>
      </c>
      <c r="FG8">
        <v>86.714389999999995</v>
      </c>
      <c r="FH8">
        <v>89.192149999999998</v>
      </c>
      <c r="FI8">
        <v>90.344179999999994</v>
      </c>
      <c r="FJ8">
        <v>90.362520000000004</v>
      </c>
      <c r="FK8">
        <v>90.567139999999995</v>
      </c>
      <c r="FL8">
        <v>89.764279999999999</v>
      </c>
      <c r="FM8">
        <v>88.082750000000004</v>
      </c>
      <c r="FN8">
        <v>84.169420000000002</v>
      </c>
      <c r="FO8">
        <v>80.696330000000003</v>
      </c>
      <c r="FP8">
        <v>78.634540000000001</v>
      </c>
      <c r="FQ8">
        <v>76.982339999999994</v>
      </c>
      <c r="FR8">
        <v>75.331729999999993</v>
      </c>
      <c r="FS8">
        <v>1</v>
      </c>
      <c r="FT8" s="45">
        <v>1.5169379999999999</v>
      </c>
    </row>
    <row r="9" spans="1:176" x14ac:dyDescent="0.2">
      <c r="A9" t="s">
        <v>1</v>
      </c>
      <c r="B9" t="s">
        <v>1</v>
      </c>
      <c r="C9" s="69">
        <v>42269</v>
      </c>
      <c r="D9">
        <v>0</v>
      </c>
      <c r="E9" s="78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 s="45">
        <v>0</v>
      </c>
    </row>
    <row r="10" spans="1:176" x14ac:dyDescent="0.2">
      <c r="A10" t="s">
        <v>1</v>
      </c>
      <c r="B10" t="s">
        <v>1</v>
      </c>
      <c r="C10" s="69" t="s">
        <v>2</v>
      </c>
      <c r="D10">
        <v>204</v>
      </c>
      <c r="E10" s="78">
        <v>204</v>
      </c>
      <c r="F10">
        <v>48.09</v>
      </c>
      <c r="G10">
        <v>289.03960000000001</v>
      </c>
      <c r="H10">
        <v>285.71120000000002</v>
      </c>
      <c r="I10">
        <v>283.70429999999999</v>
      </c>
      <c r="J10">
        <v>289.37470000000002</v>
      </c>
      <c r="K10">
        <v>297.89949999999999</v>
      </c>
      <c r="L10">
        <v>313.0351</v>
      </c>
      <c r="M10">
        <v>332.5333</v>
      </c>
      <c r="N10">
        <v>335.57810000000001</v>
      </c>
      <c r="O10">
        <v>338.29059999999998</v>
      </c>
      <c r="P10">
        <v>338.07589999999999</v>
      </c>
      <c r="Q10">
        <v>335.28649999999999</v>
      </c>
      <c r="R10">
        <v>326.97309999999999</v>
      </c>
      <c r="S10">
        <v>317.41430000000003</v>
      </c>
      <c r="T10">
        <v>314.73660000000001</v>
      </c>
      <c r="U10">
        <v>304.76060000000001</v>
      </c>
      <c r="V10">
        <v>295.35359999999997</v>
      </c>
      <c r="W10">
        <v>291.53660000000002</v>
      </c>
      <c r="X10">
        <v>287.6105</v>
      </c>
      <c r="Y10">
        <v>295.27530000000002</v>
      </c>
      <c r="Z10">
        <v>301.09410000000003</v>
      </c>
      <c r="AA10">
        <v>302.44200000000001</v>
      </c>
      <c r="AB10">
        <v>304.5797</v>
      </c>
      <c r="AC10">
        <v>299.08409999999998</v>
      </c>
      <c r="AD10">
        <v>294.34500000000003</v>
      </c>
      <c r="AE10">
        <v>-5.6942000000000004</v>
      </c>
      <c r="AF10">
        <v>-2.634538</v>
      </c>
      <c r="AG10">
        <v>-1.4352929999999999</v>
      </c>
      <c r="AH10">
        <v>-5.4795319999999998</v>
      </c>
      <c r="AI10">
        <v>-4.067329</v>
      </c>
      <c r="AJ10">
        <v>-7.4834990000000001</v>
      </c>
      <c r="AK10">
        <v>-5.4513319999999998</v>
      </c>
      <c r="AL10">
        <v>-2.9203199999999998</v>
      </c>
      <c r="AM10">
        <v>3.5096509999999999</v>
      </c>
      <c r="AN10">
        <v>1.7230700000000001</v>
      </c>
      <c r="AO10">
        <v>1.4608490000000001</v>
      </c>
      <c r="AP10">
        <v>-4.5088210000000002</v>
      </c>
      <c r="AQ10">
        <v>-5.1215739999999998</v>
      </c>
      <c r="AR10">
        <v>-5.1643109999999997</v>
      </c>
      <c r="AS10">
        <v>76.309880000000007</v>
      </c>
      <c r="AT10">
        <v>247.8699</v>
      </c>
      <c r="AU10">
        <v>243.273</v>
      </c>
      <c r="AV10">
        <v>238.97880000000001</v>
      </c>
      <c r="AW10">
        <v>246.209</v>
      </c>
      <c r="AX10">
        <v>139.364</v>
      </c>
      <c r="AY10">
        <v>68.972639999999998</v>
      </c>
      <c r="AZ10">
        <v>54.928469999999997</v>
      </c>
      <c r="BA10">
        <v>40.659030000000001</v>
      </c>
      <c r="BB10">
        <v>31.12998</v>
      </c>
      <c r="BC10">
        <v>-4.6825010000000002</v>
      </c>
      <c r="BD10">
        <v>-1.835153</v>
      </c>
      <c r="BE10">
        <v>-0.73984079999999997</v>
      </c>
      <c r="BF10">
        <v>-4.7885179999999998</v>
      </c>
      <c r="BG10">
        <v>-3.3292709999999999</v>
      </c>
      <c r="BH10">
        <v>-6.7342329999999997</v>
      </c>
      <c r="BI10">
        <v>-4.735951</v>
      </c>
      <c r="BJ10">
        <v>-2.138109</v>
      </c>
      <c r="BK10">
        <v>4.4890410000000003</v>
      </c>
      <c r="BL10">
        <v>2.8012060000000001</v>
      </c>
      <c r="BM10">
        <v>2.708243</v>
      </c>
      <c r="BN10">
        <v>-3.317348</v>
      </c>
      <c r="BO10">
        <v>-4.0110270000000003</v>
      </c>
      <c r="BP10">
        <v>-4.0289900000000003</v>
      </c>
      <c r="BQ10">
        <v>77.513180000000006</v>
      </c>
      <c r="BR10">
        <v>249.0728</v>
      </c>
      <c r="BS10">
        <v>244.53880000000001</v>
      </c>
      <c r="BT10">
        <v>240.24539999999999</v>
      </c>
      <c r="BU10">
        <v>247.49420000000001</v>
      </c>
      <c r="BV10">
        <v>140.6429</v>
      </c>
      <c r="BW10">
        <v>70.227739999999997</v>
      </c>
      <c r="BX10">
        <v>56.28698</v>
      </c>
      <c r="BY10">
        <v>41.950870000000002</v>
      </c>
      <c r="BZ10">
        <v>32.428840000000001</v>
      </c>
      <c r="CA10">
        <v>-3.9818009999999999</v>
      </c>
      <c r="CB10">
        <v>-1.2815019999999999</v>
      </c>
      <c r="CC10">
        <v>-0.25817269999999998</v>
      </c>
      <c r="CD10">
        <v>-4.3099239999999996</v>
      </c>
      <c r="CE10">
        <v>-2.8180939999999999</v>
      </c>
      <c r="CF10">
        <v>-6.2152940000000001</v>
      </c>
      <c r="CG10">
        <v>-4.2404809999999999</v>
      </c>
      <c r="CH10">
        <v>-1.596352</v>
      </c>
      <c r="CI10">
        <v>5.1673640000000001</v>
      </c>
      <c r="CJ10">
        <v>3.54792</v>
      </c>
      <c r="CK10">
        <v>3.572184</v>
      </c>
      <c r="CL10">
        <v>-2.492137</v>
      </c>
      <c r="CM10">
        <v>-3.2418659999999999</v>
      </c>
      <c r="CN10">
        <v>-3.2426710000000001</v>
      </c>
      <c r="CO10">
        <v>78.34657</v>
      </c>
      <c r="CP10">
        <v>249.9059</v>
      </c>
      <c r="CQ10">
        <v>245.41560000000001</v>
      </c>
      <c r="CR10">
        <v>241.12260000000001</v>
      </c>
      <c r="CS10">
        <v>248.3843</v>
      </c>
      <c r="CT10">
        <v>141.52869999999999</v>
      </c>
      <c r="CU10">
        <v>71.097020000000001</v>
      </c>
      <c r="CV10">
        <v>57.227890000000002</v>
      </c>
      <c r="CW10">
        <v>42.845599999999997</v>
      </c>
      <c r="CX10">
        <v>33.328429999999997</v>
      </c>
      <c r="CY10">
        <v>-3.281101</v>
      </c>
      <c r="CZ10">
        <v>-0.72785010000000006</v>
      </c>
      <c r="DA10">
        <v>0.22349540000000001</v>
      </c>
      <c r="DB10">
        <v>-3.8313299999999999</v>
      </c>
      <c r="DC10">
        <v>-2.306918</v>
      </c>
      <c r="DD10">
        <v>-5.6963549999999996</v>
      </c>
      <c r="DE10">
        <v>-3.7450100000000002</v>
      </c>
      <c r="DF10">
        <v>-1.0545960000000001</v>
      </c>
      <c r="DG10">
        <v>5.8456869999999999</v>
      </c>
      <c r="DH10">
        <v>4.2946340000000003</v>
      </c>
      <c r="DI10">
        <v>4.4361249999999997</v>
      </c>
      <c r="DJ10">
        <v>-1.6669259999999999</v>
      </c>
      <c r="DK10">
        <v>-2.4727039999999998</v>
      </c>
      <c r="DL10">
        <v>-2.4563510000000002</v>
      </c>
      <c r="DM10">
        <v>79.179969999999997</v>
      </c>
      <c r="DN10">
        <v>250.739</v>
      </c>
      <c r="DO10">
        <v>246.29230000000001</v>
      </c>
      <c r="DP10">
        <v>241.99979999999999</v>
      </c>
      <c r="DQ10">
        <v>249.27449999999999</v>
      </c>
      <c r="DR10">
        <v>142.4144</v>
      </c>
      <c r="DS10">
        <v>71.966290000000001</v>
      </c>
      <c r="DT10">
        <v>58.168790000000001</v>
      </c>
      <c r="DU10">
        <v>43.74033</v>
      </c>
      <c r="DV10">
        <v>34.228009999999998</v>
      </c>
      <c r="DW10">
        <v>-2.2694019999999999</v>
      </c>
      <c r="DX10">
        <v>7.1534700000000007E-2</v>
      </c>
      <c r="DY10">
        <v>0.91894759999999998</v>
      </c>
      <c r="DZ10">
        <v>-3.1403159999999999</v>
      </c>
      <c r="EA10">
        <v>-1.5688599999999999</v>
      </c>
      <c r="EB10">
        <v>-4.9470890000000001</v>
      </c>
      <c r="EC10">
        <v>-3.02963</v>
      </c>
      <c r="ED10">
        <v>-0.27238489999999999</v>
      </c>
      <c r="EE10">
        <v>6.8250770000000003</v>
      </c>
      <c r="EF10">
        <v>5.37277</v>
      </c>
      <c r="EG10">
        <v>5.6835180000000003</v>
      </c>
      <c r="EH10">
        <v>-0.47545290000000001</v>
      </c>
      <c r="EI10">
        <v>-1.362158</v>
      </c>
      <c r="EJ10">
        <v>-1.3210310000000001</v>
      </c>
      <c r="EK10">
        <v>80.383260000000007</v>
      </c>
      <c r="EL10">
        <v>251.9418</v>
      </c>
      <c r="EM10">
        <v>247.5582</v>
      </c>
      <c r="EN10">
        <v>243.2663</v>
      </c>
      <c r="EO10">
        <v>250.55969999999999</v>
      </c>
      <c r="EP10">
        <v>143.69329999999999</v>
      </c>
      <c r="EQ10">
        <v>73.22139</v>
      </c>
      <c r="ER10">
        <v>59.527299999999997</v>
      </c>
      <c r="ES10">
        <v>45.032179999999997</v>
      </c>
      <c r="ET10">
        <v>35.526870000000002</v>
      </c>
      <c r="EU10">
        <v>74.956599999999995</v>
      </c>
      <c r="EV10">
        <v>74.080669999999998</v>
      </c>
      <c r="EW10">
        <v>72.913340000000005</v>
      </c>
      <c r="EX10">
        <v>71.084630000000004</v>
      </c>
      <c r="EY10">
        <v>70.071259999999995</v>
      </c>
      <c r="EZ10">
        <v>69.247230000000002</v>
      </c>
      <c r="FA10">
        <v>68.895880000000005</v>
      </c>
      <c r="FB10">
        <v>70.398929999999993</v>
      </c>
      <c r="FC10">
        <v>73.446680000000001</v>
      </c>
      <c r="FD10">
        <v>76.592709999999997</v>
      </c>
      <c r="FE10">
        <v>79.85915</v>
      </c>
      <c r="FF10">
        <v>83.288780000000003</v>
      </c>
      <c r="FG10">
        <v>86.714389999999995</v>
      </c>
      <c r="FH10">
        <v>89.192149999999998</v>
      </c>
      <c r="FI10">
        <v>90.344179999999994</v>
      </c>
      <c r="FJ10">
        <v>90.362520000000004</v>
      </c>
      <c r="FK10">
        <v>90.567139999999995</v>
      </c>
      <c r="FL10">
        <v>89.764279999999999</v>
      </c>
      <c r="FM10">
        <v>88.082750000000004</v>
      </c>
      <c r="FN10">
        <v>84.169420000000002</v>
      </c>
      <c r="FO10">
        <v>80.696330000000003</v>
      </c>
      <c r="FP10">
        <v>78.634540000000001</v>
      </c>
      <c r="FQ10">
        <v>76.982339999999994</v>
      </c>
      <c r="FR10">
        <v>75.331729999999993</v>
      </c>
      <c r="FS10">
        <v>1</v>
      </c>
      <c r="FT10" s="45">
        <v>1.5169379999999999</v>
      </c>
    </row>
    <row r="11" spans="1:176" x14ac:dyDescent="0.2">
      <c r="A11" t="s">
        <v>191</v>
      </c>
      <c r="B11" t="s">
        <v>202</v>
      </c>
      <c r="C11" s="69">
        <v>42215</v>
      </c>
      <c r="D11">
        <v>0</v>
      </c>
      <c r="E11" s="78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 s="45">
        <v>0</v>
      </c>
    </row>
    <row r="12" spans="1:176" x14ac:dyDescent="0.2">
      <c r="A12" t="s">
        <v>191</v>
      </c>
      <c r="B12" t="s">
        <v>202</v>
      </c>
      <c r="C12" s="69">
        <v>42269</v>
      </c>
      <c r="D12">
        <v>0</v>
      </c>
      <c r="E12" s="78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 s="45">
        <v>0</v>
      </c>
    </row>
    <row r="13" spans="1:176" x14ac:dyDescent="0.2">
      <c r="A13" t="s">
        <v>191</v>
      </c>
      <c r="B13" t="s">
        <v>202</v>
      </c>
      <c r="C13" s="69" t="s">
        <v>2</v>
      </c>
      <c r="D13">
        <v>0</v>
      </c>
      <c r="E13" s="78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 s="45">
        <v>0</v>
      </c>
    </row>
    <row r="14" spans="1:176" x14ac:dyDescent="0.2">
      <c r="A14" t="s">
        <v>191</v>
      </c>
      <c r="B14" t="s">
        <v>203</v>
      </c>
      <c r="C14" s="69">
        <v>42215</v>
      </c>
      <c r="D14">
        <v>0</v>
      </c>
      <c r="E14" s="78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 s="45">
        <v>0</v>
      </c>
    </row>
    <row r="15" spans="1:176" x14ac:dyDescent="0.2">
      <c r="A15" t="s">
        <v>191</v>
      </c>
      <c r="B15" t="s">
        <v>203</v>
      </c>
      <c r="C15" s="69">
        <v>42269</v>
      </c>
      <c r="D15">
        <v>0</v>
      </c>
      <c r="E15" s="78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 s="45">
        <v>0</v>
      </c>
    </row>
    <row r="16" spans="1:176" x14ac:dyDescent="0.2">
      <c r="A16" t="s">
        <v>191</v>
      </c>
      <c r="B16" t="s">
        <v>203</v>
      </c>
      <c r="C16" s="69" t="s">
        <v>2</v>
      </c>
      <c r="D16">
        <v>0</v>
      </c>
      <c r="E16" s="78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 s="45">
        <v>0</v>
      </c>
    </row>
    <row r="17" spans="1:176" x14ac:dyDescent="0.2">
      <c r="A17" t="s">
        <v>191</v>
      </c>
      <c r="B17" t="s">
        <v>1</v>
      </c>
      <c r="C17" s="69">
        <v>42215</v>
      </c>
      <c r="D17">
        <v>0</v>
      </c>
      <c r="E17" s="78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 s="45">
        <v>0</v>
      </c>
    </row>
    <row r="18" spans="1:176" x14ac:dyDescent="0.2">
      <c r="A18" t="s">
        <v>191</v>
      </c>
      <c r="B18" t="s">
        <v>1</v>
      </c>
      <c r="C18" s="69">
        <v>42269</v>
      </c>
      <c r="D18">
        <v>0</v>
      </c>
      <c r="E18" s="7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 s="86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 s="45">
        <v>0</v>
      </c>
    </row>
    <row r="19" spans="1:176" x14ac:dyDescent="0.2">
      <c r="A19" t="s">
        <v>191</v>
      </c>
      <c r="B19" t="s">
        <v>1</v>
      </c>
      <c r="C19" s="69" t="s">
        <v>2</v>
      </c>
      <c r="D19">
        <v>0</v>
      </c>
      <c r="E19" s="78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 s="45">
        <v>0</v>
      </c>
    </row>
    <row r="20" spans="1:176" x14ac:dyDescent="0.2">
      <c r="A20" t="s">
        <v>192</v>
      </c>
      <c r="B20" t="s">
        <v>202</v>
      </c>
      <c r="C20" s="69">
        <v>42215</v>
      </c>
      <c r="D20">
        <v>0</v>
      </c>
      <c r="E20" s="78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 s="45">
        <v>0</v>
      </c>
    </row>
    <row r="21" spans="1:176" x14ac:dyDescent="0.2">
      <c r="A21" t="s">
        <v>192</v>
      </c>
      <c r="B21" t="s">
        <v>202</v>
      </c>
      <c r="C21" s="69">
        <v>42269</v>
      </c>
      <c r="D21">
        <v>0</v>
      </c>
      <c r="E21" s="78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 s="45">
        <v>0</v>
      </c>
    </row>
    <row r="22" spans="1:176" x14ac:dyDescent="0.2">
      <c r="A22" t="s">
        <v>192</v>
      </c>
      <c r="B22" t="s">
        <v>202</v>
      </c>
      <c r="C22" s="69" t="s">
        <v>2</v>
      </c>
      <c r="D22">
        <v>0</v>
      </c>
      <c r="E22" s="78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 s="45">
        <v>0</v>
      </c>
    </row>
    <row r="23" spans="1:176" x14ac:dyDescent="0.2">
      <c r="A23" t="s">
        <v>192</v>
      </c>
      <c r="B23" t="s">
        <v>203</v>
      </c>
      <c r="C23" s="69">
        <v>42215</v>
      </c>
      <c r="D23">
        <v>0</v>
      </c>
      <c r="E23" s="78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 s="45">
        <v>0</v>
      </c>
    </row>
    <row r="24" spans="1:176" x14ac:dyDescent="0.2">
      <c r="A24" t="s">
        <v>192</v>
      </c>
      <c r="B24" t="s">
        <v>203</v>
      </c>
      <c r="C24" s="69">
        <v>42269</v>
      </c>
      <c r="D24">
        <v>0</v>
      </c>
      <c r="E24" s="78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 s="45">
        <v>0</v>
      </c>
    </row>
    <row r="25" spans="1:176" x14ac:dyDescent="0.2">
      <c r="A25" t="s">
        <v>192</v>
      </c>
      <c r="B25" t="s">
        <v>203</v>
      </c>
      <c r="C25" s="69" t="s">
        <v>2</v>
      </c>
      <c r="D25">
        <v>0</v>
      </c>
      <c r="E25" s="78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 s="45">
        <v>0</v>
      </c>
    </row>
    <row r="26" spans="1:176" x14ac:dyDescent="0.2">
      <c r="A26" t="s">
        <v>192</v>
      </c>
      <c r="B26" t="s">
        <v>1</v>
      </c>
      <c r="C26" s="69">
        <v>42215</v>
      </c>
      <c r="D26">
        <v>0</v>
      </c>
      <c r="E26" s="78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 s="45">
        <v>0</v>
      </c>
    </row>
    <row r="27" spans="1:176" x14ac:dyDescent="0.2">
      <c r="A27" t="s">
        <v>192</v>
      </c>
      <c r="B27" t="s">
        <v>1</v>
      </c>
      <c r="C27" s="69">
        <v>42269</v>
      </c>
      <c r="D27">
        <v>0</v>
      </c>
      <c r="E27" s="78">
        <v>12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 s="45">
        <v>0</v>
      </c>
    </row>
    <row r="28" spans="1:176" x14ac:dyDescent="0.2">
      <c r="A28" t="s">
        <v>192</v>
      </c>
      <c r="B28" t="s">
        <v>1</v>
      </c>
      <c r="C28" s="69" t="s">
        <v>2</v>
      </c>
      <c r="D28">
        <v>0</v>
      </c>
      <c r="E28" s="7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 s="45">
        <v>0</v>
      </c>
    </row>
    <row r="29" spans="1:176" x14ac:dyDescent="0.2">
      <c r="A29" t="s">
        <v>193</v>
      </c>
      <c r="B29" t="s">
        <v>202</v>
      </c>
      <c r="C29" s="69">
        <v>42215</v>
      </c>
      <c r="D29">
        <v>0</v>
      </c>
      <c r="E29" s="78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 s="45">
        <v>0</v>
      </c>
    </row>
    <row r="30" spans="1:176" x14ac:dyDescent="0.2">
      <c r="A30" t="s">
        <v>193</v>
      </c>
      <c r="B30" t="s">
        <v>202</v>
      </c>
      <c r="C30" s="69">
        <v>42269</v>
      </c>
      <c r="D30">
        <v>0</v>
      </c>
      <c r="E30" s="78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 s="45">
        <v>0</v>
      </c>
    </row>
    <row r="31" spans="1:176" x14ac:dyDescent="0.2">
      <c r="A31" t="s">
        <v>193</v>
      </c>
      <c r="B31" t="s">
        <v>202</v>
      </c>
      <c r="C31" s="69" t="s">
        <v>2</v>
      </c>
      <c r="D31">
        <v>0</v>
      </c>
      <c r="E31" s="78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 s="45">
        <v>0</v>
      </c>
    </row>
    <row r="32" spans="1:176" x14ac:dyDescent="0.2">
      <c r="A32" t="s">
        <v>193</v>
      </c>
      <c r="B32" t="s">
        <v>203</v>
      </c>
      <c r="C32" s="69">
        <v>42215</v>
      </c>
      <c r="D32">
        <v>0</v>
      </c>
      <c r="E32" s="78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 s="45">
        <v>0</v>
      </c>
    </row>
    <row r="33" spans="1:176" x14ac:dyDescent="0.2">
      <c r="A33" t="s">
        <v>193</v>
      </c>
      <c r="B33" t="s">
        <v>203</v>
      </c>
      <c r="C33" s="69">
        <v>42269</v>
      </c>
      <c r="D33">
        <v>0</v>
      </c>
      <c r="E33" s="78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 s="45">
        <v>0</v>
      </c>
    </row>
    <row r="34" spans="1:176" x14ac:dyDescent="0.2">
      <c r="A34" t="s">
        <v>193</v>
      </c>
      <c r="B34" t="s">
        <v>203</v>
      </c>
      <c r="C34" s="69" t="s">
        <v>2</v>
      </c>
      <c r="D34">
        <v>0</v>
      </c>
      <c r="E34" s="78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0</v>
      </c>
      <c r="FT34" s="45">
        <v>0</v>
      </c>
    </row>
    <row r="35" spans="1:176" x14ac:dyDescent="0.2">
      <c r="A35" t="s">
        <v>193</v>
      </c>
      <c r="B35" t="s">
        <v>1</v>
      </c>
      <c r="C35" s="69">
        <v>42215</v>
      </c>
      <c r="D35">
        <v>0</v>
      </c>
      <c r="E35" s="78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 s="45">
        <v>0</v>
      </c>
    </row>
    <row r="36" spans="1:176" x14ac:dyDescent="0.2">
      <c r="A36" t="s">
        <v>193</v>
      </c>
      <c r="B36" t="s">
        <v>1</v>
      </c>
      <c r="C36" s="69">
        <v>42269</v>
      </c>
      <c r="D36">
        <v>0</v>
      </c>
      <c r="E36" s="78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 s="45">
        <v>0</v>
      </c>
    </row>
    <row r="37" spans="1:176" x14ac:dyDescent="0.2">
      <c r="A37" t="s">
        <v>193</v>
      </c>
      <c r="B37" t="s">
        <v>1</v>
      </c>
      <c r="C37" s="69" t="s">
        <v>2</v>
      </c>
      <c r="D37">
        <v>0</v>
      </c>
      <c r="E37" s="78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 s="45">
        <v>0</v>
      </c>
    </row>
    <row r="38" spans="1:176" x14ac:dyDescent="0.2">
      <c r="A38" t="s">
        <v>194</v>
      </c>
      <c r="B38" t="s">
        <v>202</v>
      </c>
      <c r="C38" s="69">
        <v>42215</v>
      </c>
      <c r="D38">
        <v>0</v>
      </c>
      <c r="E38" s="7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 s="45">
        <v>0</v>
      </c>
    </row>
    <row r="39" spans="1:176" x14ac:dyDescent="0.2">
      <c r="A39" t="s">
        <v>194</v>
      </c>
      <c r="B39" t="s">
        <v>202</v>
      </c>
      <c r="C39" s="69">
        <v>42269</v>
      </c>
      <c r="D39">
        <v>0</v>
      </c>
      <c r="E39" s="78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 s="45">
        <v>0</v>
      </c>
    </row>
    <row r="40" spans="1:176" x14ac:dyDescent="0.2">
      <c r="A40" t="s">
        <v>194</v>
      </c>
      <c r="B40" t="s">
        <v>202</v>
      </c>
      <c r="C40" s="69" t="s">
        <v>2</v>
      </c>
      <c r="D40">
        <v>0</v>
      </c>
      <c r="E40" s="78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 s="45">
        <v>0</v>
      </c>
    </row>
    <row r="41" spans="1:176" x14ac:dyDescent="0.2">
      <c r="A41" t="s">
        <v>194</v>
      </c>
      <c r="B41" t="s">
        <v>203</v>
      </c>
      <c r="C41" s="69">
        <v>42215</v>
      </c>
      <c r="D41">
        <v>0</v>
      </c>
      <c r="E41" s="78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 s="45">
        <v>0</v>
      </c>
    </row>
    <row r="42" spans="1:176" x14ac:dyDescent="0.2">
      <c r="A42" t="s">
        <v>194</v>
      </c>
      <c r="B42" t="s">
        <v>203</v>
      </c>
      <c r="C42" s="69">
        <v>42269</v>
      </c>
      <c r="D42">
        <v>0</v>
      </c>
      <c r="E42" s="78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 s="45">
        <v>0</v>
      </c>
    </row>
    <row r="43" spans="1:176" x14ac:dyDescent="0.2">
      <c r="A43" t="s">
        <v>194</v>
      </c>
      <c r="B43" t="s">
        <v>203</v>
      </c>
      <c r="C43" s="69" t="s">
        <v>2</v>
      </c>
      <c r="D43">
        <v>0</v>
      </c>
      <c r="E43" s="78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 s="45">
        <v>0</v>
      </c>
    </row>
    <row r="44" spans="1:176" x14ac:dyDescent="0.2">
      <c r="A44" t="s">
        <v>194</v>
      </c>
      <c r="B44" t="s">
        <v>1</v>
      </c>
      <c r="C44" s="69">
        <v>42215</v>
      </c>
      <c r="D44">
        <v>0</v>
      </c>
      <c r="E44" s="78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 s="45">
        <v>0</v>
      </c>
    </row>
    <row r="45" spans="1:176" x14ac:dyDescent="0.2">
      <c r="A45" t="s">
        <v>194</v>
      </c>
      <c r="B45" t="s">
        <v>1</v>
      </c>
      <c r="C45" s="69">
        <v>42269</v>
      </c>
      <c r="D45">
        <v>0</v>
      </c>
      <c r="E45" s="78">
        <v>18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 s="45">
        <v>0</v>
      </c>
    </row>
    <row r="46" spans="1:176" x14ac:dyDescent="0.2">
      <c r="A46" t="s">
        <v>194</v>
      </c>
      <c r="B46" t="s">
        <v>1</v>
      </c>
      <c r="C46" s="69" t="s">
        <v>2</v>
      </c>
      <c r="D46">
        <v>0</v>
      </c>
      <c r="E46" s="78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 s="45">
        <v>0</v>
      </c>
    </row>
    <row r="47" spans="1:176" x14ac:dyDescent="0.2">
      <c r="A47" t="s">
        <v>195</v>
      </c>
      <c r="B47" t="s">
        <v>202</v>
      </c>
      <c r="C47" s="69">
        <v>42215</v>
      </c>
      <c r="D47">
        <v>0</v>
      </c>
      <c r="E47" s="78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 s="45">
        <v>0</v>
      </c>
    </row>
    <row r="48" spans="1:176" x14ac:dyDescent="0.2">
      <c r="A48" t="s">
        <v>195</v>
      </c>
      <c r="B48" t="s">
        <v>202</v>
      </c>
      <c r="C48" s="69">
        <v>42269</v>
      </c>
      <c r="D48">
        <v>0</v>
      </c>
      <c r="E48" s="7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 s="45">
        <v>0</v>
      </c>
    </row>
    <row r="49" spans="1:176" x14ac:dyDescent="0.2">
      <c r="A49" t="s">
        <v>195</v>
      </c>
      <c r="B49" t="s">
        <v>202</v>
      </c>
      <c r="C49" s="69" t="s">
        <v>2</v>
      </c>
      <c r="D49">
        <v>0</v>
      </c>
      <c r="E49" s="78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 s="45">
        <v>0</v>
      </c>
    </row>
    <row r="50" spans="1:176" x14ac:dyDescent="0.2">
      <c r="A50" t="s">
        <v>195</v>
      </c>
      <c r="B50" t="s">
        <v>203</v>
      </c>
      <c r="C50" s="69">
        <v>42215</v>
      </c>
      <c r="D50">
        <v>0</v>
      </c>
      <c r="E50" s="78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 s="45">
        <v>0</v>
      </c>
    </row>
    <row r="51" spans="1:176" x14ac:dyDescent="0.2">
      <c r="A51" t="s">
        <v>195</v>
      </c>
      <c r="B51" t="s">
        <v>203</v>
      </c>
      <c r="C51" s="69">
        <v>42269</v>
      </c>
      <c r="D51">
        <v>0</v>
      </c>
      <c r="E51" s="78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 s="45">
        <v>0</v>
      </c>
    </row>
    <row r="52" spans="1:176" x14ac:dyDescent="0.2">
      <c r="A52" t="s">
        <v>195</v>
      </c>
      <c r="B52" t="s">
        <v>203</v>
      </c>
      <c r="C52" s="69" t="s">
        <v>2</v>
      </c>
      <c r="D52">
        <v>0</v>
      </c>
      <c r="E52" s="78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 s="45">
        <v>0</v>
      </c>
    </row>
    <row r="53" spans="1:176" x14ac:dyDescent="0.2">
      <c r="A53" t="s">
        <v>195</v>
      </c>
      <c r="B53" t="s">
        <v>1</v>
      </c>
      <c r="C53" s="69">
        <v>42215</v>
      </c>
      <c r="D53">
        <v>0</v>
      </c>
      <c r="E53" s="78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 s="45">
        <v>0</v>
      </c>
    </row>
    <row r="54" spans="1:176" x14ac:dyDescent="0.2">
      <c r="A54" t="s">
        <v>195</v>
      </c>
      <c r="B54" t="s">
        <v>1</v>
      </c>
      <c r="C54" s="69">
        <v>42269</v>
      </c>
      <c r="D54">
        <v>0</v>
      </c>
      <c r="E54" s="78">
        <v>10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 s="45">
        <v>0</v>
      </c>
    </row>
    <row r="55" spans="1:176" x14ac:dyDescent="0.2">
      <c r="A55" t="s">
        <v>195</v>
      </c>
      <c r="B55" t="s">
        <v>1</v>
      </c>
      <c r="C55" s="69" t="s">
        <v>2</v>
      </c>
      <c r="D55">
        <v>0</v>
      </c>
      <c r="E55" s="78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 s="45">
        <v>0</v>
      </c>
    </row>
    <row r="56" spans="1:176" x14ac:dyDescent="0.2">
      <c r="A56" t="s">
        <v>196</v>
      </c>
      <c r="B56" t="s">
        <v>202</v>
      </c>
      <c r="C56" s="69">
        <v>42215</v>
      </c>
      <c r="D56">
        <v>0</v>
      </c>
      <c r="E56" s="78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 s="45">
        <v>0</v>
      </c>
    </row>
    <row r="57" spans="1:176" x14ac:dyDescent="0.2">
      <c r="A57" t="s">
        <v>196</v>
      </c>
      <c r="B57" t="s">
        <v>202</v>
      </c>
      <c r="C57" s="69">
        <v>42269</v>
      </c>
      <c r="D57">
        <v>0</v>
      </c>
      <c r="E57" s="78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 s="45">
        <v>0</v>
      </c>
    </row>
    <row r="58" spans="1:176" x14ac:dyDescent="0.2">
      <c r="A58" t="s">
        <v>196</v>
      </c>
      <c r="B58" t="s">
        <v>202</v>
      </c>
      <c r="C58" s="69" t="s">
        <v>2</v>
      </c>
      <c r="D58">
        <v>0</v>
      </c>
      <c r="E58" s="7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 s="45">
        <v>0</v>
      </c>
    </row>
    <row r="59" spans="1:176" x14ac:dyDescent="0.2">
      <c r="A59" t="s">
        <v>196</v>
      </c>
      <c r="B59" t="s">
        <v>203</v>
      </c>
      <c r="C59" s="69">
        <v>42215</v>
      </c>
      <c r="D59">
        <v>0</v>
      </c>
      <c r="E59" s="78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 s="45">
        <v>0</v>
      </c>
    </row>
    <row r="60" spans="1:176" x14ac:dyDescent="0.2">
      <c r="A60" t="s">
        <v>196</v>
      </c>
      <c r="B60" t="s">
        <v>203</v>
      </c>
      <c r="C60" s="69">
        <v>42269</v>
      </c>
      <c r="D60">
        <v>0</v>
      </c>
      <c r="E60" s="78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 s="45">
        <v>0</v>
      </c>
    </row>
    <row r="61" spans="1:176" x14ac:dyDescent="0.2">
      <c r="A61" t="s">
        <v>196</v>
      </c>
      <c r="B61" t="s">
        <v>203</v>
      </c>
      <c r="C61" s="69" t="s">
        <v>2</v>
      </c>
      <c r="D61">
        <v>0</v>
      </c>
      <c r="E61" s="78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 s="45">
        <v>0</v>
      </c>
    </row>
    <row r="62" spans="1:176" x14ac:dyDescent="0.2">
      <c r="A62" t="s">
        <v>196</v>
      </c>
      <c r="B62" t="s">
        <v>1</v>
      </c>
      <c r="C62" s="69">
        <v>42215</v>
      </c>
      <c r="D62">
        <v>88</v>
      </c>
      <c r="E62" s="78">
        <v>88</v>
      </c>
      <c r="F62">
        <v>31.806000000000001</v>
      </c>
      <c r="G62">
        <v>208.75399999999999</v>
      </c>
      <c r="H62">
        <v>206.9025</v>
      </c>
      <c r="I62">
        <v>205.36760000000001</v>
      </c>
      <c r="J62">
        <v>210.8742</v>
      </c>
      <c r="K62">
        <v>217.23089999999999</v>
      </c>
      <c r="L62">
        <v>227.75290000000001</v>
      </c>
      <c r="M62">
        <v>239.67160000000001</v>
      </c>
      <c r="N62">
        <v>240.62219999999999</v>
      </c>
      <c r="O62">
        <v>241.1173</v>
      </c>
      <c r="P62">
        <v>240.8964</v>
      </c>
      <c r="Q62">
        <v>237.84909999999999</v>
      </c>
      <c r="R62">
        <v>230.5676</v>
      </c>
      <c r="S62">
        <v>222.49510000000001</v>
      </c>
      <c r="T62">
        <v>220.82990000000001</v>
      </c>
      <c r="U62">
        <v>214.2079</v>
      </c>
      <c r="V62">
        <v>207.2544</v>
      </c>
      <c r="W62">
        <v>205.71279999999999</v>
      </c>
      <c r="X62">
        <v>204.3142</v>
      </c>
      <c r="Y62">
        <v>210.46350000000001</v>
      </c>
      <c r="Z62">
        <v>216.0386</v>
      </c>
      <c r="AA62">
        <v>217.27809999999999</v>
      </c>
      <c r="AB62">
        <v>220.21799999999999</v>
      </c>
      <c r="AC62">
        <v>215.58099999999999</v>
      </c>
      <c r="AD62">
        <v>212.45939999999999</v>
      </c>
      <c r="AE62">
        <v>-4.5227510000000004</v>
      </c>
      <c r="AF62">
        <v>-2.0616669999999999</v>
      </c>
      <c r="AG62">
        <v>-1.6183460000000001</v>
      </c>
      <c r="AH62">
        <v>-5.5006969999999997</v>
      </c>
      <c r="AI62">
        <v>-5.0338339999999997</v>
      </c>
      <c r="AJ62">
        <v>-7.8755680000000003</v>
      </c>
      <c r="AK62">
        <v>-6.532902</v>
      </c>
      <c r="AL62">
        <v>-2.6904349999999999</v>
      </c>
      <c r="AM62">
        <v>4.1236280000000001</v>
      </c>
      <c r="AN62">
        <v>1.940472</v>
      </c>
      <c r="AO62">
        <v>1.5139940000000001</v>
      </c>
      <c r="AP62">
        <v>-5.5433830000000004</v>
      </c>
      <c r="AQ62">
        <v>-6.7051679999999996</v>
      </c>
      <c r="AR62">
        <v>-5.63863</v>
      </c>
      <c r="AS62">
        <v>54.066339999999997</v>
      </c>
      <c r="AT62">
        <v>174.9718</v>
      </c>
      <c r="AU62">
        <v>171.79429999999999</v>
      </c>
      <c r="AV62">
        <v>169.56790000000001</v>
      </c>
      <c r="AW62">
        <v>175.50479999999999</v>
      </c>
      <c r="AX62">
        <v>101.0339</v>
      </c>
      <c r="AY62">
        <v>53.419649999999997</v>
      </c>
      <c r="AZ62">
        <v>45.19265</v>
      </c>
      <c r="BA62">
        <v>35.964619999999996</v>
      </c>
      <c r="BB62">
        <v>27.915410000000001</v>
      </c>
      <c r="BC62">
        <v>-3.5379459999999998</v>
      </c>
      <c r="BD62">
        <v>-1.2901320000000001</v>
      </c>
      <c r="BE62">
        <v>-0.95099920000000004</v>
      </c>
      <c r="BF62">
        <v>-4.8382110000000003</v>
      </c>
      <c r="BG62">
        <v>-4.33188</v>
      </c>
      <c r="BH62">
        <v>-7.166207</v>
      </c>
      <c r="BI62">
        <v>-5.8577440000000003</v>
      </c>
      <c r="BJ62">
        <v>-1.9494720000000001</v>
      </c>
      <c r="BK62">
        <v>5.0619959999999997</v>
      </c>
      <c r="BL62">
        <v>2.927765</v>
      </c>
      <c r="BM62">
        <v>2.6641189999999999</v>
      </c>
      <c r="BN62">
        <v>-4.403308</v>
      </c>
      <c r="BO62">
        <v>-5.6445410000000003</v>
      </c>
      <c r="BP62">
        <v>-4.553223</v>
      </c>
      <c r="BQ62">
        <v>55.213039999999999</v>
      </c>
      <c r="BR62">
        <v>176.1241</v>
      </c>
      <c r="BS62">
        <v>173.01650000000001</v>
      </c>
      <c r="BT62">
        <v>170.79069999999999</v>
      </c>
      <c r="BU62">
        <v>176.75550000000001</v>
      </c>
      <c r="BV62">
        <v>102.2779</v>
      </c>
      <c r="BW62">
        <v>54.64293</v>
      </c>
      <c r="BX62">
        <v>46.52467</v>
      </c>
      <c r="BY62">
        <v>37.232439999999997</v>
      </c>
      <c r="BZ62">
        <v>29.195160000000001</v>
      </c>
      <c r="CA62">
        <v>-2.8558729999999999</v>
      </c>
      <c r="CB62">
        <v>-0.75576880000000002</v>
      </c>
      <c r="CC62">
        <v>-0.48879660000000003</v>
      </c>
      <c r="CD62">
        <v>-4.3793749999999996</v>
      </c>
      <c r="CE62">
        <v>-3.8457080000000001</v>
      </c>
      <c r="CF62">
        <v>-6.674906</v>
      </c>
      <c r="CG62">
        <v>-5.3901320000000004</v>
      </c>
      <c r="CH62">
        <v>-1.436283</v>
      </c>
      <c r="CI62">
        <v>5.7119049999999998</v>
      </c>
      <c r="CJ62">
        <v>3.611561</v>
      </c>
      <c r="CK62">
        <v>3.460693</v>
      </c>
      <c r="CL62">
        <v>-3.6136970000000002</v>
      </c>
      <c r="CM62">
        <v>-4.9099539999999999</v>
      </c>
      <c r="CN62">
        <v>-3.8014739999999998</v>
      </c>
      <c r="CO62">
        <v>56.00723</v>
      </c>
      <c r="CP62">
        <v>176.9221</v>
      </c>
      <c r="CQ62">
        <v>173.863</v>
      </c>
      <c r="CR62">
        <v>171.63759999999999</v>
      </c>
      <c r="CS62">
        <v>177.6217</v>
      </c>
      <c r="CT62">
        <v>103.13939999999999</v>
      </c>
      <c r="CU62">
        <v>55.490160000000003</v>
      </c>
      <c r="CV62">
        <v>47.447229999999998</v>
      </c>
      <c r="CW62">
        <v>38.110529999999997</v>
      </c>
      <c r="CX62">
        <v>30.081510000000002</v>
      </c>
      <c r="CY62">
        <v>-2.1738</v>
      </c>
      <c r="CZ62">
        <v>-0.22140570000000001</v>
      </c>
      <c r="DA62">
        <v>-2.6594E-2</v>
      </c>
      <c r="DB62">
        <v>-3.9205399999999999</v>
      </c>
      <c r="DC62">
        <v>-3.359537</v>
      </c>
      <c r="DD62">
        <v>-6.183605</v>
      </c>
      <c r="DE62">
        <v>-4.9225199999999996</v>
      </c>
      <c r="DF62">
        <v>-0.92309470000000005</v>
      </c>
      <c r="DG62">
        <v>6.361815</v>
      </c>
      <c r="DH62">
        <v>4.2953570000000001</v>
      </c>
      <c r="DI62">
        <v>4.2572660000000004</v>
      </c>
      <c r="DJ62">
        <v>-2.8240850000000002</v>
      </c>
      <c r="DK62">
        <v>-4.1753660000000004</v>
      </c>
      <c r="DL62">
        <v>-3.0497239999999999</v>
      </c>
      <c r="DM62">
        <v>56.801430000000003</v>
      </c>
      <c r="DN62">
        <v>177.72020000000001</v>
      </c>
      <c r="DO62">
        <v>174.70949999999999</v>
      </c>
      <c r="DP62">
        <v>172.4845</v>
      </c>
      <c r="DQ62">
        <v>178.488</v>
      </c>
      <c r="DR62">
        <v>104.001</v>
      </c>
      <c r="DS62">
        <v>56.337389999999999</v>
      </c>
      <c r="DT62">
        <v>48.369779999999999</v>
      </c>
      <c r="DU62">
        <v>38.988619999999997</v>
      </c>
      <c r="DV62">
        <v>30.967860000000002</v>
      </c>
      <c r="DW62">
        <v>-1.188995</v>
      </c>
      <c r="DX62">
        <v>0.55012970000000005</v>
      </c>
      <c r="DY62">
        <v>0.64075329999999997</v>
      </c>
      <c r="DZ62">
        <v>-3.258054</v>
      </c>
      <c r="EA62">
        <v>-2.6575820000000001</v>
      </c>
      <c r="EB62">
        <v>-5.4742439999999997</v>
      </c>
      <c r="EC62">
        <v>-4.2473619999999999</v>
      </c>
      <c r="ED62">
        <v>-0.18213180000000001</v>
      </c>
      <c r="EE62">
        <v>7.3001829999999996</v>
      </c>
      <c r="EF62">
        <v>5.2826500000000003</v>
      </c>
      <c r="EG62">
        <v>5.4073919999999998</v>
      </c>
      <c r="EH62">
        <v>-1.68401</v>
      </c>
      <c r="EI62">
        <v>-3.1147390000000001</v>
      </c>
      <c r="EJ62">
        <v>-1.9643170000000001</v>
      </c>
      <c r="EK62">
        <v>57.948129999999999</v>
      </c>
      <c r="EL62">
        <v>178.8724</v>
      </c>
      <c r="EM62">
        <v>175.93170000000001</v>
      </c>
      <c r="EN62">
        <v>173.7073</v>
      </c>
      <c r="EO62">
        <v>179.73869999999999</v>
      </c>
      <c r="EP62">
        <v>105.2449</v>
      </c>
      <c r="EQ62">
        <v>57.560659999999999</v>
      </c>
      <c r="ER62">
        <v>49.701799999999999</v>
      </c>
      <c r="ES62">
        <v>40.256450000000001</v>
      </c>
      <c r="ET62">
        <v>32.247619999999998</v>
      </c>
      <c r="EU62">
        <v>74.045330000000007</v>
      </c>
      <c r="EV62">
        <v>73.198130000000006</v>
      </c>
      <c r="EW62">
        <v>71.927090000000007</v>
      </c>
      <c r="EX62">
        <v>70.179550000000006</v>
      </c>
      <c r="EY62">
        <v>69.219049999999996</v>
      </c>
      <c r="EZ62">
        <v>68.628439999999998</v>
      </c>
      <c r="FA62">
        <v>68.403440000000003</v>
      </c>
      <c r="FB62">
        <v>69.986710000000002</v>
      </c>
      <c r="FC62">
        <v>72.93083</v>
      </c>
      <c r="FD62">
        <v>76.228260000000006</v>
      </c>
      <c r="FE62">
        <v>79.665379999999999</v>
      </c>
      <c r="FF62">
        <v>82.993039999999993</v>
      </c>
      <c r="FG62">
        <v>86.587289999999996</v>
      </c>
      <c r="FH62">
        <v>89.185839999999999</v>
      </c>
      <c r="FI62">
        <v>90.485020000000006</v>
      </c>
      <c r="FJ62">
        <v>92.634349999999998</v>
      </c>
      <c r="FK62">
        <v>92.650959999999998</v>
      </c>
      <c r="FL62">
        <v>91.855119999999999</v>
      </c>
      <c r="FM62">
        <v>90.296260000000004</v>
      </c>
      <c r="FN62">
        <v>84.873859999999993</v>
      </c>
      <c r="FO62">
        <v>80.764470000000003</v>
      </c>
      <c r="FP62">
        <v>78.411919999999995</v>
      </c>
      <c r="FQ62">
        <v>76.708119999999994</v>
      </c>
      <c r="FR62">
        <v>74.842160000000007</v>
      </c>
      <c r="FS62">
        <v>1</v>
      </c>
      <c r="FT62" s="45">
        <v>1.4429829999999999</v>
      </c>
    </row>
    <row r="63" spans="1:176" x14ac:dyDescent="0.2">
      <c r="A63" t="s">
        <v>196</v>
      </c>
      <c r="B63" t="s">
        <v>1</v>
      </c>
      <c r="C63" s="69">
        <v>42269</v>
      </c>
      <c r="D63">
        <v>0</v>
      </c>
      <c r="E63" s="78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 s="45">
        <v>0</v>
      </c>
    </row>
    <row r="64" spans="1:176" x14ac:dyDescent="0.2">
      <c r="A64" t="s">
        <v>196</v>
      </c>
      <c r="B64" t="s">
        <v>1</v>
      </c>
      <c r="C64" s="69" t="s">
        <v>2</v>
      </c>
      <c r="D64">
        <v>88</v>
      </c>
      <c r="E64" s="78">
        <v>88</v>
      </c>
      <c r="F64">
        <v>31.806000000000001</v>
      </c>
      <c r="G64">
        <v>208.75399999999999</v>
      </c>
      <c r="H64">
        <v>206.9025</v>
      </c>
      <c r="I64">
        <v>205.36760000000001</v>
      </c>
      <c r="J64">
        <v>210.8742</v>
      </c>
      <c r="K64">
        <v>217.23089999999999</v>
      </c>
      <c r="L64">
        <v>227.75290000000001</v>
      </c>
      <c r="M64">
        <v>239.67160000000001</v>
      </c>
      <c r="N64">
        <v>240.62219999999999</v>
      </c>
      <c r="O64">
        <v>241.1173</v>
      </c>
      <c r="P64">
        <v>240.8964</v>
      </c>
      <c r="Q64">
        <v>237.84909999999999</v>
      </c>
      <c r="R64">
        <v>230.5676</v>
      </c>
      <c r="S64">
        <v>222.49510000000001</v>
      </c>
      <c r="T64">
        <v>220.82990000000001</v>
      </c>
      <c r="U64">
        <v>214.2079</v>
      </c>
      <c r="V64">
        <v>207.2544</v>
      </c>
      <c r="W64">
        <v>205.71279999999999</v>
      </c>
      <c r="X64">
        <v>204.3142</v>
      </c>
      <c r="Y64">
        <v>210.46350000000001</v>
      </c>
      <c r="Z64">
        <v>216.0386</v>
      </c>
      <c r="AA64">
        <v>217.27809999999999</v>
      </c>
      <c r="AB64">
        <v>220.21799999999999</v>
      </c>
      <c r="AC64">
        <v>215.58099999999999</v>
      </c>
      <c r="AD64">
        <v>212.45939999999999</v>
      </c>
      <c r="AE64">
        <v>-4.5227510000000004</v>
      </c>
      <c r="AF64">
        <v>-2.0616669999999999</v>
      </c>
      <c r="AG64">
        <v>-1.6183460000000001</v>
      </c>
      <c r="AH64">
        <v>-5.5006969999999997</v>
      </c>
      <c r="AI64">
        <v>-5.0338339999999997</v>
      </c>
      <c r="AJ64">
        <v>-7.8755680000000003</v>
      </c>
      <c r="AK64">
        <v>-6.532902</v>
      </c>
      <c r="AL64">
        <v>-2.6904349999999999</v>
      </c>
      <c r="AM64">
        <v>4.1236280000000001</v>
      </c>
      <c r="AN64">
        <v>1.940472</v>
      </c>
      <c r="AO64">
        <v>1.5139940000000001</v>
      </c>
      <c r="AP64">
        <v>-5.5433830000000004</v>
      </c>
      <c r="AQ64">
        <v>-6.7051679999999996</v>
      </c>
      <c r="AR64">
        <v>-5.63863</v>
      </c>
      <c r="AS64">
        <v>54.066339999999997</v>
      </c>
      <c r="AT64">
        <v>174.9718</v>
      </c>
      <c r="AU64">
        <v>171.79429999999999</v>
      </c>
      <c r="AV64">
        <v>169.56790000000001</v>
      </c>
      <c r="AW64">
        <v>175.50479999999999</v>
      </c>
      <c r="AX64">
        <v>101.0339</v>
      </c>
      <c r="AY64">
        <v>53.419649999999997</v>
      </c>
      <c r="AZ64">
        <v>45.19265</v>
      </c>
      <c r="BA64">
        <v>35.964619999999996</v>
      </c>
      <c r="BB64">
        <v>27.915410000000001</v>
      </c>
      <c r="BC64">
        <v>-3.5379459999999998</v>
      </c>
      <c r="BD64">
        <v>-1.2901320000000001</v>
      </c>
      <c r="BE64">
        <v>-0.95099920000000004</v>
      </c>
      <c r="BF64">
        <v>-4.8382110000000003</v>
      </c>
      <c r="BG64">
        <v>-4.33188</v>
      </c>
      <c r="BH64">
        <v>-7.166207</v>
      </c>
      <c r="BI64">
        <v>-5.8577440000000003</v>
      </c>
      <c r="BJ64">
        <v>-1.9494720000000001</v>
      </c>
      <c r="BK64">
        <v>5.0619959999999997</v>
      </c>
      <c r="BL64">
        <v>2.927765</v>
      </c>
      <c r="BM64">
        <v>2.6641189999999999</v>
      </c>
      <c r="BN64">
        <v>-4.403308</v>
      </c>
      <c r="BO64">
        <v>-5.6445410000000003</v>
      </c>
      <c r="BP64">
        <v>-4.553223</v>
      </c>
      <c r="BQ64">
        <v>55.213039999999999</v>
      </c>
      <c r="BR64">
        <v>176.1241</v>
      </c>
      <c r="BS64">
        <v>173.01650000000001</v>
      </c>
      <c r="BT64">
        <v>170.79069999999999</v>
      </c>
      <c r="BU64">
        <v>176.75550000000001</v>
      </c>
      <c r="BV64">
        <v>102.2779</v>
      </c>
      <c r="BW64">
        <v>54.64293</v>
      </c>
      <c r="BX64">
        <v>46.52467</v>
      </c>
      <c r="BY64">
        <v>37.232439999999997</v>
      </c>
      <c r="BZ64">
        <v>29.195160000000001</v>
      </c>
      <c r="CA64">
        <v>-2.8558729999999999</v>
      </c>
      <c r="CB64">
        <v>-0.75576880000000002</v>
      </c>
      <c r="CC64">
        <v>-0.48879660000000003</v>
      </c>
      <c r="CD64">
        <v>-4.3793749999999996</v>
      </c>
      <c r="CE64">
        <v>-3.8457080000000001</v>
      </c>
      <c r="CF64">
        <v>-6.674906</v>
      </c>
      <c r="CG64">
        <v>-5.3901320000000004</v>
      </c>
      <c r="CH64">
        <v>-1.436283</v>
      </c>
      <c r="CI64">
        <v>5.7119049999999998</v>
      </c>
      <c r="CJ64">
        <v>3.611561</v>
      </c>
      <c r="CK64">
        <v>3.460693</v>
      </c>
      <c r="CL64">
        <v>-3.6136970000000002</v>
      </c>
      <c r="CM64">
        <v>-4.9099539999999999</v>
      </c>
      <c r="CN64">
        <v>-3.8014739999999998</v>
      </c>
      <c r="CO64">
        <v>56.00723</v>
      </c>
      <c r="CP64">
        <v>176.9221</v>
      </c>
      <c r="CQ64">
        <v>173.863</v>
      </c>
      <c r="CR64">
        <v>171.63759999999999</v>
      </c>
      <c r="CS64">
        <v>177.6217</v>
      </c>
      <c r="CT64">
        <v>103.13939999999999</v>
      </c>
      <c r="CU64">
        <v>55.490160000000003</v>
      </c>
      <c r="CV64">
        <v>47.447229999999998</v>
      </c>
      <c r="CW64">
        <v>38.110529999999997</v>
      </c>
      <c r="CX64">
        <v>30.081510000000002</v>
      </c>
      <c r="CY64">
        <v>-2.1738</v>
      </c>
      <c r="CZ64">
        <v>-0.22140570000000001</v>
      </c>
      <c r="DA64">
        <v>-2.6594E-2</v>
      </c>
      <c r="DB64">
        <v>-3.9205399999999999</v>
      </c>
      <c r="DC64">
        <v>-3.359537</v>
      </c>
      <c r="DD64">
        <v>-6.183605</v>
      </c>
      <c r="DE64">
        <v>-4.9225199999999996</v>
      </c>
      <c r="DF64">
        <v>-0.92309470000000005</v>
      </c>
      <c r="DG64">
        <v>6.361815</v>
      </c>
      <c r="DH64">
        <v>4.2953570000000001</v>
      </c>
      <c r="DI64">
        <v>4.2572660000000004</v>
      </c>
      <c r="DJ64">
        <v>-2.8240850000000002</v>
      </c>
      <c r="DK64">
        <v>-4.1753660000000004</v>
      </c>
      <c r="DL64">
        <v>-3.0497239999999999</v>
      </c>
      <c r="DM64">
        <v>56.801430000000003</v>
      </c>
      <c r="DN64">
        <v>177.72020000000001</v>
      </c>
      <c r="DO64">
        <v>174.70949999999999</v>
      </c>
      <c r="DP64">
        <v>172.4845</v>
      </c>
      <c r="DQ64">
        <v>178.488</v>
      </c>
      <c r="DR64">
        <v>104.001</v>
      </c>
      <c r="DS64">
        <v>56.337389999999999</v>
      </c>
      <c r="DT64">
        <v>48.369779999999999</v>
      </c>
      <c r="DU64">
        <v>38.988619999999997</v>
      </c>
      <c r="DV64">
        <v>30.967860000000002</v>
      </c>
      <c r="DW64">
        <v>-1.188995</v>
      </c>
      <c r="DX64">
        <v>0.55012970000000005</v>
      </c>
      <c r="DY64">
        <v>0.64075329999999997</v>
      </c>
      <c r="DZ64">
        <v>-3.258054</v>
      </c>
      <c r="EA64">
        <v>-2.6575820000000001</v>
      </c>
      <c r="EB64">
        <v>-5.4742439999999997</v>
      </c>
      <c r="EC64">
        <v>-4.2473619999999999</v>
      </c>
      <c r="ED64">
        <v>-0.18213180000000001</v>
      </c>
      <c r="EE64">
        <v>7.3001829999999996</v>
      </c>
      <c r="EF64">
        <v>5.2826500000000003</v>
      </c>
      <c r="EG64">
        <v>5.4073919999999998</v>
      </c>
      <c r="EH64">
        <v>-1.68401</v>
      </c>
      <c r="EI64">
        <v>-3.1147390000000001</v>
      </c>
      <c r="EJ64">
        <v>-1.9643170000000001</v>
      </c>
      <c r="EK64">
        <v>57.948129999999999</v>
      </c>
      <c r="EL64">
        <v>178.8724</v>
      </c>
      <c r="EM64">
        <v>175.93170000000001</v>
      </c>
      <c r="EN64">
        <v>173.7073</v>
      </c>
      <c r="EO64">
        <v>179.73869999999999</v>
      </c>
      <c r="EP64">
        <v>105.2449</v>
      </c>
      <c r="EQ64">
        <v>57.560659999999999</v>
      </c>
      <c r="ER64">
        <v>49.701799999999999</v>
      </c>
      <c r="ES64">
        <v>40.256450000000001</v>
      </c>
      <c r="ET64">
        <v>32.247619999999998</v>
      </c>
      <c r="EU64">
        <v>74.045330000000007</v>
      </c>
      <c r="EV64">
        <v>73.198130000000006</v>
      </c>
      <c r="EW64">
        <v>71.927090000000007</v>
      </c>
      <c r="EX64">
        <v>70.179550000000006</v>
      </c>
      <c r="EY64">
        <v>69.219049999999996</v>
      </c>
      <c r="EZ64">
        <v>68.628439999999998</v>
      </c>
      <c r="FA64">
        <v>68.403440000000003</v>
      </c>
      <c r="FB64">
        <v>69.986710000000002</v>
      </c>
      <c r="FC64">
        <v>72.93083</v>
      </c>
      <c r="FD64">
        <v>76.228260000000006</v>
      </c>
      <c r="FE64">
        <v>79.665379999999999</v>
      </c>
      <c r="FF64">
        <v>82.993039999999993</v>
      </c>
      <c r="FG64">
        <v>86.587289999999996</v>
      </c>
      <c r="FH64">
        <v>89.185839999999999</v>
      </c>
      <c r="FI64">
        <v>90.485020000000006</v>
      </c>
      <c r="FJ64">
        <v>92.634349999999998</v>
      </c>
      <c r="FK64">
        <v>92.650959999999998</v>
      </c>
      <c r="FL64">
        <v>91.855119999999999</v>
      </c>
      <c r="FM64">
        <v>90.296260000000004</v>
      </c>
      <c r="FN64">
        <v>84.873859999999993</v>
      </c>
      <c r="FO64">
        <v>80.764470000000003</v>
      </c>
      <c r="FP64">
        <v>78.411919999999995</v>
      </c>
      <c r="FQ64">
        <v>76.708119999999994</v>
      </c>
      <c r="FR64">
        <v>74.842160000000007</v>
      </c>
      <c r="FS64">
        <v>1</v>
      </c>
      <c r="FT64" s="45">
        <v>1.4429829999999999</v>
      </c>
    </row>
    <row r="65" spans="1:176" x14ac:dyDescent="0.2">
      <c r="A65" t="s">
        <v>197</v>
      </c>
      <c r="B65" t="s">
        <v>202</v>
      </c>
      <c r="C65" s="69">
        <v>42215</v>
      </c>
      <c r="D65">
        <v>0</v>
      </c>
      <c r="E65" s="78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 s="45">
        <v>0</v>
      </c>
    </row>
    <row r="66" spans="1:176" x14ac:dyDescent="0.2">
      <c r="A66" t="s">
        <v>197</v>
      </c>
      <c r="B66" t="s">
        <v>202</v>
      </c>
      <c r="C66" s="69">
        <v>42269</v>
      </c>
      <c r="D66">
        <v>0</v>
      </c>
      <c r="E66" s="78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0</v>
      </c>
      <c r="FT66" s="45">
        <v>0</v>
      </c>
    </row>
    <row r="67" spans="1:176" x14ac:dyDescent="0.2">
      <c r="A67" t="s">
        <v>197</v>
      </c>
      <c r="B67" t="s">
        <v>202</v>
      </c>
      <c r="C67" s="69" t="s">
        <v>2</v>
      </c>
      <c r="D67">
        <v>0</v>
      </c>
      <c r="E67" s="78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 s="45">
        <v>0</v>
      </c>
    </row>
    <row r="68" spans="1:176" x14ac:dyDescent="0.2">
      <c r="A68" t="s">
        <v>197</v>
      </c>
      <c r="B68" t="s">
        <v>203</v>
      </c>
      <c r="C68" s="69">
        <v>42215</v>
      </c>
      <c r="D68">
        <v>0</v>
      </c>
      <c r="E68" s="7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 s="45">
        <v>0</v>
      </c>
    </row>
    <row r="69" spans="1:176" x14ac:dyDescent="0.2">
      <c r="A69" t="s">
        <v>197</v>
      </c>
      <c r="B69" t="s">
        <v>203</v>
      </c>
      <c r="C69" s="69">
        <v>42269</v>
      </c>
      <c r="D69">
        <v>0</v>
      </c>
      <c r="E69" s="78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 s="45">
        <v>0</v>
      </c>
    </row>
    <row r="70" spans="1:176" x14ac:dyDescent="0.2">
      <c r="A70" t="s">
        <v>197</v>
      </c>
      <c r="B70" t="s">
        <v>203</v>
      </c>
      <c r="C70" s="69" t="s">
        <v>2</v>
      </c>
      <c r="D70">
        <v>0</v>
      </c>
      <c r="E70" s="78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 s="45">
        <v>0</v>
      </c>
    </row>
    <row r="71" spans="1:176" x14ac:dyDescent="0.2">
      <c r="A71" t="s">
        <v>197</v>
      </c>
      <c r="B71" t="s">
        <v>1</v>
      </c>
      <c r="C71" s="69">
        <v>42215</v>
      </c>
      <c r="D71">
        <v>0</v>
      </c>
      <c r="E71" s="78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 s="45">
        <v>0</v>
      </c>
    </row>
    <row r="72" spans="1:176" x14ac:dyDescent="0.2">
      <c r="A72" t="s">
        <v>197</v>
      </c>
      <c r="B72" t="s">
        <v>1</v>
      </c>
      <c r="C72" s="69">
        <v>42269</v>
      </c>
      <c r="D72">
        <v>0</v>
      </c>
      <c r="E72" s="78">
        <v>8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 s="45">
        <v>0</v>
      </c>
    </row>
    <row r="73" spans="1:176" x14ac:dyDescent="0.2">
      <c r="A73" t="s">
        <v>197</v>
      </c>
      <c r="B73" t="s">
        <v>1</v>
      </c>
      <c r="C73" s="69" t="s">
        <v>2</v>
      </c>
      <c r="D73">
        <v>0</v>
      </c>
      <c r="E73" s="78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 s="45">
        <v>0</v>
      </c>
    </row>
    <row r="74" spans="1:176" x14ac:dyDescent="0.2">
      <c r="A74" t="s">
        <v>198</v>
      </c>
      <c r="B74" t="s">
        <v>202</v>
      </c>
      <c r="C74" s="69">
        <v>42215</v>
      </c>
      <c r="D74">
        <v>0</v>
      </c>
      <c r="E74" s="78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 s="45">
        <v>0</v>
      </c>
    </row>
    <row r="75" spans="1:176" x14ac:dyDescent="0.2">
      <c r="A75" t="s">
        <v>198</v>
      </c>
      <c r="B75" t="s">
        <v>202</v>
      </c>
      <c r="C75" s="69">
        <v>42269</v>
      </c>
      <c r="D75">
        <v>0</v>
      </c>
      <c r="E75" s="78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0</v>
      </c>
      <c r="FS75">
        <v>0</v>
      </c>
      <c r="FT75" s="45">
        <v>0</v>
      </c>
    </row>
    <row r="76" spans="1:176" x14ac:dyDescent="0.2">
      <c r="A76" t="s">
        <v>198</v>
      </c>
      <c r="B76" t="s">
        <v>202</v>
      </c>
      <c r="C76" s="69" t="s">
        <v>2</v>
      </c>
      <c r="D76">
        <v>0</v>
      </c>
      <c r="E76" s="78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 s="45">
        <v>0</v>
      </c>
    </row>
    <row r="77" spans="1:176" x14ac:dyDescent="0.2">
      <c r="A77" t="s">
        <v>198</v>
      </c>
      <c r="B77" t="s">
        <v>203</v>
      </c>
      <c r="C77" s="69">
        <v>42215</v>
      </c>
      <c r="D77">
        <v>0</v>
      </c>
      <c r="E77" s="78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  <c r="FT77" s="45">
        <v>0</v>
      </c>
    </row>
    <row r="78" spans="1:176" x14ac:dyDescent="0.2">
      <c r="A78" t="s">
        <v>198</v>
      </c>
      <c r="B78" t="s">
        <v>203</v>
      </c>
      <c r="C78" s="69">
        <v>42269</v>
      </c>
      <c r="D78">
        <v>0</v>
      </c>
      <c r="E78" s="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 s="45">
        <v>0</v>
      </c>
    </row>
    <row r="79" spans="1:176" x14ac:dyDescent="0.2">
      <c r="A79" t="s">
        <v>198</v>
      </c>
      <c r="B79" t="s">
        <v>203</v>
      </c>
      <c r="C79" s="69" t="s">
        <v>2</v>
      </c>
      <c r="D79">
        <v>0</v>
      </c>
      <c r="E79" s="78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 s="45">
        <v>0</v>
      </c>
    </row>
    <row r="80" spans="1:176" x14ac:dyDescent="0.2">
      <c r="A80" t="s">
        <v>198</v>
      </c>
      <c r="B80" t="s">
        <v>1</v>
      </c>
      <c r="C80" s="69">
        <v>42215</v>
      </c>
      <c r="D80">
        <v>0</v>
      </c>
      <c r="E80" s="78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 s="45">
        <v>0</v>
      </c>
    </row>
    <row r="81" spans="1:176" x14ac:dyDescent="0.2">
      <c r="A81" t="s">
        <v>198</v>
      </c>
      <c r="B81" t="s">
        <v>1</v>
      </c>
      <c r="C81" s="69">
        <v>42269</v>
      </c>
      <c r="D81">
        <v>0</v>
      </c>
      <c r="E81" s="78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0</v>
      </c>
      <c r="FQ81">
        <v>0</v>
      </c>
      <c r="FR81">
        <v>0</v>
      </c>
      <c r="FS81">
        <v>0</v>
      </c>
      <c r="FT81" s="45">
        <v>0</v>
      </c>
    </row>
    <row r="82" spans="1:176" x14ac:dyDescent="0.2">
      <c r="A82" t="s">
        <v>198</v>
      </c>
      <c r="B82" t="s">
        <v>1</v>
      </c>
      <c r="C82" s="69" t="s">
        <v>2</v>
      </c>
      <c r="D82">
        <v>0</v>
      </c>
      <c r="E82" s="78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 s="45">
        <v>0</v>
      </c>
    </row>
    <row r="83" spans="1:176" x14ac:dyDescent="0.2">
      <c r="A83" t="s">
        <v>1</v>
      </c>
      <c r="B83" t="s">
        <v>202</v>
      </c>
      <c r="C83" s="69">
        <v>42046</v>
      </c>
      <c r="D83">
        <v>0</v>
      </c>
      <c r="E83" s="78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0</v>
      </c>
      <c r="FR83">
        <v>0</v>
      </c>
      <c r="FS83">
        <v>0</v>
      </c>
      <c r="FT83" s="45">
        <v>0</v>
      </c>
    </row>
    <row r="84" spans="1:176" x14ac:dyDescent="0.2">
      <c r="A84" t="s">
        <v>1</v>
      </c>
      <c r="B84" t="s">
        <v>202</v>
      </c>
      <c r="C84" s="69">
        <v>42117</v>
      </c>
      <c r="D84">
        <v>0</v>
      </c>
      <c r="E84" s="78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0</v>
      </c>
      <c r="FT84" s="45">
        <v>0</v>
      </c>
    </row>
    <row r="85" spans="1:176" x14ac:dyDescent="0.2">
      <c r="A85" t="s">
        <v>1</v>
      </c>
      <c r="B85" t="s">
        <v>203</v>
      </c>
      <c r="C85" s="69">
        <v>42046</v>
      </c>
      <c r="D85">
        <v>0</v>
      </c>
      <c r="E85" s="78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 s="45">
        <v>0</v>
      </c>
    </row>
    <row r="86" spans="1:176" x14ac:dyDescent="0.2">
      <c r="A86" t="s">
        <v>1</v>
      </c>
      <c r="B86" t="s">
        <v>203</v>
      </c>
      <c r="C86" s="69">
        <v>42117</v>
      </c>
      <c r="D86">
        <v>0</v>
      </c>
      <c r="E86" s="78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 s="45">
        <v>0</v>
      </c>
    </row>
    <row r="87" spans="1:176" x14ac:dyDescent="0.2">
      <c r="A87" t="s">
        <v>1</v>
      </c>
      <c r="B87" t="s">
        <v>1</v>
      </c>
      <c r="C87" s="69">
        <v>42046</v>
      </c>
      <c r="D87">
        <v>0</v>
      </c>
      <c r="E87" s="78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 s="45">
        <v>0</v>
      </c>
    </row>
    <row r="88" spans="1:176" x14ac:dyDescent="0.2">
      <c r="A88" t="s">
        <v>1</v>
      </c>
      <c r="B88" t="s">
        <v>1</v>
      </c>
      <c r="C88" s="69">
        <v>42117</v>
      </c>
      <c r="D88">
        <v>0</v>
      </c>
      <c r="E88" s="7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  <c r="FT88" s="45">
        <v>0</v>
      </c>
    </row>
    <row r="89" spans="1:176" x14ac:dyDescent="0.2">
      <c r="A89" t="s">
        <v>191</v>
      </c>
      <c r="B89" t="s">
        <v>202</v>
      </c>
      <c r="C89" s="69">
        <v>42046</v>
      </c>
      <c r="D89">
        <v>0</v>
      </c>
      <c r="E89" s="78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 s="45">
        <v>0</v>
      </c>
    </row>
    <row r="90" spans="1:176" x14ac:dyDescent="0.2">
      <c r="A90" t="s">
        <v>191</v>
      </c>
      <c r="B90" t="s">
        <v>202</v>
      </c>
      <c r="C90" s="69">
        <v>42117</v>
      </c>
      <c r="D90">
        <v>0</v>
      </c>
      <c r="E90" s="78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 s="45">
        <v>0</v>
      </c>
    </row>
    <row r="91" spans="1:176" x14ac:dyDescent="0.2">
      <c r="A91" t="s">
        <v>191</v>
      </c>
      <c r="B91" t="s">
        <v>203</v>
      </c>
      <c r="C91" s="69">
        <v>42046</v>
      </c>
      <c r="D91">
        <v>0</v>
      </c>
      <c r="E91" s="78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 s="45">
        <v>0</v>
      </c>
    </row>
    <row r="92" spans="1:176" x14ac:dyDescent="0.2">
      <c r="A92" t="s">
        <v>191</v>
      </c>
      <c r="B92" t="s">
        <v>203</v>
      </c>
      <c r="C92" s="69">
        <v>42117</v>
      </c>
      <c r="D92">
        <v>0</v>
      </c>
      <c r="E92" s="78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 s="45">
        <v>0</v>
      </c>
    </row>
    <row r="93" spans="1:176" x14ac:dyDescent="0.2">
      <c r="A93" t="s">
        <v>191</v>
      </c>
      <c r="B93" t="s">
        <v>1</v>
      </c>
      <c r="C93" s="69">
        <v>42046</v>
      </c>
      <c r="D93">
        <v>0</v>
      </c>
      <c r="E93" s="78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T93" s="45">
        <v>0</v>
      </c>
    </row>
    <row r="94" spans="1:176" x14ac:dyDescent="0.2">
      <c r="A94" t="s">
        <v>191</v>
      </c>
      <c r="B94" t="s">
        <v>1</v>
      </c>
      <c r="C94" s="69">
        <v>42117</v>
      </c>
      <c r="D94">
        <v>0</v>
      </c>
      <c r="E94" s="78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0</v>
      </c>
      <c r="FS94">
        <v>0</v>
      </c>
      <c r="FT94" s="45">
        <v>0</v>
      </c>
    </row>
    <row r="95" spans="1:176" x14ac:dyDescent="0.2">
      <c r="A95" t="s">
        <v>192</v>
      </c>
      <c r="B95" t="s">
        <v>202</v>
      </c>
      <c r="C95" s="69">
        <v>42046</v>
      </c>
      <c r="D95">
        <v>0</v>
      </c>
      <c r="E95" s="78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0</v>
      </c>
      <c r="FS95">
        <v>0</v>
      </c>
      <c r="FT95" s="45">
        <v>0</v>
      </c>
    </row>
    <row r="96" spans="1:176" x14ac:dyDescent="0.2">
      <c r="A96" t="s">
        <v>192</v>
      </c>
      <c r="B96" t="s">
        <v>202</v>
      </c>
      <c r="C96" s="69">
        <v>42117</v>
      </c>
      <c r="D96">
        <v>0</v>
      </c>
      <c r="E96" s="78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0</v>
      </c>
      <c r="FT96" s="45">
        <v>0</v>
      </c>
    </row>
    <row r="97" spans="1:176" x14ac:dyDescent="0.2">
      <c r="A97" t="s">
        <v>192</v>
      </c>
      <c r="B97" t="s">
        <v>203</v>
      </c>
      <c r="C97" s="69">
        <v>42046</v>
      </c>
      <c r="D97">
        <v>0</v>
      </c>
      <c r="E97" s="78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  <c r="FT97" s="45">
        <v>0</v>
      </c>
    </row>
    <row r="98" spans="1:176" x14ac:dyDescent="0.2">
      <c r="A98" t="s">
        <v>192</v>
      </c>
      <c r="B98" t="s">
        <v>203</v>
      </c>
      <c r="C98" s="69">
        <v>42117</v>
      </c>
      <c r="D98">
        <v>0</v>
      </c>
      <c r="E98" s="7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0</v>
      </c>
      <c r="FS98">
        <v>0</v>
      </c>
      <c r="FT98" s="45">
        <v>0</v>
      </c>
    </row>
    <row r="99" spans="1:176" x14ac:dyDescent="0.2">
      <c r="A99" t="s">
        <v>192</v>
      </c>
      <c r="B99" t="s">
        <v>1</v>
      </c>
      <c r="C99" s="69">
        <v>42046</v>
      </c>
      <c r="D99">
        <v>0</v>
      </c>
      <c r="E99" s="78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  <c r="FQ99">
        <v>0</v>
      </c>
      <c r="FR99">
        <v>0</v>
      </c>
      <c r="FS99">
        <v>0</v>
      </c>
      <c r="FT99" s="45">
        <v>0</v>
      </c>
    </row>
    <row r="100" spans="1:176" x14ac:dyDescent="0.2">
      <c r="A100" t="s">
        <v>192</v>
      </c>
      <c r="B100" t="s">
        <v>1</v>
      </c>
      <c r="C100" s="69">
        <v>42117</v>
      </c>
      <c r="D100">
        <v>0</v>
      </c>
      <c r="E100" s="78">
        <v>12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0</v>
      </c>
      <c r="FQ100">
        <v>0</v>
      </c>
      <c r="FR100">
        <v>0</v>
      </c>
      <c r="FS100">
        <v>0</v>
      </c>
      <c r="FT100" s="45">
        <v>0</v>
      </c>
    </row>
    <row r="101" spans="1:176" x14ac:dyDescent="0.2">
      <c r="A101" t="s">
        <v>193</v>
      </c>
      <c r="B101" t="s">
        <v>202</v>
      </c>
      <c r="C101" s="69">
        <v>42046</v>
      </c>
      <c r="D101">
        <v>0</v>
      </c>
      <c r="E101" s="78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0</v>
      </c>
      <c r="FQ101">
        <v>0</v>
      </c>
      <c r="FR101">
        <v>0</v>
      </c>
      <c r="FS101">
        <v>0</v>
      </c>
      <c r="FT101" s="45">
        <v>0</v>
      </c>
    </row>
    <row r="102" spans="1:176" x14ac:dyDescent="0.2">
      <c r="A102" t="s">
        <v>193</v>
      </c>
      <c r="B102" t="s">
        <v>202</v>
      </c>
      <c r="C102" s="69">
        <v>42117</v>
      </c>
      <c r="D102">
        <v>0</v>
      </c>
      <c r="E102" s="78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0</v>
      </c>
      <c r="FS102">
        <v>0</v>
      </c>
      <c r="FT102" s="45">
        <v>0</v>
      </c>
    </row>
    <row r="103" spans="1:176" x14ac:dyDescent="0.2">
      <c r="A103" t="s">
        <v>193</v>
      </c>
      <c r="B103" t="s">
        <v>203</v>
      </c>
      <c r="C103" s="69">
        <v>42046</v>
      </c>
      <c r="D103">
        <v>0</v>
      </c>
      <c r="E103" s="78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0</v>
      </c>
      <c r="FT103" s="45">
        <v>0</v>
      </c>
    </row>
    <row r="104" spans="1:176" x14ac:dyDescent="0.2">
      <c r="A104" t="s">
        <v>193</v>
      </c>
      <c r="B104" t="s">
        <v>203</v>
      </c>
      <c r="C104" s="69">
        <v>42117</v>
      </c>
      <c r="D104">
        <v>0</v>
      </c>
      <c r="E104" s="78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S104">
        <v>0</v>
      </c>
      <c r="FT104" s="45">
        <v>0</v>
      </c>
    </row>
    <row r="105" spans="1:176" x14ac:dyDescent="0.2">
      <c r="A105" t="s">
        <v>193</v>
      </c>
      <c r="B105" t="s">
        <v>1</v>
      </c>
      <c r="C105" s="69">
        <v>42046</v>
      </c>
      <c r="D105">
        <v>0</v>
      </c>
      <c r="E105" s="78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>
        <v>0</v>
      </c>
      <c r="FT105" s="45">
        <v>0</v>
      </c>
    </row>
    <row r="106" spans="1:176" x14ac:dyDescent="0.2">
      <c r="A106" t="s">
        <v>193</v>
      </c>
      <c r="B106" t="s">
        <v>1</v>
      </c>
      <c r="C106" s="69">
        <v>42117</v>
      </c>
      <c r="D106">
        <v>0</v>
      </c>
      <c r="E106" s="78">
        <v>14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S106">
        <v>0</v>
      </c>
      <c r="FT106" s="45">
        <v>0</v>
      </c>
    </row>
    <row r="107" spans="1:176" x14ac:dyDescent="0.2">
      <c r="A107" t="s">
        <v>194</v>
      </c>
      <c r="B107" t="s">
        <v>202</v>
      </c>
      <c r="C107" s="69">
        <v>42046</v>
      </c>
      <c r="D107">
        <v>0</v>
      </c>
      <c r="E107" s="78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0</v>
      </c>
      <c r="FS107">
        <v>0</v>
      </c>
      <c r="FT107" s="45">
        <v>0</v>
      </c>
    </row>
    <row r="108" spans="1:176" x14ac:dyDescent="0.2">
      <c r="A108" t="s">
        <v>194</v>
      </c>
      <c r="B108" t="s">
        <v>202</v>
      </c>
      <c r="C108" s="69">
        <v>42117</v>
      </c>
      <c r="D108">
        <v>0</v>
      </c>
      <c r="E108" s="7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0</v>
      </c>
      <c r="FQ108">
        <v>0</v>
      </c>
      <c r="FR108">
        <v>0</v>
      </c>
      <c r="FS108">
        <v>0</v>
      </c>
      <c r="FT108" s="45">
        <v>0</v>
      </c>
    </row>
    <row r="109" spans="1:176" x14ac:dyDescent="0.2">
      <c r="A109" t="s">
        <v>194</v>
      </c>
      <c r="B109" t="s">
        <v>203</v>
      </c>
      <c r="C109" s="69">
        <v>42046</v>
      </c>
      <c r="D109">
        <v>0</v>
      </c>
      <c r="E109" s="78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S109">
        <v>0</v>
      </c>
      <c r="FT109" s="45">
        <v>0</v>
      </c>
    </row>
    <row r="110" spans="1:176" x14ac:dyDescent="0.2">
      <c r="A110" t="s">
        <v>194</v>
      </c>
      <c r="B110" t="s">
        <v>203</v>
      </c>
      <c r="C110" s="69">
        <v>42117</v>
      </c>
      <c r="D110">
        <v>0</v>
      </c>
      <c r="E110" s="78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0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0</v>
      </c>
      <c r="FQ110">
        <v>0</v>
      </c>
      <c r="FR110">
        <v>0</v>
      </c>
      <c r="FS110">
        <v>0</v>
      </c>
      <c r="FT110" s="45">
        <v>0</v>
      </c>
    </row>
    <row r="111" spans="1:176" x14ac:dyDescent="0.2">
      <c r="A111" t="s">
        <v>194</v>
      </c>
      <c r="B111" t="s">
        <v>1</v>
      </c>
      <c r="C111" s="69">
        <v>42046</v>
      </c>
      <c r="D111">
        <v>0</v>
      </c>
      <c r="E111" s="78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0</v>
      </c>
      <c r="FT111" s="45">
        <v>0</v>
      </c>
    </row>
    <row r="112" spans="1:176" x14ac:dyDescent="0.2">
      <c r="A112" t="s">
        <v>194</v>
      </c>
      <c r="B112" t="s">
        <v>1</v>
      </c>
      <c r="C112" s="69">
        <v>42117</v>
      </c>
      <c r="D112">
        <v>0</v>
      </c>
      <c r="E112" s="78">
        <v>18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0</v>
      </c>
      <c r="FP112">
        <v>0</v>
      </c>
      <c r="FQ112">
        <v>0</v>
      </c>
      <c r="FR112">
        <v>0</v>
      </c>
      <c r="FS112">
        <v>0</v>
      </c>
      <c r="FT112" s="45">
        <v>0</v>
      </c>
    </row>
    <row r="113" spans="1:176" x14ac:dyDescent="0.2">
      <c r="A113" t="s">
        <v>195</v>
      </c>
      <c r="B113" t="s">
        <v>202</v>
      </c>
      <c r="C113" s="69">
        <v>42046</v>
      </c>
      <c r="D113">
        <v>0</v>
      </c>
      <c r="E113" s="78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>
        <v>0</v>
      </c>
      <c r="FO113">
        <v>0</v>
      </c>
      <c r="FP113">
        <v>0</v>
      </c>
      <c r="FQ113">
        <v>0</v>
      </c>
      <c r="FR113">
        <v>0</v>
      </c>
      <c r="FS113">
        <v>0</v>
      </c>
      <c r="FT113" s="45">
        <v>0</v>
      </c>
    </row>
    <row r="114" spans="1:176" x14ac:dyDescent="0.2">
      <c r="A114" t="s">
        <v>195</v>
      </c>
      <c r="B114" t="s">
        <v>202</v>
      </c>
      <c r="C114" s="69">
        <v>42117</v>
      </c>
      <c r="D114">
        <v>0</v>
      </c>
      <c r="E114" s="78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0</v>
      </c>
      <c r="ES114">
        <v>0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0</v>
      </c>
      <c r="FQ114">
        <v>0</v>
      </c>
      <c r="FR114">
        <v>0</v>
      </c>
      <c r="FS114">
        <v>0</v>
      </c>
      <c r="FT114" s="45">
        <v>0</v>
      </c>
    </row>
    <row r="115" spans="1:176" x14ac:dyDescent="0.2">
      <c r="A115" t="s">
        <v>195</v>
      </c>
      <c r="B115" t="s">
        <v>203</v>
      </c>
      <c r="C115" s="69">
        <v>42046</v>
      </c>
      <c r="D115">
        <v>0</v>
      </c>
      <c r="E115" s="78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0</v>
      </c>
      <c r="FR115">
        <v>0</v>
      </c>
      <c r="FS115">
        <v>0</v>
      </c>
      <c r="FT115" s="45">
        <v>0</v>
      </c>
    </row>
    <row r="116" spans="1:176" x14ac:dyDescent="0.2">
      <c r="A116" t="s">
        <v>195</v>
      </c>
      <c r="B116" t="s">
        <v>203</v>
      </c>
      <c r="C116" s="69">
        <v>42117</v>
      </c>
      <c r="D116">
        <v>0</v>
      </c>
      <c r="E116" s="78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0</v>
      </c>
      <c r="FT116" s="45">
        <v>0</v>
      </c>
    </row>
    <row r="117" spans="1:176" x14ac:dyDescent="0.2">
      <c r="A117" t="s">
        <v>195</v>
      </c>
      <c r="B117" t="s">
        <v>1</v>
      </c>
      <c r="C117" s="69">
        <v>42046</v>
      </c>
      <c r="D117">
        <v>0</v>
      </c>
      <c r="E117" s="78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0</v>
      </c>
      <c r="FO117">
        <v>0</v>
      </c>
      <c r="FP117">
        <v>0</v>
      </c>
      <c r="FQ117">
        <v>0</v>
      </c>
      <c r="FR117">
        <v>0</v>
      </c>
      <c r="FS117">
        <v>0</v>
      </c>
      <c r="FT117" s="45">
        <v>0</v>
      </c>
    </row>
    <row r="118" spans="1:176" x14ac:dyDescent="0.2">
      <c r="A118" t="s">
        <v>195</v>
      </c>
      <c r="B118" t="s">
        <v>1</v>
      </c>
      <c r="C118" s="69">
        <v>42117</v>
      </c>
      <c r="D118">
        <v>0</v>
      </c>
      <c r="E118" s="7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0</v>
      </c>
      <c r="FQ118">
        <v>0</v>
      </c>
      <c r="FR118">
        <v>0</v>
      </c>
      <c r="FS118">
        <v>0</v>
      </c>
      <c r="FT118" s="45">
        <v>0</v>
      </c>
    </row>
    <row r="119" spans="1:176" x14ac:dyDescent="0.2">
      <c r="A119" t="s">
        <v>196</v>
      </c>
      <c r="B119" t="s">
        <v>202</v>
      </c>
      <c r="C119" s="69">
        <v>42046</v>
      </c>
      <c r="D119">
        <v>0</v>
      </c>
      <c r="E119" s="78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0</v>
      </c>
      <c r="FR119">
        <v>0</v>
      </c>
      <c r="FS119">
        <v>0</v>
      </c>
      <c r="FT119" s="45">
        <v>0</v>
      </c>
    </row>
    <row r="120" spans="1:176" x14ac:dyDescent="0.2">
      <c r="A120" t="s">
        <v>196</v>
      </c>
      <c r="B120" t="s">
        <v>202</v>
      </c>
      <c r="C120" s="69">
        <v>42117</v>
      </c>
      <c r="D120">
        <v>0</v>
      </c>
      <c r="E120" s="78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  <c r="FQ120">
        <v>0</v>
      </c>
      <c r="FR120">
        <v>0</v>
      </c>
      <c r="FS120">
        <v>0</v>
      </c>
      <c r="FT120" s="45">
        <v>0</v>
      </c>
    </row>
    <row r="121" spans="1:176" x14ac:dyDescent="0.2">
      <c r="A121" t="s">
        <v>196</v>
      </c>
      <c r="B121" t="s">
        <v>203</v>
      </c>
      <c r="C121" s="69">
        <v>42046</v>
      </c>
      <c r="D121">
        <v>0</v>
      </c>
      <c r="E121" s="78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0</v>
      </c>
      <c r="FQ121">
        <v>0</v>
      </c>
      <c r="FR121">
        <v>0</v>
      </c>
      <c r="FS121">
        <v>0</v>
      </c>
      <c r="FT121" s="45">
        <v>0</v>
      </c>
    </row>
    <row r="122" spans="1:176" x14ac:dyDescent="0.2">
      <c r="A122" t="s">
        <v>196</v>
      </c>
      <c r="B122" t="s">
        <v>203</v>
      </c>
      <c r="C122" s="69">
        <v>42117</v>
      </c>
      <c r="D122">
        <v>0</v>
      </c>
      <c r="E122" s="78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0</v>
      </c>
      <c r="FN122">
        <v>0</v>
      </c>
      <c r="FO122">
        <v>0</v>
      </c>
      <c r="FP122">
        <v>0</v>
      </c>
      <c r="FQ122">
        <v>0</v>
      </c>
      <c r="FR122">
        <v>0</v>
      </c>
      <c r="FS122">
        <v>0</v>
      </c>
      <c r="FT122" s="45">
        <v>0</v>
      </c>
    </row>
    <row r="123" spans="1:176" x14ac:dyDescent="0.2">
      <c r="A123" t="s">
        <v>196</v>
      </c>
      <c r="B123" t="s">
        <v>1</v>
      </c>
      <c r="C123" s="69">
        <v>42046</v>
      </c>
      <c r="D123">
        <v>0</v>
      </c>
      <c r="E123" s="78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0</v>
      </c>
      <c r="FN123">
        <v>0</v>
      </c>
      <c r="FO123">
        <v>0</v>
      </c>
      <c r="FP123">
        <v>0</v>
      </c>
      <c r="FQ123">
        <v>0</v>
      </c>
      <c r="FR123">
        <v>0</v>
      </c>
      <c r="FS123">
        <v>0</v>
      </c>
      <c r="FT123" s="45">
        <v>0</v>
      </c>
    </row>
    <row r="124" spans="1:176" x14ac:dyDescent="0.2">
      <c r="A124" t="s">
        <v>196</v>
      </c>
      <c r="B124" t="s">
        <v>1</v>
      </c>
      <c r="C124" s="69">
        <v>42117</v>
      </c>
      <c r="D124">
        <v>0</v>
      </c>
      <c r="E124" s="78">
        <v>87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v>0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  <c r="FQ124">
        <v>0</v>
      </c>
      <c r="FR124">
        <v>0</v>
      </c>
      <c r="FS124">
        <v>0</v>
      </c>
      <c r="FT124" s="45">
        <v>0</v>
      </c>
    </row>
    <row r="125" spans="1:176" x14ac:dyDescent="0.2">
      <c r="A125" t="s">
        <v>197</v>
      </c>
      <c r="B125" t="s">
        <v>202</v>
      </c>
      <c r="C125" s="69">
        <v>42046</v>
      </c>
      <c r="D125">
        <v>0</v>
      </c>
      <c r="E125" s="78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0</v>
      </c>
      <c r="FN125">
        <v>0</v>
      </c>
      <c r="FO125">
        <v>0</v>
      </c>
      <c r="FP125">
        <v>0</v>
      </c>
      <c r="FQ125">
        <v>0</v>
      </c>
      <c r="FR125">
        <v>0</v>
      </c>
      <c r="FS125">
        <v>0</v>
      </c>
      <c r="FT125" s="45">
        <v>0</v>
      </c>
    </row>
    <row r="126" spans="1:176" x14ac:dyDescent="0.2">
      <c r="A126" t="s">
        <v>197</v>
      </c>
      <c r="B126" t="s">
        <v>202</v>
      </c>
      <c r="C126" s="69">
        <v>42117</v>
      </c>
      <c r="D126">
        <v>0</v>
      </c>
      <c r="E126" s="78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0</v>
      </c>
      <c r="FQ126">
        <v>0</v>
      </c>
      <c r="FR126">
        <v>0</v>
      </c>
      <c r="FS126">
        <v>0</v>
      </c>
      <c r="FT126" s="45">
        <v>0</v>
      </c>
    </row>
    <row r="127" spans="1:176" x14ac:dyDescent="0.2">
      <c r="A127" t="s">
        <v>197</v>
      </c>
      <c r="B127" t="s">
        <v>203</v>
      </c>
      <c r="C127" s="69">
        <v>42046</v>
      </c>
      <c r="D127">
        <v>0</v>
      </c>
      <c r="E127" s="78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0</v>
      </c>
      <c r="FN127">
        <v>0</v>
      </c>
      <c r="FO127">
        <v>0</v>
      </c>
      <c r="FP127">
        <v>0</v>
      </c>
      <c r="FQ127">
        <v>0</v>
      </c>
      <c r="FR127">
        <v>0</v>
      </c>
      <c r="FS127">
        <v>0</v>
      </c>
      <c r="FT127" s="45">
        <v>0</v>
      </c>
    </row>
    <row r="128" spans="1:176" x14ac:dyDescent="0.2">
      <c r="A128" t="s">
        <v>197</v>
      </c>
      <c r="B128" t="s">
        <v>203</v>
      </c>
      <c r="C128" s="69">
        <v>42117</v>
      </c>
      <c r="D128">
        <v>0</v>
      </c>
      <c r="E128" s="7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0</v>
      </c>
      <c r="FL128">
        <v>0</v>
      </c>
      <c r="FM128">
        <v>0</v>
      </c>
      <c r="FN128">
        <v>0</v>
      </c>
      <c r="FO128">
        <v>0</v>
      </c>
      <c r="FP128">
        <v>0</v>
      </c>
      <c r="FQ128">
        <v>0</v>
      </c>
      <c r="FR128">
        <v>0</v>
      </c>
      <c r="FS128">
        <v>0</v>
      </c>
      <c r="FT128" s="45">
        <v>0</v>
      </c>
    </row>
    <row r="129" spans="1:176" x14ac:dyDescent="0.2">
      <c r="A129" t="s">
        <v>197</v>
      </c>
      <c r="B129" t="s">
        <v>1</v>
      </c>
      <c r="C129" s="69">
        <v>42046</v>
      </c>
      <c r="D129">
        <v>0</v>
      </c>
      <c r="E129" s="78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0</v>
      </c>
      <c r="ER129">
        <v>0</v>
      </c>
      <c r="ES129">
        <v>0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0</v>
      </c>
      <c r="FN129">
        <v>0</v>
      </c>
      <c r="FO129">
        <v>0</v>
      </c>
      <c r="FP129">
        <v>0</v>
      </c>
      <c r="FQ129">
        <v>0</v>
      </c>
      <c r="FR129">
        <v>0</v>
      </c>
      <c r="FS129">
        <v>0</v>
      </c>
      <c r="FT129" s="45">
        <v>0</v>
      </c>
    </row>
    <row r="130" spans="1:176" x14ac:dyDescent="0.2">
      <c r="A130" t="s">
        <v>197</v>
      </c>
      <c r="B130" t="s">
        <v>1</v>
      </c>
      <c r="C130" s="69">
        <v>42117</v>
      </c>
      <c r="D130">
        <v>0</v>
      </c>
      <c r="E130" s="78">
        <v>8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0</v>
      </c>
      <c r="FR130">
        <v>0</v>
      </c>
      <c r="FS130">
        <v>0</v>
      </c>
      <c r="FT130" s="45">
        <v>0</v>
      </c>
    </row>
    <row r="131" spans="1:176" x14ac:dyDescent="0.2">
      <c r="A131" t="s">
        <v>198</v>
      </c>
      <c r="B131" t="s">
        <v>202</v>
      </c>
      <c r="C131" s="69">
        <v>42046</v>
      </c>
      <c r="D131">
        <v>0</v>
      </c>
      <c r="E131" s="78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0</v>
      </c>
      <c r="FQ131">
        <v>0</v>
      </c>
      <c r="FR131">
        <v>0</v>
      </c>
      <c r="FS131">
        <v>0</v>
      </c>
      <c r="FT131" s="45">
        <v>0</v>
      </c>
    </row>
    <row r="132" spans="1:176" x14ac:dyDescent="0.2">
      <c r="A132" t="s">
        <v>198</v>
      </c>
      <c r="B132" t="s">
        <v>202</v>
      </c>
      <c r="C132" s="69">
        <v>42117</v>
      </c>
      <c r="D132">
        <v>0</v>
      </c>
      <c r="E132" s="78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0</v>
      </c>
      <c r="FN132">
        <v>0</v>
      </c>
      <c r="FO132">
        <v>0</v>
      </c>
      <c r="FP132">
        <v>0</v>
      </c>
      <c r="FQ132">
        <v>0</v>
      </c>
      <c r="FR132">
        <v>0</v>
      </c>
      <c r="FS132">
        <v>0</v>
      </c>
      <c r="FT132" s="45">
        <v>0</v>
      </c>
    </row>
    <row r="133" spans="1:176" x14ac:dyDescent="0.2">
      <c r="A133" t="s">
        <v>198</v>
      </c>
      <c r="B133" t="s">
        <v>203</v>
      </c>
      <c r="C133" s="69">
        <v>42046</v>
      </c>
      <c r="D133">
        <v>0</v>
      </c>
      <c r="E133" s="78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0</v>
      </c>
      <c r="FQ133">
        <v>0</v>
      </c>
      <c r="FR133">
        <v>0</v>
      </c>
      <c r="FS133">
        <v>0</v>
      </c>
      <c r="FT133" s="45">
        <v>0</v>
      </c>
    </row>
    <row r="134" spans="1:176" x14ac:dyDescent="0.2">
      <c r="A134" t="s">
        <v>198</v>
      </c>
      <c r="B134" t="s">
        <v>203</v>
      </c>
      <c r="C134" s="69">
        <v>42117</v>
      </c>
      <c r="D134">
        <v>0</v>
      </c>
      <c r="E134" s="78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0</v>
      </c>
      <c r="FR134">
        <v>0</v>
      </c>
      <c r="FS134">
        <v>0</v>
      </c>
      <c r="FT134" s="45">
        <v>0</v>
      </c>
    </row>
    <row r="135" spans="1:176" x14ac:dyDescent="0.2">
      <c r="A135" t="s">
        <v>198</v>
      </c>
      <c r="B135" t="s">
        <v>1</v>
      </c>
      <c r="C135" s="69">
        <v>42046</v>
      </c>
      <c r="D135">
        <v>0</v>
      </c>
      <c r="E135" s="78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0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  <c r="FQ135">
        <v>0</v>
      </c>
      <c r="FR135">
        <v>0</v>
      </c>
      <c r="FS135">
        <v>0</v>
      </c>
      <c r="FT135" s="45">
        <v>0</v>
      </c>
    </row>
    <row r="136" spans="1:176" x14ac:dyDescent="0.2">
      <c r="A136" t="s">
        <v>198</v>
      </c>
      <c r="B136" t="s">
        <v>1</v>
      </c>
      <c r="C136" s="69">
        <v>42117</v>
      </c>
      <c r="D136">
        <v>0</v>
      </c>
      <c r="E136" s="78">
        <v>17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0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0</v>
      </c>
      <c r="FQ136">
        <v>0</v>
      </c>
      <c r="FR136">
        <v>0</v>
      </c>
      <c r="FS136">
        <v>0</v>
      </c>
      <c r="FT136" s="45">
        <v>0</v>
      </c>
    </row>
    <row r="137" spans="1:176" x14ac:dyDescent="0.2">
      <c r="C137" s="69"/>
      <c r="E137" s="78"/>
      <c r="FT137" s="45"/>
    </row>
    <row r="138" spans="1:176" x14ac:dyDescent="0.2">
      <c r="C138" s="69"/>
      <c r="E138" s="78"/>
      <c r="FT138" s="45"/>
    </row>
    <row r="139" spans="1:176" x14ac:dyDescent="0.2">
      <c r="C139" s="69"/>
      <c r="E139" s="78"/>
      <c r="FT139" s="45"/>
    </row>
    <row r="140" spans="1:176" x14ac:dyDescent="0.2">
      <c r="C140" s="69"/>
      <c r="E140" s="78"/>
      <c r="FT140" s="45"/>
    </row>
    <row r="141" spans="1:176" x14ac:dyDescent="0.2">
      <c r="C141" s="69"/>
      <c r="E141" s="78"/>
      <c r="FT141" s="45"/>
    </row>
    <row r="142" spans="1:176" x14ac:dyDescent="0.2">
      <c r="C142" s="69"/>
      <c r="E142" s="78"/>
      <c r="FT142" s="45"/>
    </row>
    <row r="143" spans="1:176" x14ac:dyDescent="0.2">
      <c r="C143" s="69"/>
      <c r="E143" s="78"/>
      <c r="FT143" s="45"/>
    </row>
    <row r="144" spans="1:176" x14ac:dyDescent="0.2">
      <c r="C144" s="69"/>
      <c r="E144" s="78"/>
      <c r="FT144" s="45"/>
    </row>
    <row r="145" spans="3:176" x14ac:dyDescent="0.2">
      <c r="C145" s="69"/>
      <c r="E145" s="78"/>
      <c r="FT145" s="45"/>
    </row>
    <row r="146" spans="3:176" x14ac:dyDescent="0.2">
      <c r="C146" s="69"/>
      <c r="E146" s="78"/>
      <c r="FT146" s="45"/>
    </row>
    <row r="147" spans="3:176" x14ac:dyDescent="0.2">
      <c r="C147" s="69"/>
      <c r="E147" s="78"/>
      <c r="FT147" s="45"/>
    </row>
    <row r="148" spans="3:176" x14ac:dyDescent="0.2">
      <c r="C148" s="69"/>
      <c r="E148" s="78"/>
      <c r="FT148" s="45"/>
    </row>
    <row r="149" spans="3:176" x14ac:dyDescent="0.2">
      <c r="C149" s="69"/>
      <c r="E149" s="78"/>
      <c r="FT149" s="45"/>
    </row>
    <row r="150" spans="3:176" x14ac:dyDescent="0.2">
      <c r="C150" s="69"/>
      <c r="E150" s="78"/>
      <c r="FT150" s="45"/>
    </row>
    <row r="151" spans="3:176" x14ac:dyDescent="0.2">
      <c r="C151" s="69"/>
      <c r="E151" s="78"/>
      <c r="FT151" s="45"/>
    </row>
    <row r="152" spans="3:176" x14ac:dyDescent="0.2">
      <c r="C152" s="69"/>
      <c r="E152" s="78"/>
      <c r="FT152" s="45"/>
    </row>
    <row r="153" spans="3:176" x14ac:dyDescent="0.2">
      <c r="C153" s="69"/>
      <c r="E153" s="78"/>
      <c r="FT153" s="45"/>
    </row>
    <row r="154" spans="3:176" x14ac:dyDescent="0.2">
      <c r="C154" s="69"/>
      <c r="E154" s="78"/>
      <c r="FT154" s="45"/>
    </row>
    <row r="155" spans="3:176" x14ac:dyDescent="0.2">
      <c r="C155" s="69"/>
      <c r="E155" s="78"/>
      <c r="FT155" s="45"/>
    </row>
    <row r="156" spans="3:176" x14ac:dyDescent="0.2">
      <c r="C156" s="69"/>
      <c r="E156" s="78"/>
      <c r="FT156" s="45"/>
    </row>
    <row r="157" spans="3:176" x14ac:dyDescent="0.2">
      <c r="C157" s="69"/>
      <c r="E157" s="78"/>
      <c r="FT157" s="45"/>
    </row>
    <row r="158" spans="3:176" x14ac:dyDescent="0.2">
      <c r="C158" s="69"/>
      <c r="E158" s="78"/>
      <c r="FT158" s="45"/>
    </row>
    <row r="159" spans="3:176" x14ac:dyDescent="0.2">
      <c r="C159" s="69"/>
      <c r="E159" s="78"/>
      <c r="FT159" s="45"/>
    </row>
    <row r="160" spans="3:176" x14ac:dyDescent="0.2">
      <c r="C160" s="69"/>
      <c r="E160" s="78"/>
      <c r="FT160" s="45"/>
    </row>
    <row r="161" spans="3:176" x14ac:dyDescent="0.2">
      <c r="C161" s="69"/>
      <c r="E161" s="78"/>
      <c r="FT161" s="45"/>
    </row>
    <row r="162" spans="3:176" x14ac:dyDescent="0.2">
      <c r="C162" s="69"/>
      <c r="E162" s="78"/>
      <c r="FT162" s="45"/>
    </row>
    <row r="163" spans="3:176" x14ac:dyDescent="0.2">
      <c r="C163" s="69"/>
      <c r="E163" s="78"/>
      <c r="FT163" s="45"/>
    </row>
    <row r="164" spans="3:176" x14ac:dyDescent="0.2">
      <c r="C164" s="69"/>
      <c r="E164" s="78"/>
      <c r="FT164" s="45"/>
    </row>
    <row r="165" spans="3:176" x14ac:dyDescent="0.2">
      <c r="C165" s="69"/>
      <c r="E165" s="78"/>
      <c r="FT165" s="45"/>
    </row>
    <row r="166" spans="3:176" x14ac:dyDescent="0.2">
      <c r="C166" s="69"/>
      <c r="E166" s="78"/>
      <c r="FT166" s="45"/>
    </row>
    <row r="167" spans="3:176" x14ac:dyDescent="0.2">
      <c r="C167" s="69"/>
      <c r="E167" s="78"/>
      <c r="FT167" s="45"/>
    </row>
    <row r="168" spans="3:176" x14ac:dyDescent="0.2">
      <c r="C168" s="69"/>
      <c r="E168" s="78"/>
      <c r="FT168" s="45"/>
    </row>
    <row r="169" spans="3:176" x14ac:dyDescent="0.2">
      <c r="C169" s="69"/>
      <c r="E169" s="78"/>
      <c r="FT169" s="45"/>
    </row>
    <row r="170" spans="3:176" x14ac:dyDescent="0.2">
      <c r="C170" s="69"/>
      <c r="E170" s="78"/>
      <c r="FT170" s="45"/>
    </row>
    <row r="171" spans="3:176" x14ac:dyDescent="0.2">
      <c r="C171" s="69"/>
      <c r="E171" s="78"/>
      <c r="FT171" s="45"/>
    </row>
    <row r="172" spans="3:176" x14ac:dyDescent="0.2">
      <c r="C172" s="69"/>
      <c r="E172" s="78"/>
      <c r="FT172" s="45"/>
    </row>
    <row r="173" spans="3:176" x14ac:dyDescent="0.2">
      <c r="C173" s="69"/>
      <c r="E173" s="78"/>
      <c r="FT173" s="45"/>
    </row>
    <row r="174" spans="3:176" x14ac:dyDescent="0.2">
      <c r="C174" s="69"/>
      <c r="E174" s="78"/>
      <c r="FT174" s="45"/>
    </row>
    <row r="175" spans="3:176" x14ac:dyDescent="0.2">
      <c r="C175" s="69"/>
      <c r="E175" s="78"/>
      <c r="FT175" s="45"/>
    </row>
    <row r="176" spans="3:176" x14ac:dyDescent="0.2">
      <c r="C176" s="69"/>
      <c r="E176" s="78"/>
      <c r="FT176" s="45"/>
    </row>
    <row r="177" spans="3:176" x14ac:dyDescent="0.2">
      <c r="C177" s="69"/>
      <c r="E177" s="78"/>
      <c r="FT177" s="45"/>
    </row>
    <row r="178" spans="3:176" x14ac:dyDescent="0.2">
      <c r="C178" s="69"/>
      <c r="E178" s="78"/>
      <c r="FT178" s="45"/>
    </row>
    <row r="179" spans="3:176" x14ac:dyDescent="0.2">
      <c r="C179" s="69"/>
      <c r="E179" s="78"/>
      <c r="FT179" s="45"/>
    </row>
    <row r="180" spans="3:176" x14ac:dyDescent="0.2">
      <c r="C180" s="69"/>
      <c r="E180" s="78"/>
      <c r="FT180" s="45"/>
    </row>
    <row r="181" spans="3:176" x14ac:dyDescent="0.2">
      <c r="E181" s="69"/>
      <c r="FT181" s="45"/>
    </row>
    <row r="182" spans="3:176" x14ac:dyDescent="0.2">
      <c r="E182" s="69"/>
      <c r="FT182" s="45"/>
    </row>
    <row r="183" spans="3:176" x14ac:dyDescent="0.2">
      <c r="E183" s="69"/>
      <c r="FT183" s="45"/>
    </row>
    <row r="184" spans="3:176" x14ac:dyDescent="0.2">
      <c r="E184" s="69"/>
      <c r="FT184" s="45"/>
    </row>
    <row r="185" spans="3:176" x14ac:dyDescent="0.2">
      <c r="E185" s="69"/>
      <c r="FT185" s="45"/>
    </row>
    <row r="186" spans="3:176" x14ac:dyDescent="0.2">
      <c r="E186" s="69"/>
      <c r="FT186" s="45"/>
    </row>
    <row r="187" spans="3:176" x14ac:dyDescent="0.2">
      <c r="E187" s="69"/>
      <c r="FT187" s="45"/>
    </row>
    <row r="188" spans="3:176" x14ac:dyDescent="0.2">
      <c r="E188" s="69"/>
      <c r="FT188" s="45"/>
    </row>
    <row r="189" spans="3:176" x14ac:dyDescent="0.2">
      <c r="E189" s="69"/>
      <c r="FT189" s="45"/>
    </row>
    <row r="190" spans="3:176" x14ac:dyDescent="0.2">
      <c r="E190" s="69"/>
      <c r="FT190" s="45"/>
    </row>
    <row r="191" spans="3:176" x14ac:dyDescent="0.2">
      <c r="E191" s="69"/>
      <c r="FT191" s="45"/>
    </row>
    <row r="192" spans="3:176" x14ac:dyDescent="0.2">
      <c r="E192" s="69"/>
      <c r="FT192" s="45"/>
    </row>
    <row r="193" spans="5:176" x14ac:dyDescent="0.2">
      <c r="E193" s="69"/>
      <c r="FT193" s="45"/>
    </row>
    <row r="194" spans="5:176" x14ac:dyDescent="0.2">
      <c r="E194" s="69"/>
      <c r="FT194" s="45"/>
    </row>
    <row r="195" spans="5:176" x14ac:dyDescent="0.2">
      <c r="E195" s="69"/>
      <c r="FT195" s="45"/>
    </row>
    <row r="196" spans="5:176" x14ac:dyDescent="0.2">
      <c r="E196" s="69"/>
      <c r="FT196" s="45"/>
    </row>
    <row r="197" spans="5:176" x14ac:dyDescent="0.2">
      <c r="E197" s="69"/>
      <c r="FT197" s="45"/>
    </row>
    <row r="198" spans="5:176" x14ac:dyDescent="0.2">
      <c r="E198" s="69"/>
      <c r="FT198" s="45"/>
    </row>
    <row r="199" spans="5:176" x14ac:dyDescent="0.2">
      <c r="E199" s="69"/>
      <c r="FT199" s="45"/>
    </row>
    <row r="200" spans="5:176" x14ac:dyDescent="0.2">
      <c r="E200" s="69"/>
      <c r="FT200" s="45"/>
    </row>
    <row r="201" spans="5:176" x14ac:dyDescent="0.2">
      <c r="E201" s="69"/>
      <c r="FT201" s="45"/>
    </row>
    <row r="202" spans="5:176" x14ac:dyDescent="0.2">
      <c r="E202" s="69"/>
      <c r="FT202" s="45"/>
    </row>
    <row r="203" spans="5:176" x14ac:dyDescent="0.2">
      <c r="E203" s="69"/>
      <c r="FT203" s="45"/>
    </row>
    <row r="204" spans="5:176" x14ac:dyDescent="0.2">
      <c r="E204" s="69"/>
      <c r="FT204" s="45"/>
    </row>
    <row r="205" spans="5:176" x14ac:dyDescent="0.2">
      <c r="E205" s="69"/>
      <c r="FT205" s="45"/>
    </row>
    <row r="206" spans="5:176" x14ac:dyDescent="0.2">
      <c r="E206" s="69"/>
      <c r="FT206" s="45"/>
    </row>
    <row r="207" spans="5:176" x14ac:dyDescent="0.2">
      <c r="E207" s="69"/>
      <c r="FT207" s="45"/>
    </row>
    <row r="208" spans="5:176" x14ac:dyDescent="0.2">
      <c r="E208" s="69"/>
      <c r="FT208" s="45"/>
    </row>
    <row r="209" spans="5:176" x14ac:dyDescent="0.2">
      <c r="E209" s="69"/>
      <c r="FT209" s="45"/>
    </row>
    <row r="210" spans="5:176" x14ac:dyDescent="0.2">
      <c r="E210" s="69"/>
      <c r="FT210" s="45"/>
    </row>
    <row r="211" spans="5:176" x14ac:dyDescent="0.2">
      <c r="E211" s="69"/>
      <c r="FT211" s="45"/>
    </row>
    <row r="212" spans="5:176" x14ac:dyDescent="0.2">
      <c r="E212" s="69"/>
      <c r="FT212" s="45"/>
    </row>
    <row r="213" spans="5:176" x14ac:dyDescent="0.2">
      <c r="E213" s="69"/>
      <c r="FT213" s="45"/>
    </row>
    <row r="214" spans="5:176" x14ac:dyDescent="0.2">
      <c r="E214" s="69"/>
      <c r="FT214" s="45"/>
    </row>
    <row r="215" spans="5:176" x14ac:dyDescent="0.2">
      <c r="E215" s="69"/>
      <c r="FT215" s="45"/>
    </row>
    <row r="216" spans="5:176" x14ac:dyDescent="0.2">
      <c r="E216" s="69"/>
      <c r="FT216" s="45"/>
    </row>
    <row r="217" spans="5:176" x14ac:dyDescent="0.2">
      <c r="E217" s="69"/>
      <c r="FT217" s="45"/>
    </row>
    <row r="218" spans="5:176" x14ac:dyDescent="0.2">
      <c r="E218" s="69"/>
      <c r="FT218" s="45"/>
    </row>
    <row r="219" spans="5:176" x14ac:dyDescent="0.2">
      <c r="E219" s="69"/>
      <c r="FT219" s="45"/>
    </row>
    <row r="220" spans="5:176" x14ac:dyDescent="0.2">
      <c r="E220" s="69"/>
      <c r="FT220" s="45"/>
    </row>
    <row r="221" spans="5:176" x14ac:dyDescent="0.2">
      <c r="E221" s="69"/>
      <c r="FT221" s="45"/>
    </row>
    <row r="222" spans="5:176" x14ac:dyDescent="0.2">
      <c r="E222" s="69"/>
      <c r="FT222" s="45"/>
    </row>
    <row r="223" spans="5:176" x14ac:dyDescent="0.2">
      <c r="E223" s="69"/>
      <c r="FT223" s="45"/>
    </row>
    <row r="224" spans="5:176" x14ac:dyDescent="0.2">
      <c r="E224" s="69"/>
      <c r="FT224" s="45"/>
    </row>
    <row r="225" spans="5:176" x14ac:dyDescent="0.2">
      <c r="E225" s="69"/>
      <c r="FT225" s="45"/>
    </row>
    <row r="226" spans="5:176" x14ac:dyDescent="0.2">
      <c r="E226" s="69"/>
      <c r="FT226" s="45"/>
    </row>
    <row r="227" spans="5:176" x14ac:dyDescent="0.2">
      <c r="E227" s="69"/>
      <c r="FT227" s="45"/>
    </row>
    <row r="228" spans="5:176" x14ac:dyDescent="0.2">
      <c r="E228" s="69"/>
      <c r="FT228" s="45"/>
    </row>
    <row r="229" spans="5:176" x14ac:dyDescent="0.2">
      <c r="E229" s="69"/>
      <c r="FT229" s="45"/>
    </row>
    <row r="230" spans="5:176" x14ac:dyDescent="0.2">
      <c r="E230" s="69"/>
      <c r="FT230" s="45"/>
    </row>
    <row r="231" spans="5:176" x14ac:dyDescent="0.2">
      <c r="E231" s="69"/>
      <c r="FT231" s="45"/>
    </row>
    <row r="232" spans="5:176" x14ac:dyDescent="0.2">
      <c r="E232" s="69"/>
      <c r="FT232" s="45"/>
    </row>
    <row r="233" spans="5:176" x14ac:dyDescent="0.2">
      <c r="E233" s="69"/>
      <c r="FT233" s="45"/>
    </row>
    <row r="234" spans="5:176" x14ac:dyDescent="0.2">
      <c r="E234" s="69"/>
      <c r="FT234" s="45"/>
    </row>
    <row r="235" spans="5:176" x14ac:dyDescent="0.2">
      <c r="E235" s="69"/>
      <c r="FT235" s="45"/>
    </row>
    <row r="236" spans="5:176" x14ac:dyDescent="0.2">
      <c r="E236" s="69"/>
      <c r="FT236" s="45"/>
    </row>
    <row r="237" spans="5:176" x14ac:dyDescent="0.2">
      <c r="E237" s="69"/>
      <c r="FT237" s="45"/>
    </row>
    <row r="238" spans="5:176" x14ac:dyDescent="0.2">
      <c r="E238" s="69"/>
      <c r="FT238" s="45"/>
    </row>
    <row r="239" spans="5:176" x14ac:dyDescent="0.2">
      <c r="E239" s="69"/>
      <c r="FT239" s="45"/>
    </row>
    <row r="240" spans="5:176" x14ac:dyDescent="0.2">
      <c r="E240" s="69"/>
      <c r="FT240" s="45"/>
    </row>
    <row r="241" spans="5:176" x14ac:dyDescent="0.2">
      <c r="E241" s="69"/>
      <c r="FT241" s="45"/>
    </row>
    <row r="242" spans="5:176" x14ac:dyDescent="0.2">
      <c r="E242" s="69"/>
      <c r="FT242" s="45"/>
    </row>
    <row r="243" spans="5:176" x14ac:dyDescent="0.2">
      <c r="E243" s="69"/>
      <c r="FT243" s="45"/>
    </row>
    <row r="244" spans="5:176" x14ac:dyDescent="0.2">
      <c r="E244" s="69"/>
      <c r="FT244" s="45"/>
    </row>
    <row r="245" spans="5:176" x14ac:dyDescent="0.2">
      <c r="E245" s="69"/>
      <c r="FT245" s="45"/>
    </row>
    <row r="246" spans="5:176" x14ac:dyDescent="0.2">
      <c r="E246" s="69"/>
      <c r="FT246" s="45"/>
    </row>
    <row r="247" spans="5:176" x14ac:dyDescent="0.2">
      <c r="E247" s="69"/>
      <c r="FT247" s="45"/>
    </row>
    <row r="248" spans="5:176" x14ac:dyDescent="0.2">
      <c r="E248" s="69"/>
      <c r="FT248" s="45"/>
    </row>
    <row r="249" spans="5:176" x14ac:dyDescent="0.2">
      <c r="E249" s="69"/>
      <c r="FT249" s="45"/>
    </row>
    <row r="250" spans="5:176" x14ac:dyDescent="0.2">
      <c r="E250" s="69"/>
      <c r="FT250" s="45"/>
    </row>
    <row r="251" spans="5:176" x14ac:dyDescent="0.2">
      <c r="E251" s="69"/>
      <c r="FT251" s="45"/>
    </row>
    <row r="252" spans="5:176" x14ac:dyDescent="0.2">
      <c r="E252" s="69"/>
      <c r="FT252" s="45"/>
    </row>
    <row r="253" spans="5:176" x14ac:dyDescent="0.2">
      <c r="E253" s="69"/>
      <c r="FT253" s="45"/>
    </row>
    <row r="254" spans="5:176" x14ac:dyDescent="0.2">
      <c r="E254" s="69"/>
      <c r="FT254" s="45"/>
    </row>
    <row r="255" spans="5:176" x14ac:dyDescent="0.2">
      <c r="E255" s="69"/>
      <c r="FT255" s="45"/>
    </row>
    <row r="256" spans="5:176" x14ac:dyDescent="0.2">
      <c r="E256" s="69"/>
      <c r="FT256" s="45"/>
    </row>
    <row r="257" spans="5:176" x14ac:dyDescent="0.2">
      <c r="E257" s="69"/>
      <c r="FT257" s="45"/>
    </row>
    <row r="258" spans="5:176" x14ac:dyDescent="0.2">
      <c r="E258" s="69"/>
      <c r="FT258" s="45"/>
    </row>
    <row r="259" spans="5:176" x14ac:dyDescent="0.2">
      <c r="E259" s="69"/>
      <c r="FT259" s="45"/>
    </row>
    <row r="260" spans="5:176" x14ac:dyDescent="0.2">
      <c r="E260" s="69"/>
      <c r="FT260" s="45"/>
    </row>
    <row r="261" spans="5:176" x14ac:dyDescent="0.2">
      <c r="E261" s="69"/>
      <c r="FT261" s="45"/>
    </row>
    <row r="262" spans="5:176" x14ac:dyDescent="0.2">
      <c r="E262" s="69"/>
      <c r="FT262" s="45"/>
    </row>
    <row r="263" spans="5:176" x14ac:dyDescent="0.2">
      <c r="E263" s="69"/>
      <c r="FT263" s="45"/>
    </row>
    <row r="264" spans="5:176" x14ac:dyDescent="0.2">
      <c r="E264" s="69"/>
      <c r="FT264" s="45"/>
    </row>
    <row r="265" spans="5:176" x14ac:dyDescent="0.2">
      <c r="E265" s="69"/>
      <c r="FT265" s="45"/>
    </row>
    <row r="266" spans="5:176" x14ac:dyDescent="0.2">
      <c r="E266" s="69"/>
      <c r="FT266" s="45"/>
    </row>
    <row r="267" spans="5:176" x14ac:dyDescent="0.2">
      <c r="E267" s="69"/>
      <c r="FT267" s="45"/>
    </row>
    <row r="268" spans="5:176" x14ac:dyDescent="0.2">
      <c r="E268" s="69"/>
      <c r="FT268" s="45"/>
    </row>
    <row r="269" spans="5:176" x14ac:dyDescent="0.2">
      <c r="E269" s="69"/>
      <c r="FT269" s="45"/>
    </row>
    <row r="270" spans="5:176" x14ac:dyDescent="0.2">
      <c r="E270" s="69"/>
      <c r="FT270" s="45"/>
    </row>
    <row r="271" spans="5:176" x14ac:dyDescent="0.2">
      <c r="E271" s="69"/>
      <c r="FT271" s="45"/>
    </row>
    <row r="272" spans="5:176" x14ac:dyDescent="0.2">
      <c r="E272" s="69"/>
      <c r="FT272" s="45"/>
    </row>
    <row r="273" spans="5:176" x14ac:dyDescent="0.2">
      <c r="E273" s="69"/>
      <c r="FT273" s="45"/>
    </row>
    <row r="274" spans="5:176" x14ac:dyDescent="0.2">
      <c r="E274" s="69"/>
      <c r="FT274" s="45"/>
    </row>
    <row r="275" spans="5:176" x14ac:dyDescent="0.2">
      <c r="E275" s="69"/>
      <c r="FT275" s="45"/>
    </row>
    <row r="276" spans="5:176" x14ac:dyDescent="0.2">
      <c r="E276" s="69"/>
      <c r="FT276" s="45"/>
    </row>
    <row r="277" spans="5:176" x14ac:dyDescent="0.2">
      <c r="E277" s="69"/>
      <c r="FT277" s="45"/>
    </row>
    <row r="278" spans="5:176" x14ac:dyDescent="0.2">
      <c r="E278" s="69"/>
      <c r="FT278" s="45"/>
    </row>
    <row r="279" spans="5:176" x14ac:dyDescent="0.2">
      <c r="E279" s="69"/>
      <c r="FT279" s="45"/>
    </row>
    <row r="280" spans="5:176" x14ac:dyDescent="0.2">
      <c r="E280" s="69"/>
      <c r="FT280" s="45"/>
    </row>
    <row r="281" spans="5:176" x14ac:dyDescent="0.2">
      <c r="E281" s="69"/>
      <c r="FT281" s="45"/>
    </row>
    <row r="282" spans="5:176" x14ac:dyDescent="0.2">
      <c r="E282" s="69"/>
      <c r="FT282" s="45"/>
    </row>
    <row r="283" spans="5:176" x14ac:dyDescent="0.2">
      <c r="E283" s="69"/>
      <c r="FT283" s="45"/>
    </row>
    <row r="284" spans="5:176" x14ac:dyDescent="0.2">
      <c r="E284" s="69"/>
      <c r="FT284" s="45"/>
    </row>
    <row r="285" spans="5:176" x14ac:dyDescent="0.2">
      <c r="E285" s="69"/>
      <c r="FT285" s="45"/>
    </row>
    <row r="286" spans="5:176" x14ac:dyDescent="0.2">
      <c r="E286" s="69"/>
      <c r="FT286" s="45"/>
    </row>
    <row r="287" spans="5:176" x14ac:dyDescent="0.2">
      <c r="E287" s="69"/>
      <c r="FT287" s="45"/>
    </row>
    <row r="288" spans="5:176" x14ac:dyDescent="0.2">
      <c r="E288" s="69"/>
      <c r="FT288" s="45"/>
    </row>
    <row r="289" spans="5:176" x14ac:dyDescent="0.2">
      <c r="E289" s="69"/>
      <c r="FT289" s="45"/>
    </row>
    <row r="290" spans="5:176" x14ac:dyDescent="0.2">
      <c r="E290" s="69"/>
      <c r="FT290" s="45"/>
    </row>
    <row r="291" spans="5:176" x14ac:dyDescent="0.2">
      <c r="E291" s="69"/>
      <c r="FT291" s="45"/>
    </row>
    <row r="292" spans="5:176" x14ac:dyDescent="0.2">
      <c r="E292" s="69"/>
      <c r="FT292" s="45"/>
    </row>
    <row r="293" spans="5:176" x14ac:dyDescent="0.2">
      <c r="E293" s="69"/>
      <c r="FT293" s="45"/>
    </row>
    <row r="294" spans="5:176" x14ac:dyDescent="0.2">
      <c r="E294" s="69"/>
      <c r="FT294" s="45"/>
    </row>
    <row r="295" spans="5:176" x14ac:dyDescent="0.2">
      <c r="E295" s="69"/>
      <c r="FT295" s="45"/>
    </row>
    <row r="296" spans="5:176" x14ac:dyDescent="0.2">
      <c r="E296" s="69"/>
      <c r="FT296" s="45"/>
    </row>
    <row r="297" spans="5:176" x14ac:dyDescent="0.2">
      <c r="E297" s="69"/>
      <c r="FT297" s="45"/>
    </row>
    <row r="298" spans="5:176" x14ac:dyDescent="0.2">
      <c r="E298" s="69"/>
      <c r="FT298" s="45"/>
    </row>
    <row r="299" spans="5:176" x14ac:dyDescent="0.2">
      <c r="E299" s="69"/>
      <c r="FT299" s="45"/>
    </row>
    <row r="300" spans="5:176" x14ac:dyDescent="0.2">
      <c r="E300" s="69"/>
      <c r="FT300" s="45"/>
    </row>
    <row r="301" spans="5:176" x14ac:dyDescent="0.2">
      <c r="E301" s="69"/>
      <c r="FT301" s="45"/>
    </row>
    <row r="302" spans="5:176" x14ac:dyDescent="0.2">
      <c r="E302" s="69"/>
      <c r="FT302" s="45"/>
    </row>
    <row r="303" spans="5:176" x14ac:dyDescent="0.2">
      <c r="E303" s="69"/>
      <c r="FT303" s="45"/>
    </row>
    <row r="304" spans="5:176" x14ac:dyDescent="0.2">
      <c r="E304" s="69"/>
      <c r="FT304" s="45"/>
    </row>
    <row r="305" spans="5:176" x14ac:dyDescent="0.2">
      <c r="E305" s="69"/>
      <c r="FT305" s="45"/>
    </row>
    <row r="306" spans="5:176" x14ac:dyDescent="0.2">
      <c r="E306" s="69"/>
      <c r="FT306" s="45"/>
    </row>
    <row r="307" spans="5:176" x14ac:dyDescent="0.2">
      <c r="E307" s="69"/>
      <c r="FT307" s="45"/>
    </row>
    <row r="308" spans="5:176" x14ac:dyDescent="0.2">
      <c r="E308" s="69"/>
      <c r="FT308" s="45"/>
    </row>
    <row r="309" spans="5:176" x14ac:dyDescent="0.2">
      <c r="E309" s="69"/>
      <c r="FT309" s="45"/>
    </row>
    <row r="310" spans="5:176" x14ac:dyDescent="0.2">
      <c r="E310" s="69"/>
      <c r="FT310" s="45"/>
    </row>
    <row r="311" spans="5:176" x14ac:dyDescent="0.2">
      <c r="E311" s="69"/>
      <c r="FT311" s="45"/>
    </row>
    <row r="312" spans="5:176" x14ac:dyDescent="0.2">
      <c r="E312" s="69"/>
      <c r="FT312" s="45"/>
    </row>
    <row r="313" spans="5:176" x14ac:dyDescent="0.2">
      <c r="E313" s="69"/>
      <c r="FT313" s="45"/>
    </row>
    <row r="314" spans="5:176" x14ac:dyDescent="0.2">
      <c r="E314" s="69"/>
      <c r="FT314" s="45"/>
    </row>
    <row r="315" spans="5:176" x14ac:dyDescent="0.2">
      <c r="E315" s="69"/>
      <c r="FT315" s="45"/>
    </row>
    <row r="316" spans="5:176" x14ac:dyDescent="0.2">
      <c r="E316" s="69"/>
      <c r="FT316" s="45"/>
    </row>
    <row r="317" spans="5:176" x14ac:dyDescent="0.2">
      <c r="E317" s="69"/>
      <c r="FT317" s="45"/>
    </row>
    <row r="318" spans="5:176" x14ac:dyDescent="0.2">
      <c r="E318" s="69"/>
      <c r="FT318" s="45"/>
    </row>
    <row r="319" spans="5:176" x14ac:dyDescent="0.2">
      <c r="E319" s="69"/>
      <c r="FT319" s="45"/>
    </row>
    <row r="320" spans="5:176" x14ac:dyDescent="0.2">
      <c r="E320" s="69"/>
      <c r="FT320" s="45"/>
    </row>
    <row r="321" spans="5:176" x14ac:dyDescent="0.2">
      <c r="E321" s="69"/>
      <c r="FT321" s="45"/>
    </row>
    <row r="322" spans="5:176" x14ac:dyDescent="0.2">
      <c r="E322" s="69"/>
      <c r="FT322" s="45"/>
    </row>
    <row r="323" spans="5:176" x14ac:dyDescent="0.2">
      <c r="E323" s="69"/>
      <c r="FT323" s="45"/>
    </row>
    <row r="324" spans="5:176" x14ac:dyDescent="0.2">
      <c r="E324" s="69"/>
      <c r="FT324" s="45"/>
    </row>
    <row r="325" spans="5:176" x14ac:dyDescent="0.2">
      <c r="E325" s="69"/>
      <c r="FT325" s="45"/>
    </row>
    <row r="326" spans="5:176" x14ac:dyDescent="0.2">
      <c r="E326" s="69"/>
      <c r="FT326" s="45"/>
    </row>
    <row r="327" spans="5:176" x14ac:dyDescent="0.2">
      <c r="E327" s="69"/>
      <c r="FT327" s="45"/>
    </row>
    <row r="328" spans="5:176" x14ac:dyDescent="0.2">
      <c r="E328" s="69"/>
      <c r="FT328" s="45"/>
    </row>
    <row r="329" spans="5:176" x14ac:dyDescent="0.2">
      <c r="E329" s="69"/>
      <c r="FT329" s="45"/>
    </row>
    <row r="330" spans="5:176" x14ac:dyDescent="0.2">
      <c r="E330" s="69"/>
      <c r="FT330" s="45"/>
    </row>
    <row r="331" spans="5:176" x14ac:dyDescent="0.2">
      <c r="E331" s="69"/>
      <c r="FT331" s="45"/>
    </row>
    <row r="332" spans="5:176" x14ac:dyDescent="0.2">
      <c r="E332" s="69"/>
      <c r="FT332" s="45"/>
    </row>
    <row r="333" spans="5:176" x14ac:dyDescent="0.2">
      <c r="E333" s="69"/>
      <c r="FT333" s="45"/>
    </row>
    <row r="334" spans="5:176" x14ac:dyDescent="0.2">
      <c r="E334" s="69"/>
      <c r="FT334" s="45"/>
    </row>
    <row r="335" spans="5:176" x14ac:dyDescent="0.2">
      <c r="E335" s="69"/>
      <c r="FT335" s="45"/>
    </row>
    <row r="336" spans="5:176" x14ac:dyDescent="0.2">
      <c r="E336" s="69"/>
      <c r="FT336" s="45"/>
    </row>
    <row r="337" spans="5:176" x14ac:dyDescent="0.2">
      <c r="E337" s="69"/>
      <c r="FT337" s="45"/>
    </row>
    <row r="338" spans="5:176" x14ac:dyDescent="0.2">
      <c r="E338" s="69"/>
      <c r="FT338" s="45"/>
    </row>
    <row r="339" spans="5:176" x14ac:dyDescent="0.2">
      <c r="E339" s="69"/>
      <c r="FT339" s="45"/>
    </row>
    <row r="340" spans="5:176" x14ac:dyDescent="0.2">
      <c r="E340" s="69"/>
      <c r="FT340" s="45"/>
    </row>
    <row r="341" spans="5:176" x14ac:dyDescent="0.2">
      <c r="E341" s="69"/>
      <c r="FT341" s="45"/>
    </row>
    <row r="342" spans="5:176" x14ac:dyDescent="0.2">
      <c r="E342" s="69"/>
      <c r="FT342" s="45"/>
    </row>
    <row r="343" spans="5:176" x14ac:dyDescent="0.2">
      <c r="E343" s="69"/>
      <c r="FT343" s="45"/>
    </row>
    <row r="344" spans="5:176" x14ac:dyDescent="0.2">
      <c r="E344" s="69"/>
      <c r="FT344" s="45"/>
    </row>
    <row r="345" spans="5:176" x14ac:dyDescent="0.2">
      <c r="E345" s="69"/>
      <c r="FT345" s="45"/>
    </row>
    <row r="346" spans="5:176" x14ac:dyDescent="0.2">
      <c r="E346" s="69"/>
      <c r="FT346" s="45"/>
    </row>
    <row r="347" spans="5:176" x14ac:dyDescent="0.2">
      <c r="E347" s="69"/>
      <c r="FT347" s="45"/>
    </row>
    <row r="348" spans="5:176" x14ac:dyDescent="0.2">
      <c r="E348" s="69"/>
      <c r="FT348" s="45"/>
    </row>
    <row r="349" spans="5:176" x14ac:dyDescent="0.2">
      <c r="E349" s="69"/>
      <c r="FT349" s="45"/>
    </row>
    <row r="350" spans="5:176" x14ac:dyDescent="0.2">
      <c r="E350" s="69"/>
      <c r="FT350" s="45"/>
    </row>
    <row r="351" spans="5:176" x14ac:dyDescent="0.2">
      <c r="E351" s="69"/>
      <c r="FT351" s="45"/>
    </row>
    <row r="352" spans="5:176" x14ac:dyDescent="0.2">
      <c r="E352" s="69"/>
      <c r="FT352" s="45"/>
    </row>
    <row r="353" spans="5:176" x14ac:dyDescent="0.2">
      <c r="E353" s="69"/>
      <c r="FT353" s="45"/>
    </row>
    <row r="354" spans="5:176" x14ac:dyDescent="0.2">
      <c r="E354" s="69"/>
      <c r="FT354" s="45"/>
    </row>
    <row r="355" spans="5:176" x14ac:dyDescent="0.2">
      <c r="E355" s="69"/>
      <c r="FT355" s="45"/>
    </row>
    <row r="356" spans="5:176" x14ac:dyDescent="0.2">
      <c r="E356" s="69"/>
      <c r="FT356" s="45"/>
    </row>
    <row r="357" spans="5:176" x14ac:dyDescent="0.2">
      <c r="E357" s="69"/>
      <c r="FT357" s="45"/>
    </row>
    <row r="358" spans="5:176" x14ac:dyDescent="0.2">
      <c r="E358" s="69"/>
      <c r="FT358" s="45"/>
    </row>
    <row r="359" spans="5:176" x14ac:dyDescent="0.2">
      <c r="E359" s="69"/>
      <c r="FT359" s="45"/>
    </row>
    <row r="360" spans="5:176" x14ac:dyDescent="0.2">
      <c r="E360" s="69"/>
      <c r="FT360" s="45"/>
    </row>
    <row r="361" spans="5:176" x14ac:dyDescent="0.2">
      <c r="E361" s="69"/>
      <c r="FT361" s="45"/>
    </row>
    <row r="362" spans="5:176" x14ac:dyDescent="0.2">
      <c r="E362" s="69"/>
      <c r="FT362" s="45"/>
    </row>
    <row r="363" spans="5:176" x14ac:dyDescent="0.2">
      <c r="E363" s="69"/>
      <c r="FT363" s="45"/>
    </row>
    <row r="364" spans="5:176" x14ac:dyDescent="0.2">
      <c r="E364" s="69"/>
      <c r="FT364" s="45"/>
    </row>
    <row r="365" spans="5:176" x14ac:dyDescent="0.2">
      <c r="E365" s="69"/>
      <c r="FT365" s="45"/>
    </row>
    <row r="366" spans="5:176" x14ac:dyDescent="0.2">
      <c r="E366" s="69"/>
      <c r="FT366" s="45"/>
    </row>
    <row r="367" spans="5:176" x14ac:dyDescent="0.2">
      <c r="E367" s="69"/>
      <c r="FT367" s="45"/>
    </row>
    <row r="368" spans="5:176" x14ac:dyDescent="0.2">
      <c r="E368" s="69"/>
      <c r="FT368" s="45"/>
    </row>
    <row r="369" spans="5:176" x14ac:dyDescent="0.2">
      <c r="E369" s="69"/>
      <c r="FT369" s="45"/>
    </row>
    <row r="370" spans="5:176" x14ac:dyDescent="0.2">
      <c r="E370" s="69"/>
      <c r="FT370" s="45"/>
    </row>
    <row r="371" spans="5:176" x14ac:dyDescent="0.2">
      <c r="E371" s="69"/>
      <c r="FT371" s="45"/>
    </row>
    <row r="372" spans="5:176" x14ac:dyDescent="0.2">
      <c r="E372" s="69"/>
      <c r="FT372" s="45"/>
    </row>
    <row r="373" spans="5:176" x14ac:dyDescent="0.2">
      <c r="E373" s="69"/>
      <c r="FT373" s="45"/>
    </row>
    <row r="374" spans="5:176" x14ac:dyDescent="0.2">
      <c r="E374" s="69"/>
      <c r="FT374" s="45"/>
    </row>
    <row r="375" spans="5:176" x14ac:dyDescent="0.2">
      <c r="E375" s="69"/>
      <c r="FT375" s="45"/>
    </row>
    <row r="376" spans="5:176" x14ac:dyDescent="0.2">
      <c r="E376" s="69"/>
      <c r="FT376" s="45"/>
    </row>
    <row r="377" spans="5:176" x14ac:dyDescent="0.2">
      <c r="E377" s="69"/>
      <c r="FT377" s="45"/>
    </row>
    <row r="378" spans="5:176" x14ac:dyDescent="0.2">
      <c r="E378" s="69"/>
      <c r="FT378" s="45"/>
    </row>
    <row r="379" spans="5:176" x14ac:dyDescent="0.2">
      <c r="E379" s="69"/>
      <c r="FT379" s="45"/>
    </row>
    <row r="380" spans="5:176" x14ac:dyDescent="0.2">
      <c r="E380" s="69"/>
      <c r="FT380" s="45"/>
    </row>
    <row r="381" spans="5:176" x14ac:dyDescent="0.2">
      <c r="E381" s="69"/>
      <c r="FT381" s="45"/>
    </row>
    <row r="382" spans="5:176" x14ac:dyDescent="0.2">
      <c r="E382" s="69"/>
      <c r="FT382" s="45"/>
    </row>
    <row r="383" spans="5:176" x14ac:dyDescent="0.2">
      <c r="E383" s="69"/>
      <c r="FT383" s="45"/>
    </row>
    <row r="384" spans="5:176" x14ac:dyDescent="0.2">
      <c r="E384" s="69"/>
      <c r="FT384" s="45"/>
    </row>
    <row r="385" spans="5:176" x14ac:dyDescent="0.2">
      <c r="E385" s="69"/>
      <c r="FT385" s="45"/>
    </row>
    <row r="386" spans="5:176" x14ac:dyDescent="0.2">
      <c r="E386" s="69"/>
      <c r="FT386" s="45"/>
    </row>
    <row r="387" spans="5:176" x14ac:dyDescent="0.2">
      <c r="E387" s="69"/>
      <c r="FT387" s="45"/>
    </row>
    <row r="388" spans="5:176" x14ac:dyDescent="0.2">
      <c r="E388" s="69"/>
      <c r="FT388" s="45"/>
    </row>
    <row r="389" spans="5:176" x14ac:dyDescent="0.2">
      <c r="E389" s="69"/>
      <c r="FT389" s="45"/>
    </row>
    <row r="390" spans="5:176" x14ac:dyDescent="0.2">
      <c r="E390" s="69"/>
      <c r="FT390" s="45"/>
    </row>
    <row r="391" spans="5:176" x14ac:dyDescent="0.2">
      <c r="E391" s="69"/>
      <c r="FT391" s="45"/>
    </row>
    <row r="392" spans="5:176" x14ac:dyDescent="0.2">
      <c r="E392" s="69"/>
      <c r="FT392" s="45"/>
    </row>
    <row r="393" spans="5:176" x14ac:dyDescent="0.2">
      <c r="E393" s="69"/>
      <c r="FT393" s="45"/>
    </row>
    <row r="394" spans="5:176" x14ac:dyDescent="0.2">
      <c r="E394" s="69"/>
      <c r="FT394" s="45"/>
    </row>
    <row r="395" spans="5:176" x14ac:dyDescent="0.2">
      <c r="E395" s="69"/>
      <c r="FT395" s="45"/>
    </row>
    <row r="396" spans="5:176" x14ac:dyDescent="0.2">
      <c r="E396" s="69"/>
      <c r="FT396" s="45"/>
    </row>
    <row r="397" spans="5:176" x14ac:dyDescent="0.2">
      <c r="E397" s="69"/>
      <c r="FT397" s="45"/>
    </row>
    <row r="398" spans="5:176" x14ac:dyDescent="0.2">
      <c r="E398" s="69"/>
      <c r="FT398" s="45"/>
    </row>
    <row r="399" spans="5:176" x14ac:dyDescent="0.2">
      <c r="E399" s="69"/>
      <c r="FT399" s="45"/>
    </row>
    <row r="400" spans="5:176" x14ac:dyDescent="0.2">
      <c r="E400" s="69"/>
      <c r="FT400" s="45"/>
    </row>
    <row r="401" spans="5:176" x14ac:dyDescent="0.2">
      <c r="E401" s="69"/>
      <c r="FT401" s="45"/>
    </row>
    <row r="402" spans="5:176" x14ac:dyDescent="0.2">
      <c r="E402" s="69"/>
      <c r="FT402" s="45"/>
    </row>
    <row r="403" spans="5:176" x14ac:dyDescent="0.2">
      <c r="E403" s="69"/>
      <c r="FT403" s="45"/>
    </row>
    <row r="404" spans="5:176" x14ac:dyDescent="0.2">
      <c r="E404" s="69"/>
      <c r="FT404" s="45"/>
    </row>
    <row r="405" spans="5:176" x14ac:dyDescent="0.2">
      <c r="E405" s="69"/>
      <c r="FT405" s="45"/>
    </row>
    <row r="406" spans="5:176" x14ac:dyDescent="0.2">
      <c r="E406" s="69"/>
      <c r="FT406" s="45"/>
    </row>
    <row r="407" spans="5:176" x14ac:dyDescent="0.2">
      <c r="E407" s="69"/>
      <c r="FT407" s="45"/>
    </row>
    <row r="408" spans="5:176" x14ac:dyDescent="0.2">
      <c r="E408" s="69"/>
      <c r="FT408" s="45"/>
    </row>
    <row r="409" spans="5:176" x14ac:dyDescent="0.2">
      <c r="E409" s="69"/>
      <c r="FT409" s="45"/>
    </row>
    <row r="410" spans="5:176" x14ac:dyDescent="0.2">
      <c r="E410" s="69"/>
      <c r="FT410" s="45"/>
    </row>
    <row r="411" spans="5:176" x14ac:dyDescent="0.2">
      <c r="E411" s="69"/>
      <c r="FT411" s="45"/>
    </row>
    <row r="412" spans="5:176" x14ac:dyDescent="0.2">
      <c r="E412" s="69"/>
      <c r="FT412" s="45"/>
    </row>
    <row r="413" spans="5:176" x14ac:dyDescent="0.2">
      <c r="E413" s="69"/>
      <c r="FT413" s="45"/>
    </row>
    <row r="414" spans="5:176" x14ac:dyDescent="0.2">
      <c r="E414" s="69"/>
      <c r="FT414" s="45"/>
    </row>
    <row r="415" spans="5:176" x14ac:dyDescent="0.2">
      <c r="E415" s="69"/>
      <c r="FT415" s="45"/>
    </row>
    <row r="416" spans="5:176" x14ac:dyDescent="0.2">
      <c r="E416" s="69"/>
      <c r="FT416" s="45"/>
    </row>
    <row r="417" spans="5:176" x14ac:dyDescent="0.2">
      <c r="E417" s="69"/>
      <c r="FT417" s="45"/>
    </row>
    <row r="418" spans="5:176" x14ac:dyDescent="0.2">
      <c r="E418" s="69"/>
      <c r="FT418" s="45"/>
    </row>
    <row r="419" spans="5:176" x14ac:dyDescent="0.2">
      <c r="E419" s="69"/>
      <c r="FT419" s="45"/>
    </row>
    <row r="420" spans="5:176" x14ac:dyDescent="0.2">
      <c r="E420" s="69"/>
      <c r="FT420" s="45"/>
    </row>
    <row r="421" spans="5:176" x14ac:dyDescent="0.2">
      <c r="E421" s="69"/>
      <c r="FT421" s="45"/>
    </row>
    <row r="422" spans="5:176" x14ac:dyDescent="0.2">
      <c r="E422" s="69"/>
      <c r="FT422" s="45"/>
    </row>
    <row r="423" spans="5:176" x14ac:dyDescent="0.2">
      <c r="E423" s="69"/>
      <c r="FT423" s="45"/>
    </row>
    <row r="424" spans="5:176" x14ac:dyDescent="0.2">
      <c r="E424" s="69"/>
      <c r="FT424" s="45"/>
    </row>
    <row r="425" spans="5:176" x14ac:dyDescent="0.2">
      <c r="E425" s="69"/>
      <c r="FT425" s="45"/>
    </row>
    <row r="426" spans="5:176" x14ac:dyDescent="0.2">
      <c r="E426" s="69"/>
      <c r="FT426" s="45"/>
    </row>
    <row r="427" spans="5:176" x14ac:dyDescent="0.2">
      <c r="E427" s="69"/>
      <c r="DQ427" s="61"/>
      <c r="EP427" s="61"/>
      <c r="FT427" s="45"/>
    </row>
    <row r="428" spans="5:176" x14ac:dyDescent="0.2">
      <c r="E428" s="69"/>
      <c r="FT428" s="45"/>
    </row>
    <row r="429" spans="5:176" x14ac:dyDescent="0.2">
      <c r="E429" s="69"/>
      <c r="FT429" s="45"/>
    </row>
    <row r="430" spans="5:176" x14ac:dyDescent="0.2">
      <c r="E430" s="69"/>
      <c r="FT430" s="45"/>
    </row>
    <row r="431" spans="5:176" x14ac:dyDescent="0.2">
      <c r="E431" s="69"/>
      <c r="FT431" s="45"/>
    </row>
    <row r="432" spans="5:176" x14ac:dyDescent="0.2">
      <c r="E432" s="69"/>
      <c r="FT432" s="45"/>
    </row>
    <row r="433" spans="5:176" x14ac:dyDescent="0.2">
      <c r="E433" s="69"/>
      <c r="FT433" s="45"/>
    </row>
    <row r="434" spans="5:176" x14ac:dyDescent="0.2">
      <c r="E434" s="69"/>
      <c r="FT434" s="45"/>
    </row>
    <row r="435" spans="5:176" x14ac:dyDescent="0.2">
      <c r="E435" s="69"/>
      <c r="FT435" s="45"/>
    </row>
    <row r="436" spans="5:176" x14ac:dyDescent="0.2">
      <c r="E436" s="69"/>
      <c r="FT436" s="45"/>
    </row>
    <row r="437" spans="5:176" x14ac:dyDescent="0.2">
      <c r="E437" s="69"/>
      <c r="FT437" s="45"/>
    </row>
    <row r="438" spans="5:176" x14ac:dyDescent="0.2">
      <c r="E438" s="69"/>
      <c r="FT438" s="45"/>
    </row>
    <row r="439" spans="5:176" x14ac:dyDescent="0.2">
      <c r="E439" s="69"/>
      <c r="FT439" s="45"/>
    </row>
    <row r="440" spans="5:176" x14ac:dyDescent="0.2">
      <c r="E440" s="69"/>
      <c r="FT440" s="45"/>
    </row>
    <row r="441" spans="5:176" x14ac:dyDescent="0.2">
      <c r="E441" s="69"/>
      <c r="FT441" s="45"/>
    </row>
    <row r="442" spans="5:176" x14ac:dyDescent="0.2">
      <c r="E442" s="69"/>
      <c r="FT442" s="45"/>
    </row>
    <row r="443" spans="5:176" x14ac:dyDescent="0.2">
      <c r="E443" s="69"/>
      <c r="FT443" s="45"/>
    </row>
    <row r="444" spans="5:176" x14ac:dyDescent="0.2">
      <c r="E444" s="69"/>
      <c r="FT444" s="45"/>
    </row>
    <row r="445" spans="5:176" x14ac:dyDescent="0.2">
      <c r="E445" s="69"/>
      <c r="FT445" s="45"/>
    </row>
    <row r="446" spans="5:176" x14ac:dyDescent="0.2">
      <c r="E446" s="69"/>
      <c r="FT446" s="45"/>
    </row>
    <row r="447" spans="5:176" x14ac:dyDescent="0.2">
      <c r="E447" s="69"/>
      <c r="FT447" s="45"/>
    </row>
    <row r="448" spans="5:176" x14ac:dyDescent="0.2">
      <c r="E448" s="69"/>
      <c r="FT448" s="45"/>
    </row>
    <row r="449" spans="5:176" x14ac:dyDescent="0.2">
      <c r="E449" s="69"/>
      <c r="FT449" s="45"/>
    </row>
    <row r="450" spans="5:176" x14ac:dyDescent="0.2">
      <c r="E450" s="69"/>
      <c r="FT450" s="45"/>
    </row>
    <row r="451" spans="5:176" x14ac:dyDescent="0.2">
      <c r="E451" s="69"/>
      <c r="FT451" s="45"/>
    </row>
    <row r="452" spans="5:176" x14ac:dyDescent="0.2">
      <c r="E452" s="69"/>
      <c r="FT452" s="45"/>
    </row>
    <row r="453" spans="5:176" x14ac:dyDescent="0.2">
      <c r="E453" s="69"/>
      <c r="FT453" s="45"/>
    </row>
    <row r="454" spans="5:176" x14ac:dyDescent="0.2">
      <c r="E454" s="69"/>
      <c r="FT454" s="45"/>
    </row>
    <row r="455" spans="5:176" x14ac:dyDescent="0.2">
      <c r="E455" s="69"/>
      <c r="FT455" s="45"/>
    </row>
    <row r="456" spans="5:176" x14ac:dyDescent="0.2">
      <c r="E456" s="69"/>
      <c r="FT456" s="45"/>
    </row>
    <row r="457" spans="5:176" x14ac:dyDescent="0.2">
      <c r="E457" s="69"/>
      <c r="FT457" s="45"/>
    </row>
    <row r="458" spans="5:176" x14ac:dyDescent="0.2">
      <c r="E458" s="69"/>
      <c r="FT458" s="45"/>
    </row>
    <row r="459" spans="5:176" x14ac:dyDescent="0.2">
      <c r="E459" s="69"/>
      <c r="FT459" s="45"/>
    </row>
    <row r="460" spans="5:176" x14ac:dyDescent="0.2">
      <c r="E460" s="69"/>
      <c r="FT460" s="45"/>
    </row>
    <row r="461" spans="5:176" x14ac:dyDescent="0.2">
      <c r="E461" s="69"/>
      <c r="FT461" s="45"/>
    </row>
    <row r="462" spans="5:176" x14ac:dyDescent="0.2">
      <c r="E462" s="69"/>
      <c r="FT462" s="45"/>
    </row>
    <row r="463" spans="5:176" x14ac:dyDescent="0.2">
      <c r="E463" s="69"/>
      <c r="FT463" s="45"/>
    </row>
    <row r="464" spans="5:176" x14ac:dyDescent="0.2">
      <c r="E464" s="69"/>
      <c r="FT464" s="45"/>
    </row>
    <row r="465" spans="5:176" x14ac:dyDescent="0.2">
      <c r="E465" s="69"/>
      <c r="FT465" s="45"/>
    </row>
    <row r="466" spans="5:176" x14ac:dyDescent="0.2">
      <c r="E466" s="69"/>
      <c r="FT466" s="45"/>
    </row>
    <row r="467" spans="5:176" x14ac:dyDescent="0.2">
      <c r="E467" s="69"/>
      <c r="FT467" s="45"/>
    </row>
    <row r="468" spans="5:176" x14ac:dyDescent="0.2">
      <c r="E468" s="69"/>
      <c r="FT468" s="45"/>
    </row>
    <row r="469" spans="5:176" x14ac:dyDescent="0.2">
      <c r="E469" s="69"/>
      <c r="FT469" s="45"/>
    </row>
    <row r="470" spans="5:176" x14ac:dyDescent="0.2">
      <c r="E470" s="69"/>
      <c r="FT470" s="45"/>
    </row>
    <row r="471" spans="5:176" x14ac:dyDescent="0.2">
      <c r="E471" s="69"/>
      <c r="FT471" s="45"/>
    </row>
    <row r="472" spans="5:176" x14ac:dyDescent="0.2">
      <c r="E472" s="69"/>
      <c r="FT472" s="45"/>
    </row>
    <row r="473" spans="5:176" x14ac:dyDescent="0.2">
      <c r="E473" s="69"/>
      <c r="FT473" s="45"/>
    </row>
    <row r="474" spans="5:176" x14ac:dyDescent="0.2">
      <c r="E474" s="69"/>
      <c r="FT474" s="45"/>
    </row>
    <row r="475" spans="5:176" x14ac:dyDescent="0.2">
      <c r="E475" s="69"/>
      <c r="FT475" s="45"/>
    </row>
    <row r="476" spans="5:176" x14ac:dyDescent="0.2">
      <c r="E476" s="69"/>
      <c r="FT476" s="45"/>
    </row>
    <row r="477" spans="5:176" x14ac:dyDescent="0.2">
      <c r="E477" s="69"/>
      <c r="FT477" s="45"/>
    </row>
    <row r="478" spans="5:176" x14ac:dyDescent="0.2">
      <c r="E478" s="69"/>
      <c r="FT478" s="45"/>
    </row>
    <row r="479" spans="5:176" x14ac:dyDescent="0.2">
      <c r="E479" s="69"/>
      <c r="FT479" s="45"/>
    </row>
    <row r="480" spans="5:176" x14ac:dyDescent="0.2">
      <c r="E480" s="69"/>
      <c r="FT480" s="45"/>
    </row>
    <row r="481" spans="5:176" x14ac:dyDescent="0.2">
      <c r="E481" s="69"/>
      <c r="FT481" s="45"/>
    </row>
    <row r="482" spans="5:176" x14ac:dyDescent="0.2">
      <c r="E482" s="69"/>
      <c r="FT482" s="45"/>
    </row>
    <row r="483" spans="5:176" x14ac:dyDescent="0.2">
      <c r="E483" s="69"/>
      <c r="FT483" s="45"/>
    </row>
    <row r="484" spans="5:176" x14ac:dyDescent="0.2">
      <c r="E484" s="69"/>
      <c r="FT484" s="45"/>
    </row>
    <row r="485" spans="5:176" x14ac:dyDescent="0.2">
      <c r="E485" s="69"/>
      <c r="FT485" s="45"/>
    </row>
    <row r="486" spans="5:176" x14ac:dyDescent="0.2">
      <c r="E486" s="69"/>
      <c r="FT486" s="45"/>
    </row>
    <row r="487" spans="5:176" x14ac:dyDescent="0.2">
      <c r="E487" s="69"/>
      <c r="FT487" s="45"/>
    </row>
    <row r="488" spans="5:176" x14ac:dyDescent="0.2">
      <c r="E488" s="69"/>
      <c r="FT488" s="45"/>
    </row>
    <row r="489" spans="5:176" x14ac:dyDescent="0.2">
      <c r="E489" s="69"/>
      <c r="FT489" s="45"/>
    </row>
    <row r="490" spans="5:176" x14ac:dyDescent="0.2">
      <c r="E490" s="69"/>
      <c r="FT490" s="45"/>
    </row>
    <row r="491" spans="5:176" x14ac:dyDescent="0.2">
      <c r="E491" s="69"/>
      <c r="FT491" s="45"/>
    </row>
    <row r="492" spans="5:176" x14ac:dyDescent="0.2">
      <c r="E492" s="69"/>
      <c r="FT492" s="45"/>
    </row>
    <row r="493" spans="5:176" x14ac:dyDescent="0.2">
      <c r="E493" s="69"/>
      <c r="FT493" s="45"/>
    </row>
    <row r="494" spans="5:176" x14ac:dyDescent="0.2">
      <c r="E494" s="69"/>
      <c r="FT494" s="45"/>
    </row>
    <row r="495" spans="5:176" x14ac:dyDescent="0.2">
      <c r="E495" s="69"/>
      <c r="FT495" s="45"/>
    </row>
    <row r="496" spans="5:176" x14ac:dyDescent="0.2">
      <c r="E496" s="69"/>
      <c r="FT496" s="45"/>
    </row>
    <row r="497" spans="5:176" x14ac:dyDescent="0.2">
      <c r="E497" s="69"/>
      <c r="FT497" s="45"/>
    </row>
    <row r="498" spans="5:176" x14ac:dyDescent="0.2">
      <c r="E498" s="69"/>
      <c r="FT498" s="45"/>
    </row>
    <row r="499" spans="5:176" x14ac:dyDescent="0.2">
      <c r="E499" s="69"/>
      <c r="FT499" s="45"/>
    </row>
    <row r="500" spans="5:176" x14ac:dyDescent="0.2">
      <c r="E500" s="69"/>
      <c r="FT500" s="45"/>
    </row>
    <row r="501" spans="5:176" x14ac:dyDescent="0.2">
      <c r="E501" s="69"/>
      <c r="FT501" s="45"/>
    </row>
    <row r="502" spans="5:176" x14ac:dyDescent="0.2">
      <c r="E502" s="69"/>
      <c r="FT502" s="45"/>
    </row>
    <row r="503" spans="5:176" x14ac:dyDescent="0.2">
      <c r="E503" s="69"/>
      <c r="FT503" s="45"/>
    </row>
    <row r="504" spans="5:176" x14ac:dyDescent="0.2">
      <c r="E504" s="69"/>
      <c r="FT504" s="45"/>
    </row>
    <row r="505" spans="5:176" x14ac:dyDescent="0.2">
      <c r="E505" s="69"/>
      <c r="FT505" s="45"/>
    </row>
    <row r="506" spans="5:176" x14ac:dyDescent="0.2">
      <c r="E506" s="69"/>
      <c r="FT506" s="45"/>
    </row>
    <row r="507" spans="5:176" x14ac:dyDescent="0.2">
      <c r="E507" s="69"/>
      <c r="FT507" s="45"/>
    </row>
    <row r="508" spans="5:176" x14ac:dyDescent="0.2">
      <c r="E508" s="69"/>
      <c r="FT508" s="45"/>
    </row>
    <row r="509" spans="5:176" x14ac:dyDescent="0.2">
      <c r="E509" s="69"/>
      <c r="FT509" s="45"/>
    </row>
    <row r="510" spans="5:176" x14ac:dyDescent="0.2">
      <c r="E510" s="69"/>
      <c r="FT510" s="45"/>
    </row>
    <row r="511" spans="5:176" x14ac:dyDescent="0.2">
      <c r="E511" s="69"/>
      <c r="FT511" s="45"/>
    </row>
    <row r="512" spans="5:176" x14ac:dyDescent="0.2">
      <c r="E512" s="69"/>
      <c r="FT512" s="45"/>
    </row>
    <row r="513" spans="5:176" x14ac:dyDescent="0.2">
      <c r="E513" s="69"/>
      <c r="FT513" s="45"/>
    </row>
    <row r="514" spans="5:176" x14ac:dyDescent="0.2">
      <c r="E514" s="69"/>
      <c r="FT514" s="45"/>
    </row>
    <row r="515" spans="5:176" x14ac:dyDescent="0.2">
      <c r="E515" s="69"/>
      <c r="FT515" s="45"/>
    </row>
    <row r="516" spans="5:176" x14ac:dyDescent="0.2">
      <c r="E516" s="69"/>
      <c r="FT516" s="45"/>
    </row>
    <row r="517" spans="5:176" x14ac:dyDescent="0.2">
      <c r="E517" s="69"/>
      <c r="FT517" s="45"/>
    </row>
    <row r="518" spans="5:176" x14ac:dyDescent="0.2">
      <c r="E518" s="69"/>
      <c r="FT518" s="45"/>
    </row>
    <row r="519" spans="5:176" x14ac:dyDescent="0.2">
      <c r="E519" s="69"/>
      <c r="FT519" s="45"/>
    </row>
    <row r="520" spans="5:176" x14ac:dyDescent="0.2">
      <c r="E520" s="69"/>
      <c r="FT520" s="45"/>
    </row>
    <row r="521" spans="5:176" x14ac:dyDescent="0.2">
      <c r="E521" s="69"/>
      <c r="FT521" s="45"/>
    </row>
    <row r="522" spans="5:176" x14ac:dyDescent="0.2">
      <c r="E522" s="69"/>
      <c r="FT522" s="45"/>
    </row>
    <row r="523" spans="5:176" x14ac:dyDescent="0.2">
      <c r="E523" s="69"/>
      <c r="FT523" s="45"/>
    </row>
    <row r="524" spans="5:176" x14ac:dyDescent="0.2">
      <c r="E524" s="69"/>
      <c r="FT524" s="45"/>
    </row>
    <row r="525" spans="5:176" x14ac:dyDescent="0.2">
      <c r="E525" s="69"/>
      <c r="FT525" s="45"/>
    </row>
    <row r="526" spans="5:176" x14ac:dyDescent="0.2">
      <c r="E526" s="69"/>
      <c r="FT526" s="45"/>
    </row>
    <row r="527" spans="5:176" x14ac:dyDescent="0.2">
      <c r="E527" s="69"/>
      <c r="FT527" s="45"/>
    </row>
    <row r="528" spans="5:176" x14ac:dyDescent="0.2">
      <c r="E528" s="69"/>
      <c r="FT528" s="45"/>
    </row>
    <row r="529" spans="5:176" x14ac:dyDescent="0.2">
      <c r="E529" s="69"/>
      <c r="FT529" s="45"/>
    </row>
    <row r="530" spans="5:176" x14ac:dyDescent="0.2">
      <c r="E530" s="69"/>
      <c r="FT530" s="45"/>
    </row>
    <row r="531" spans="5:176" x14ac:dyDescent="0.2">
      <c r="E531" s="69"/>
      <c r="FT531" s="45"/>
    </row>
    <row r="532" spans="5:176" x14ac:dyDescent="0.2">
      <c r="E532" s="69"/>
      <c r="FT532" s="45"/>
    </row>
    <row r="533" spans="5:176" x14ac:dyDescent="0.2">
      <c r="E533" s="69"/>
      <c r="FT533" s="45"/>
    </row>
    <row r="534" spans="5:176" x14ac:dyDescent="0.2">
      <c r="E534" s="69"/>
      <c r="FT534" s="45"/>
    </row>
    <row r="535" spans="5:176" x14ac:dyDescent="0.2">
      <c r="E535" s="69"/>
      <c r="FT535" s="45"/>
    </row>
    <row r="536" spans="5:176" x14ac:dyDescent="0.2">
      <c r="E536" s="69"/>
      <c r="FT536" s="45"/>
    </row>
    <row r="537" spans="5:176" x14ac:dyDescent="0.2">
      <c r="E537" s="69"/>
      <c r="FT537" s="45"/>
    </row>
    <row r="538" spans="5:176" x14ac:dyDescent="0.2">
      <c r="E538" s="69"/>
      <c r="FT538" s="45"/>
    </row>
    <row r="539" spans="5:176" x14ac:dyDescent="0.2">
      <c r="E539" s="69"/>
      <c r="FT539" s="45"/>
    </row>
    <row r="540" spans="5:176" x14ac:dyDescent="0.2">
      <c r="E540" s="69"/>
      <c r="FT540" s="45"/>
    </row>
    <row r="541" spans="5:176" x14ac:dyDescent="0.2">
      <c r="E541" s="69"/>
      <c r="FT541" s="45"/>
    </row>
    <row r="542" spans="5:176" x14ac:dyDescent="0.2">
      <c r="E542" s="69"/>
      <c r="FT542" s="45"/>
    </row>
    <row r="543" spans="5:176" x14ac:dyDescent="0.2">
      <c r="E543" s="69"/>
      <c r="FT543" s="45"/>
    </row>
    <row r="544" spans="5:176" x14ac:dyDescent="0.2">
      <c r="E544" s="69"/>
      <c r="FT544" s="45"/>
    </row>
    <row r="545" spans="5:176" x14ac:dyDescent="0.2">
      <c r="E545" s="69"/>
      <c r="FT545" s="45"/>
    </row>
    <row r="546" spans="5:176" x14ac:dyDescent="0.2">
      <c r="E546" s="69"/>
      <c r="FT546" s="45"/>
    </row>
    <row r="547" spans="5:176" x14ac:dyDescent="0.2">
      <c r="E547" s="69"/>
      <c r="FT547" s="45"/>
    </row>
    <row r="548" spans="5:176" x14ac:dyDescent="0.2">
      <c r="E548" s="69"/>
      <c r="FT548" s="45"/>
    </row>
    <row r="549" spans="5:176" x14ac:dyDescent="0.2">
      <c r="E549" s="69"/>
      <c r="FT549" s="45"/>
    </row>
    <row r="550" spans="5:176" x14ac:dyDescent="0.2">
      <c r="E550" s="69"/>
      <c r="FT550" s="45"/>
    </row>
    <row r="551" spans="5:176" x14ac:dyDescent="0.2">
      <c r="E551" s="69"/>
      <c r="FT551" s="45"/>
    </row>
    <row r="552" spans="5:176" x14ac:dyDescent="0.2">
      <c r="E552" s="69"/>
      <c r="FT552" s="45"/>
    </row>
    <row r="553" spans="5:176" x14ac:dyDescent="0.2">
      <c r="E553" s="69"/>
      <c r="FT553" s="45"/>
    </row>
    <row r="554" spans="5:176" x14ac:dyDescent="0.2">
      <c r="E554" s="69"/>
      <c r="FT554" s="45"/>
    </row>
    <row r="555" spans="5:176" x14ac:dyDescent="0.2">
      <c r="E555" s="69"/>
      <c r="FT555" s="45"/>
    </row>
    <row r="556" spans="5:176" x14ac:dyDescent="0.2">
      <c r="E556" s="69"/>
      <c r="FT556" s="45"/>
    </row>
    <row r="557" spans="5:176" x14ac:dyDescent="0.2">
      <c r="E557" s="69"/>
      <c r="FT557" s="45"/>
    </row>
    <row r="558" spans="5:176" x14ac:dyDescent="0.2">
      <c r="E558" s="69"/>
      <c r="FT558" s="45"/>
    </row>
    <row r="559" spans="5:176" x14ac:dyDescent="0.2">
      <c r="E559" s="69"/>
      <c r="FT559" s="45"/>
    </row>
    <row r="560" spans="5:176" x14ac:dyDescent="0.2">
      <c r="E560" s="69"/>
      <c r="FT560" s="45"/>
    </row>
    <row r="561" spans="5:176" x14ac:dyDescent="0.2">
      <c r="E561" s="69"/>
      <c r="FT561" s="45"/>
    </row>
    <row r="562" spans="5:176" x14ac:dyDescent="0.2">
      <c r="E562" s="69"/>
      <c r="FT562" s="45"/>
    </row>
    <row r="563" spans="5:176" x14ac:dyDescent="0.2">
      <c r="E563" s="69"/>
      <c r="FT563" s="45"/>
    </row>
    <row r="564" spans="5:176" x14ac:dyDescent="0.2">
      <c r="E564" s="69"/>
      <c r="FT564" s="45"/>
    </row>
    <row r="565" spans="5:176" x14ac:dyDescent="0.2">
      <c r="E565" s="69"/>
      <c r="FT565" s="45"/>
    </row>
    <row r="566" spans="5:176" x14ac:dyDescent="0.2">
      <c r="E566" s="69"/>
      <c r="FT566" s="45"/>
    </row>
    <row r="567" spans="5:176" x14ac:dyDescent="0.2">
      <c r="E567" s="69"/>
      <c r="FT567" s="45"/>
    </row>
    <row r="568" spans="5:176" x14ac:dyDescent="0.2">
      <c r="E568" s="69"/>
      <c r="FT568" s="45"/>
    </row>
    <row r="569" spans="5:176" x14ac:dyDescent="0.2">
      <c r="E569" s="69"/>
      <c r="FT569" s="45"/>
    </row>
    <row r="570" spans="5:176" x14ac:dyDescent="0.2">
      <c r="E570" s="69"/>
      <c r="FT570" s="45"/>
    </row>
    <row r="571" spans="5:176" x14ac:dyDescent="0.2">
      <c r="E571" s="69"/>
      <c r="FT571" s="45"/>
    </row>
    <row r="572" spans="5:176" x14ac:dyDescent="0.2">
      <c r="E572" s="69"/>
      <c r="FT572" s="45"/>
    </row>
    <row r="573" spans="5:176" x14ac:dyDescent="0.2">
      <c r="E573" s="69"/>
      <c r="FT573" s="45"/>
    </row>
    <row r="574" spans="5:176" x14ac:dyDescent="0.2">
      <c r="E574" s="69"/>
      <c r="FT574" s="45"/>
    </row>
    <row r="575" spans="5:176" x14ac:dyDescent="0.2">
      <c r="E575" s="69"/>
      <c r="FT575" s="45"/>
    </row>
    <row r="576" spans="5:176" x14ac:dyDescent="0.2">
      <c r="E576" s="69"/>
      <c r="FT576" s="45"/>
    </row>
    <row r="577" spans="5:176" x14ac:dyDescent="0.2">
      <c r="E577" s="69"/>
      <c r="FT577" s="45"/>
    </row>
    <row r="578" spans="5:176" x14ac:dyDescent="0.2">
      <c r="E578" s="69"/>
      <c r="FT578" s="45"/>
    </row>
    <row r="579" spans="5:176" x14ac:dyDescent="0.2">
      <c r="E579" s="69"/>
      <c r="FT579" s="45"/>
    </row>
    <row r="580" spans="5:176" x14ac:dyDescent="0.2">
      <c r="E580" s="69"/>
      <c r="FT580" s="45"/>
    </row>
    <row r="581" spans="5:176" x14ac:dyDescent="0.2">
      <c r="E581" s="69"/>
      <c r="FT581" s="45"/>
    </row>
    <row r="582" spans="5:176" x14ac:dyDescent="0.2">
      <c r="E582" s="69"/>
      <c r="FT582" s="45"/>
    </row>
    <row r="583" spans="5:176" x14ac:dyDescent="0.2">
      <c r="E583" s="69"/>
      <c r="FT583" s="45"/>
    </row>
    <row r="584" spans="5:176" x14ac:dyDescent="0.2">
      <c r="E584" s="69"/>
      <c r="FT584" s="45"/>
    </row>
    <row r="585" spans="5:176" x14ac:dyDescent="0.2">
      <c r="E585" s="69"/>
      <c r="FT585" s="45"/>
    </row>
    <row r="586" spans="5:176" x14ac:dyDescent="0.2">
      <c r="E586" s="69"/>
      <c r="FT586" s="45"/>
    </row>
    <row r="587" spans="5:176" x14ac:dyDescent="0.2">
      <c r="E587" s="69"/>
      <c r="FT587" s="45"/>
    </row>
    <row r="588" spans="5:176" x14ac:dyDescent="0.2">
      <c r="E588" s="69"/>
      <c r="FT588" s="45"/>
    </row>
    <row r="589" spans="5:176" x14ac:dyDescent="0.2">
      <c r="E589" s="69"/>
      <c r="FT589" s="45"/>
    </row>
    <row r="590" spans="5:176" x14ac:dyDescent="0.2">
      <c r="E590" s="69"/>
      <c r="FT590" s="45"/>
    </row>
    <row r="591" spans="5:176" x14ac:dyDescent="0.2">
      <c r="E591" s="69"/>
      <c r="FT591" s="45"/>
    </row>
    <row r="592" spans="5:176" x14ac:dyDescent="0.2">
      <c r="E592" s="69"/>
      <c r="FT592" s="45"/>
    </row>
    <row r="593" spans="5:176" x14ac:dyDescent="0.2">
      <c r="E593" s="69"/>
      <c r="FT593" s="45"/>
    </row>
    <row r="594" spans="5:176" x14ac:dyDescent="0.2">
      <c r="E594" s="69"/>
      <c r="FT594" s="45"/>
    </row>
    <row r="595" spans="5:176" x14ac:dyDescent="0.2">
      <c r="E595" s="69"/>
      <c r="FT595" s="45"/>
    </row>
    <row r="596" spans="5:176" x14ac:dyDescent="0.2">
      <c r="E596" s="69"/>
      <c r="FT596" s="45"/>
    </row>
    <row r="597" spans="5:176" x14ac:dyDescent="0.2">
      <c r="E597" s="69"/>
      <c r="FT597" s="45"/>
    </row>
    <row r="598" spans="5:176" x14ac:dyDescent="0.2">
      <c r="E598" s="69"/>
      <c r="FT598" s="45"/>
    </row>
    <row r="599" spans="5:176" x14ac:dyDescent="0.2">
      <c r="E599" s="69"/>
      <c r="FT599" s="45"/>
    </row>
    <row r="600" spans="5:176" x14ac:dyDescent="0.2">
      <c r="E600" s="69"/>
      <c r="FT600" s="45"/>
    </row>
    <row r="601" spans="5:176" x14ac:dyDescent="0.2">
      <c r="E601" s="69"/>
      <c r="FT601" s="45"/>
    </row>
    <row r="602" spans="5:176" x14ac:dyDescent="0.2">
      <c r="E602" s="69"/>
      <c r="FT602" s="45"/>
    </row>
    <row r="603" spans="5:176" x14ac:dyDescent="0.2">
      <c r="E603" s="69"/>
      <c r="FT603" s="45"/>
    </row>
    <row r="604" spans="5:176" x14ac:dyDescent="0.2">
      <c r="E604" s="69"/>
      <c r="FT604" s="45"/>
    </row>
    <row r="605" spans="5:176" x14ac:dyDescent="0.2">
      <c r="E605" s="69"/>
      <c r="FT605" s="45"/>
    </row>
    <row r="606" spans="5:176" x14ac:dyDescent="0.2">
      <c r="E606" s="69"/>
      <c r="FT606" s="45"/>
    </row>
    <row r="607" spans="5:176" x14ac:dyDescent="0.2">
      <c r="E607" s="69"/>
      <c r="FT607" s="45"/>
    </row>
    <row r="608" spans="5:176" x14ac:dyDescent="0.2">
      <c r="E608" s="69"/>
      <c r="FT608" s="45"/>
    </row>
    <row r="609" spans="5:176" x14ac:dyDescent="0.2">
      <c r="E609" s="69"/>
      <c r="FT609" s="45"/>
    </row>
    <row r="610" spans="5:176" x14ac:dyDescent="0.2">
      <c r="E610" s="69"/>
      <c r="FT610" s="45"/>
    </row>
    <row r="611" spans="5:176" x14ac:dyDescent="0.2">
      <c r="E611" s="69"/>
      <c r="FT611" s="45"/>
    </row>
    <row r="612" spans="5:176" x14ac:dyDescent="0.2">
      <c r="E612" s="69"/>
      <c r="FT612" s="45"/>
    </row>
    <row r="613" spans="5:176" x14ac:dyDescent="0.2">
      <c r="E613" s="69"/>
      <c r="FT613" s="45"/>
    </row>
    <row r="614" spans="5:176" x14ac:dyDescent="0.2">
      <c r="E614" s="69"/>
      <c r="FT614" s="45"/>
    </row>
    <row r="615" spans="5:176" x14ac:dyDescent="0.2">
      <c r="E615" s="69"/>
      <c r="FT615" s="45"/>
    </row>
    <row r="616" spans="5:176" x14ac:dyDescent="0.2">
      <c r="E616" s="69"/>
      <c r="FT616" s="45"/>
    </row>
    <row r="617" spans="5:176" x14ac:dyDescent="0.2">
      <c r="E617" s="69"/>
      <c r="FT617" s="45"/>
    </row>
    <row r="618" spans="5:176" x14ac:dyDescent="0.2">
      <c r="E618" s="69"/>
      <c r="FT618" s="45"/>
    </row>
    <row r="619" spans="5:176" x14ac:dyDescent="0.2">
      <c r="E619" s="69"/>
      <c r="FT619" s="45"/>
    </row>
    <row r="620" spans="5:176" x14ac:dyDescent="0.2">
      <c r="E620" s="69"/>
      <c r="FT620" s="45"/>
    </row>
    <row r="621" spans="5:176" x14ac:dyDescent="0.2">
      <c r="E621" s="69"/>
      <c r="FT621" s="45"/>
    </row>
    <row r="622" spans="5:176" x14ac:dyDescent="0.2">
      <c r="E622" s="69"/>
      <c r="FT622" s="45"/>
    </row>
    <row r="623" spans="5:176" x14ac:dyDescent="0.2">
      <c r="E623" s="69"/>
      <c r="FT623" s="45"/>
    </row>
    <row r="624" spans="5:176" x14ac:dyDescent="0.2">
      <c r="E624" s="69"/>
      <c r="FT624" s="45"/>
    </row>
    <row r="625" spans="5:176" x14ac:dyDescent="0.2">
      <c r="E625" s="69"/>
      <c r="FT625" s="45"/>
    </row>
    <row r="626" spans="5:176" x14ac:dyDescent="0.2">
      <c r="E626" s="69"/>
      <c r="FT626" s="45"/>
    </row>
    <row r="627" spans="5:176" x14ac:dyDescent="0.2">
      <c r="E627" s="69"/>
      <c r="FT627" s="45"/>
    </row>
    <row r="628" spans="5:176" x14ac:dyDescent="0.2">
      <c r="E628" s="69"/>
      <c r="FT628" s="45"/>
    </row>
    <row r="629" spans="5:176" x14ac:dyDescent="0.2">
      <c r="E629" s="69"/>
      <c r="FT629" s="45"/>
    </row>
    <row r="630" spans="5:176" x14ac:dyDescent="0.2">
      <c r="E630" s="69"/>
      <c r="FT630" s="45"/>
    </row>
    <row r="631" spans="5:176" x14ac:dyDescent="0.2">
      <c r="E631" s="69"/>
      <c r="FT631" s="45"/>
    </row>
    <row r="632" spans="5:176" x14ac:dyDescent="0.2">
      <c r="E632" s="69"/>
      <c r="FT632" s="45"/>
    </row>
    <row r="633" spans="5:176" x14ac:dyDescent="0.2">
      <c r="E633" s="69"/>
      <c r="FT633" s="45"/>
    </row>
    <row r="634" spans="5:176" x14ac:dyDescent="0.2">
      <c r="E634" s="69"/>
      <c r="FT634" s="45"/>
    </row>
    <row r="635" spans="5:176" x14ac:dyDescent="0.2">
      <c r="E635" s="69"/>
      <c r="FT635" s="45"/>
    </row>
    <row r="636" spans="5:176" x14ac:dyDescent="0.2">
      <c r="E636" s="69"/>
      <c r="FT636" s="45"/>
    </row>
    <row r="637" spans="5:176" x14ac:dyDescent="0.2">
      <c r="E637" s="69"/>
      <c r="FT637" s="45"/>
    </row>
    <row r="638" spans="5:176" x14ac:dyDescent="0.2">
      <c r="E638" s="69"/>
      <c r="FT638" s="45"/>
    </row>
    <row r="639" spans="5:176" x14ac:dyDescent="0.2">
      <c r="E639" s="69"/>
      <c r="FT639" s="45"/>
    </row>
    <row r="640" spans="5:176" x14ac:dyDescent="0.2">
      <c r="E640" s="69"/>
      <c r="FT640" s="45"/>
    </row>
    <row r="641" spans="5:176" x14ac:dyDescent="0.2">
      <c r="E641" s="69"/>
      <c r="FT641" s="45"/>
    </row>
    <row r="642" spans="5:176" x14ac:dyDescent="0.2">
      <c r="E642" s="69"/>
      <c r="FT642" s="45"/>
    </row>
    <row r="643" spans="5:176" x14ac:dyDescent="0.2">
      <c r="E643" s="69"/>
      <c r="FT643" s="45"/>
    </row>
    <row r="644" spans="5:176" x14ac:dyDescent="0.2">
      <c r="E644" s="69"/>
      <c r="FT644" s="45"/>
    </row>
    <row r="645" spans="5:176" x14ac:dyDescent="0.2">
      <c r="E645" s="69"/>
      <c r="FT645" s="45"/>
    </row>
    <row r="646" spans="5:176" x14ac:dyDescent="0.2">
      <c r="E646" s="69"/>
      <c r="FT646" s="45"/>
    </row>
    <row r="647" spans="5:176" x14ac:dyDescent="0.2">
      <c r="E647" s="69"/>
      <c r="FT647" s="45"/>
    </row>
    <row r="648" spans="5:176" x14ac:dyDescent="0.2">
      <c r="E648" s="69"/>
      <c r="FT648" s="45"/>
    </row>
    <row r="649" spans="5:176" x14ac:dyDescent="0.2">
      <c r="E649" s="69"/>
      <c r="FT649" s="45"/>
    </row>
    <row r="650" spans="5:176" x14ac:dyDescent="0.2">
      <c r="E650" s="69"/>
      <c r="FT650" s="45"/>
    </row>
    <row r="651" spans="5:176" x14ac:dyDescent="0.2">
      <c r="E651" s="69"/>
      <c r="FT651" s="45"/>
    </row>
    <row r="652" spans="5:176" x14ac:dyDescent="0.2">
      <c r="E652" s="69"/>
      <c r="FT652" s="45"/>
    </row>
    <row r="653" spans="5:176" x14ac:dyDescent="0.2">
      <c r="E653" s="69"/>
      <c r="FT653" s="45"/>
    </row>
    <row r="654" spans="5:176" x14ac:dyDescent="0.2">
      <c r="E654" s="69"/>
      <c r="FT654" s="45"/>
    </row>
    <row r="655" spans="5:176" x14ac:dyDescent="0.2">
      <c r="E655" s="69"/>
      <c r="FT655" s="45"/>
    </row>
    <row r="656" spans="5:176" x14ac:dyDescent="0.2">
      <c r="E656" s="69"/>
      <c r="FT656" s="45"/>
    </row>
    <row r="657" spans="5:176" x14ac:dyDescent="0.2">
      <c r="E657" s="69"/>
      <c r="FT657" s="45"/>
    </row>
    <row r="658" spans="5:176" x14ac:dyDescent="0.2">
      <c r="E658" s="69"/>
      <c r="FT658" s="45"/>
    </row>
    <row r="659" spans="5:176" x14ac:dyDescent="0.2">
      <c r="E659" s="69"/>
      <c r="FT659" s="45"/>
    </row>
    <row r="660" spans="5:176" x14ac:dyDescent="0.2">
      <c r="E660" s="69"/>
      <c r="FT660" s="45"/>
    </row>
    <row r="661" spans="5:176" x14ac:dyDescent="0.2">
      <c r="FT661" s="45"/>
    </row>
    <row r="662" spans="5:176" x14ac:dyDescent="0.2">
      <c r="E662" s="69"/>
      <c r="FT662" s="45"/>
    </row>
    <row r="663" spans="5:176" x14ac:dyDescent="0.2">
      <c r="E663" s="69"/>
      <c r="FT663" s="45"/>
    </row>
    <row r="664" spans="5:176" x14ac:dyDescent="0.2">
      <c r="E664" s="69"/>
      <c r="FT664" s="45"/>
    </row>
    <row r="665" spans="5:176" x14ac:dyDescent="0.2">
      <c r="E665" s="69"/>
      <c r="FT665" s="45"/>
    </row>
    <row r="666" spans="5:176" x14ac:dyDescent="0.2">
      <c r="E666" s="69"/>
      <c r="FT666" s="45"/>
    </row>
    <row r="667" spans="5:176" x14ac:dyDescent="0.2">
      <c r="E667" s="69"/>
      <c r="FT667" s="45"/>
    </row>
    <row r="668" spans="5:176" x14ac:dyDescent="0.2">
      <c r="E668" s="69"/>
      <c r="FT668" s="45"/>
    </row>
    <row r="669" spans="5:176" x14ac:dyDescent="0.2">
      <c r="E669" s="69"/>
      <c r="FT669" s="45"/>
    </row>
    <row r="670" spans="5:176" x14ac:dyDescent="0.2">
      <c r="E670" s="69"/>
      <c r="FT670" s="45"/>
    </row>
    <row r="671" spans="5:176" x14ac:dyDescent="0.2">
      <c r="E671" s="69"/>
      <c r="FT671" s="45"/>
    </row>
    <row r="672" spans="5:176" x14ac:dyDescent="0.2">
      <c r="E672" s="69"/>
      <c r="FT672" s="45"/>
    </row>
    <row r="673" spans="5:176" x14ac:dyDescent="0.2">
      <c r="E673" s="69"/>
      <c r="FT673" s="45"/>
    </row>
    <row r="674" spans="5:176" x14ac:dyDescent="0.2">
      <c r="E674" s="69"/>
      <c r="FT674" s="45"/>
    </row>
    <row r="675" spans="5:176" x14ac:dyDescent="0.2">
      <c r="E675" s="69"/>
      <c r="FT675" s="45"/>
    </row>
    <row r="676" spans="5:176" x14ac:dyDescent="0.2">
      <c r="E676" s="69"/>
      <c r="FT676" s="45"/>
    </row>
    <row r="677" spans="5:176" x14ac:dyDescent="0.2">
      <c r="E677" s="69"/>
      <c r="FT677" s="45"/>
    </row>
    <row r="678" spans="5:176" x14ac:dyDescent="0.2">
      <c r="E678" s="69"/>
      <c r="FT678" s="45"/>
    </row>
    <row r="679" spans="5:176" x14ac:dyDescent="0.2">
      <c r="E679" s="69"/>
      <c r="FT679" s="45"/>
    </row>
    <row r="680" spans="5:176" x14ac:dyDescent="0.2">
      <c r="E680" s="69"/>
      <c r="FT680" s="45"/>
    </row>
    <row r="681" spans="5:176" x14ac:dyDescent="0.2">
      <c r="E681" s="69"/>
      <c r="FT681" s="45"/>
    </row>
    <row r="682" spans="5:176" x14ac:dyDescent="0.2">
      <c r="E682" s="69"/>
      <c r="FT682" s="45"/>
    </row>
    <row r="683" spans="5:176" x14ac:dyDescent="0.2">
      <c r="E683" s="69"/>
      <c r="FT683" s="45"/>
    </row>
    <row r="684" spans="5:176" x14ac:dyDescent="0.2">
      <c r="E684" s="69"/>
      <c r="FT684" s="45"/>
    </row>
    <row r="685" spans="5:176" x14ac:dyDescent="0.2">
      <c r="E685" s="69"/>
      <c r="FT685" s="45"/>
    </row>
    <row r="686" spans="5:176" x14ac:dyDescent="0.2">
      <c r="E686" s="69"/>
      <c r="FT686" s="45"/>
    </row>
    <row r="687" spans="5:176" x14ac:dyDescent="0.2">
      <c r="E687" s="69"/>
      <c r="FT687" s="45"/>
    </row>
    <row r="688" spans="5:176" x14ac:dyDescent="0.2">
      <c r="E688" s="69"/>
      <c r="FT688" s="45"/>
    </row>
    <row r="689" spans="5:176" x14ac:dyDescent="0.2">
      <c r="E689" s="69"/>
      <c r="FT689" s="45"/>
    </row>
    <row r="690" spans="5:176" x14ac:dyDescent="0.2">
      <c r="E690" s="69"/>
      <c r="DQ690" s="61"/>
      <c r="EP690" s="61"/>
      <c r="FT690" s="45"/>
    </row>
    <row r="691" spans="5:176" x14ac:dyDescent="0.2">
      <c r="E691" s="69"/>
      <c r="FT691" s="45"/>
    </row>
    <row r="692" spans="5:176" x14ac:dyDescent="0.2">
      <c r="E692" s="69"/>
      <c r="FT692" s="45"/>
    </row>
    <row r="693" spans="5:176" x14ac:dyDescent="0.2">
      <c r="E693" s="69"/>
      <c r="FT693" s="45"/>
    </row>
    <row r="694" spans="5:176" x14ac:dyDescent="0.2">
      <c r="E694" s="69"/>
      <c r="FT694" s="45"/>
    </row>
    <row r="695" spans="5:176" x14ac:dyDescent="0.2">
      <c r="E695" s="69"/>
      <c r="FT695" s="45"/>
    </row>
    <row r="696" spans="5:176" x14ac:dyDescent="0.2">
      <c r="E696" s="69"/>
      <c r="FT696" s="45"/>
    </row>
    <row r="697" spans="5:176" x14ac:dyDescent="0.2">
      <c r="E697" s="69"/>
      <c r="FT697" s="45"/>
    </row>
    <row r="698" spans="5:176" x14ac:dyDescent="0.2">
      <c r="E698" s="69"/>
      <c r="FT698" s="45"/>
    </row>
    <row r="699" spans="5:176" x14ac:dyDescent="0.2">
      <c r="E699" s="69"/>
      <c r="FT699" s="45"/>
    </row>
    <row r="700" spans="5:176" x14ac:dyDescent="0.2">
      <c r="E700" s="69"/>
      <c r="FT700" s="45"/>
    </row>
    <row r="701" spans="5:176" x14ac:dyDescent="0.2">
      <c r="E701" s="69"/>
      <c r="FT701" s="45"/>
    </row>
    <row r="702" spans="5:176" x14ac:dyDescent="0.2">
      <c r="E702" s="69"/>
      <c r="FT702" s="45"/>
    </row>
    <row r="703" spans="5:176" x14ac:dyDescent="0.2">
      <c r="E703" s="69"/>
      <c r="FT703" s="45"/>
    </row>
    <row r="704" spans="5:176" x14ac:dyDescent="0.2">
      <c r="E704" s="69"/>
      <c r="FT704" s="45"/>
    </row>
    <row r="705" spans="5:176" x14ac:dyDescent="0.2">
      <c r="E705" s="69"/>
      <c r="FT705" s="45"/>
    </row>
    <row r="706" spans="5:176" x14ac:dyDescent="0.2">
      <c r="E706" s="69"/>
      <c r="FT706" s="45"/>
    </row>
    <row r="707" spans="5:176" x14ac:dyDescent="0.2">
      <c r="E707" s="69"/>
      <c r="FT707" s="45"/>
    </row>
    <row r="708" spans="5:176" x14ac:dyDescent="0.2">
      <c r="E708" s="69"/>
      <c r="FT708" s="45"/>
    </row>
    <row r="709" spans="5:176" x14ac:dyDescent="0.2">
      <c r="E709" s="69"/>
      <c r="FT709" s="45"/>
    </row>
    <row r="710" spans="5:176" x14ac:dyDescent="0.2">
      <c r="E710" s="69"/>
      <c r="FT710" s="45"/>
    </row>
    <row r="711" spans="5:176" x14ac:dyDescent="0.2">
      <c r="E711" s="69"/>
      <c r="FT711" s="45"/>
    </row>
    <row r="712" spans="5:176" x14ac:dyDescent="0.2">
      <c r="E712" s="69"/>
      <c r="FT712" s="45"/>
    </row>
    <row r="713" spans="5:176" x14ac:dyDescent="0.2">
      <c r="E713" s="69"/>
      <c r="FT713" s="45"/>
    </row>
    <row r="714" spans="5:176" x14ac:dyDescent="0.2">
      <c r="E714" s="69"/>
      <c r="FT714" s="45"/>
    </row>
    <row r="715" spans="5:176" x14ac:dyDescent="0.2">
      <c r="E715" s="69"/>
      <c r="FT715" s="45"/>
    </row>
    <row r="716" spans="5:176" x14ac:dyDescent="0.2">
      <c r="E716" s="69"/>
      <c r="FT716" s="45"/>
    </row>
    <row r="717" spans="5:176" x14ac:dyDescent="0.2">
      <c r="E717" s="69"/>
      <c r="FT717" s="45"/>
    </row>
    <row r="718" spans="5:176" x14ac:dyDescent="0.2">
      <c r="E718" s="69"/>
      <c r="FT718" s="45"/>
    </row>
    <row r="719" spans="5:176" x14ac:dyDescent="0.2">
      <c r="E719" s="69"/>
      <c r="FT719" s="45"/>
    </row>
    <row r="720" spans="5:176" x14ac:dyDescent="0.2">
      <c r="E720" s="69"/>
      <c r="FT720" s="45"/>
    </row>
    <row r="721" spans="5:176" x14ac:dyDescent="0.2">
      <c r="E721" s="69"/>
      <c r="FT721" s="45"/>
    </row>
    <row r="722" spans="5:176" x14ac:dyDescent="0.2">
      <c r="E722" s="69"/>
      <c r="FT722" s="45"/>
    </row>
    <row r="723" spans="5:176" x14ac:dyDescent="0.2">
      <c r="E723" s="69"/>
      <c r="FT723" s="45"/>
    </row>
    <row r="724" spans="5:176" x14ac:dyDescent="0.2">
      <c r="E724" s="69"/>
      <c r="FT724" s="45"/>
    </row>
    <row r="725" spans="5:176" x14ac:dyDescent="0.2">
      <c r="E725" s="69"/>
      <c r="FT725" s="45"/>
    </row>
    <row r="726" spans="5:176" x14ac:dyDescent="0.2">
      <c r="E726" s="69"/>
      <c r="FT726" s="45"/>
    </row>
    <row r="727" spans="5:176" x14ac:dyDescent="0.2">
      <c r="E727" s="69"/>
      <c r="FT727" s="45"/>
    </row>
    <row r="728" spans="5:176" x14ac:dyDescent="0.2">
      <c r="E728" s="69"/>
      <c r="FT728" s="45"/>
    </row>
    <row r="729" spans="5:176" x14ac:dyDescent="0.2">
      <c r="E729" s="69"/>
      <c r="FT729" s="45"/>
    </row>
    <row r="730" spans="5:176" x14ac:dyDescent="0.2">
      <c r="E730" s="69"/>
      <c r="FT730" s="45"/>
    </row>
    <row r="731" spans="5:176" x14ac:dyDescent="0.2">
      <c r="E731" s="69"/>
      <c r="FT731" s="45"/>
    </row>
    <row r="732" spans="5:176" x14ac:dyDescent="0.2">
      <c r="E732" s="69"/>
      <c r="FT732" s="45"/>
    </row>
    <row r="733" spans="5:176" x14ac:dyDescent="0.2">
      <c r="E733" s="69"/>
      <c r="FT733" s="45"/>
    </row>
    <row r="734" spans="5:176" x14ac:dyDescent="0.2">
      <c r="E734" s="69"/>
      <c r="FT734" s="45"/>
    </row>
    <row r="735" spans="5:176" x14ac:dyDescent="0.2">
      <c r="E735" s="69"/>
      <c r="FT735" s="45"/>
    </row>
    <row r="736" spans="5:176" x14ac:dyDescent="0.2">
      <c r="E736" s="69"/>
      <c r="FT736" s="45"/>
    </row>
    <row r="737" spans="5:176" x14ac:dyDescent="0.2">
      <c r="E737" s="69"/>
      <c r="FT737" s="45"/>
    </row>
    <row r="738" spans="5:176" x14ac:dyDescent="0.2">
      <c r="E738" s="69"/>
      <c r="FT738" s="45"/>
    </row>
    <row r="739" spans="5:176" x14ac:dyDescent="0.2">
      <c r="E739" s="69"/>
      <c r="FT739" s="45"/>
    </row>
    <row r="740" spans="5:176" x14ac:dyDescent="0.2">
      <c r="E740" s="69"/>
      <c r="FT740" s="45"/>
    </row>
    <row r="741" spans="5:176" x14ac:dyDescent="0.2">
      <c r="E741" s="69"/>
      <c r="FT741" s="45"/>
    </row>
    <row r="742" spans="5:176" x14ac:dyDescent="0.2">
      <c r="E742" s="69"/>
      <c r="FT742" s="45"/>
    </row>
    <row r="743" spans="5:176" x14ac:dyDescent="0.2">
      <c r="E743" s="69"/>
      <c r="FT743" s="45"/>
    </row>
    <row r="744" spans="5:176" x14ac:dyDescent="0.2">
      <c r="E744" s="69"/>
      <c r="FT744" s="45"/>
    </row>
    <row r="745" spans="5:176" x14ac:dyDescent="0.2">
      <c r="E745" s="69"/>
      <c r="FT745" s="45"/>
    </row>
    <row r="746" spans="5:176" x14ac:dyDescent="0.2">
      <c r="E746" s="69"/>
      <c r="FT746" s="45"/>
    </row>
    <row r="747" spans="5:176" x14ac:dyDescent="0.2">
      <c r="E747" s="69"/>
      <c r="FT747" s="45"/>
    </row>
    <row r="748" spans="5:176" x14ac:dyDescent="0.2">
      <c r="E748" s="69"/>
      <c r="FT748" s="45"/>
    </row>
    <row r="749" spans="5:176" x14ac:dyDescent="0.2">
      <c r="E749" s="69"/>
      <c r="FT749" s="45"/>
    </row>
    <row r="750" spans="5:176" x14ac:dyDescent="0.2">
      <c r="E750" s="69"/>
      <c r="FT750" s="45"/>
    </row>
    <row r="751" spans="5:176" x14ac:dyDescent="0.2">
      <c r="E751" s="69"/>
      <c r="FT751" s="45"/>
    </row>
    <row r="752" spans="5:176" x14ac:dyDescent="0.2">
      <c r="E752" s="69"/>
      <c r="FT752" s="45"/>
    </row>
    <row r="753" spans="5:176" x14ac:dyDescent="0.2">
      <c r="E753" s="69"/>
      <c r="FT753" s="45"/>
    </row>
    <row r="754" spans="5:176" x14ac:dyDescent="0.2">
      <c r="E754" s="69"/>
      <c r="FT754" s="45"/>
    </row>
    <row r="755" spans="5:176" x14ac:dyDescent="0.2">
      <c r="E755" s="69"/>
      <c r="FT755" s="45"/>
    </row>
    <row r="756" spans="5:176" x14ac:dyDescent="0.2">
      <c r="E756" s="69"/>
      <c r="FT756" s="45"/>
    </row>
    <row r="757" spans="5:176" x14ac:dyDescent="0.2">
      <c r="E757" s="69"/>
      <c r="FT757" s="45"/>
    </row>
    <row r="758" spans="5:176" x14ac:dyDescent="0.2">
      <c r="E758" s="69"/>
      <c r="FT758" s="45"/>
    </row>
    <row r="759" spans="5:176" x14ac:dyDescent="0.2">
      <c r="E759" s="69"/>
      <c r="FT759" s="45"/>
    </row>
    <row r="760" spans="5:176" x14ac:dyDescent="0.2">
      <c r="E760" s="69"/>
      <c r="FT760" s="45"/>
    </row>
    <row r="761" spans="5:176" x14ac:dyDescent="0.2">
      <c r="E761" s="69"/>
      <c r="FT761" s="45"/>
    </row>
    <row r="762" spans="5:176" x14ac:dyDescent="0.2">
      <c r="E762" s="69"/>
      <c r="FT762" s="45"/>
    </row>
    <row r="763" spans="5:176" x14ac:dyDescent="0.2">
      <c r="E763" s="69"/>
      <c r="FT763" s="45"/>
    </row>
    <row r="764" spans="5:176" x14ac:dyDescent="0.2">
      <c r="E764" s="69"/>
      <c r="FT764" s="45"/>
    </row>
    <row r="765" spans="5:176" x14ac:dyDescent="0.2">
      <c r="E765" s="69"/>
      <c r="FT765" s="45"/>
    </row>
    <row r="766" spans="5:176" x14ac:dyDescent="0.2">
      <c r="E766" s="69"/>
      <c r="FT766" s="45"/>
    </row>
    <row r="767" spans="5:176" x14ac:dyDescent="0.2">
      <c r="E767" s="69"/>
      <c r="FT767" s="45"/>
    </row>
    <row r="768" spans="5:176" x14ac:dyDescent="0.2">
      <c r="E768" s="69"/>
      <c r="FT768" s="45"/>
    </row>
    <row r="769" spans="5:176" x14ac:dyDescent="0.2">
      <c r="E769" s="69"/>
      <c r="FT769" s="45"/>
    </row>
    <row r="770" spans="5:176" x14ac:dyDescent="0.2">
      <c r="E770" s="69"/>
      <c r="FT770" s="45"/>
    </row>
    <row r="771" spans="5:176" x14ac:dyDescent="0.2">
      <c r="E771" s="69"/>
      <c r="FT771" s="45"/>
    </row>
    <row r="772" spans="5:176" x14ac:dyDescent="0.2">
      <c r="E772" s="69"/>
      <c r="FT772" s="45"/>
    </row>
    <row r="773" spans="5:176" x14ac:dyDescent="0.2">
      <c r="E773" s="69"/>
      <c r="FT773" s="45"/>
    </row>
    <row r="774" spans="5:176" x14ac:dyDescent="0.2">
      <c r="E774" s="69"/>
      <c r="FT774" s="45"/>
    </row>
    <row r="775" spans="5:176" x14ac:dyDescent="0.2">
      <c r="E775" s="69"/>
      <c r="FT775" s="45"/>
    </row>
    <row r="776" spans="5:176" x14ac:dyDescent="0.2">
      <c r="E776" s="69"/>
      <c r="FT776" s="45"/>
    </row>
    <row r="777" spans="5:176" x14ac:dyDescent="0.2">
      <c r="E777" s="69"/>
      <c r="FT777" s="45"/>
    </row>
    <row r="778" spans="5:176" x14ac:dyDescent="0.2">
      <c r="E778" s="69"/>
      <c r="FT778" s="45"/>
    </row>
    <row r="779" spans="5:176" x14ac:dyDescent="0.2">
      <c r="E779" s="69"/>
      <c r="FT779" s="45"/>
    </row>
    <row r="780" spans="5:176" x14ac:dyDescent="0.2">
      <c r="E780" s="69"/>
      <c r="FT780" s="45"/>
    </row>
    <row r="781" spans="5:176" x14ac:dyDescent="0.2">
      <c r="E781" s="69"/>
      <c r="FT781" s="45"/>
    </row>
    <row r="782" spans="5:176" x14ac:dyDescent="0.2">
      <c r="E782" s="69"/>
      <c r="FT782" s="45"/>
    </row>
    <row r="783" spans="5:176" x14ac:dyDescent="0.2">
      <c r="E783" s="69"/>
      <c r="FT783" s="45"/>
    </row>
    <row r="784" spans="5:176" x14ac:dyDescent="0.2">
      <c r="E784" s="69"/>
      <c r="FT784" s="45"/>
    </row>
    <row r="785" spans="5:176" x14ac:dyDescent="0.2">
      <c r="E785" s="69"/>
      <c r="FT785" s="45"/>
    </row>
    <row r="786" spans="5:176" x14ac:dyDescent="0.2">
      <c r="E786" s="69"/>
      <c r="FT786" s="45"/>
    </row>
    <row r="787" spans="5:176" x14ac:dyDescent="0.2">
      <c r="E787" s="69"/>
      <c r="FT787" s="45"/>
    </row>
    <row r="788" spans="5:176" x14ac:dyDescent="0.2">
      <c r="E788" s="69"/>
      <c r="FT788" s="45"/>
    </row>
    <row r="789" spans="5:176" x14ac:dyDescent="0.2">
      <c r="E789" s="69"/>
      <c r="FT789" s="45"/>
    </row>
    <row r="790" spans="5:176" x14ac:dyDescent="0.2">
      <c r="E790" s="69"/>
      <c r="FT790" s="45"/>
    </row>
    <row r="791" spans="5:176" x14ac:dyDescent="0.2">
      <c r="E791" s="69"/>
      <c r="FT791" s="45"/>
    </row>
    <row r="792" spans="5:176" x14ac:dyDescent="0.2">
      <c r="E792" s="69"/>
      <c r="FT792" s="45"/>
    </row>
    <row r="793" spans="5:176" x14ac:dyDescent="0.2">
      <c r="E793" s="69"/>
      <c r="FT793" s="45"/>
    </row>
    <row r="794" spans="5:176" x14ac:dyDescent="0.2">
      <c r="E794" s="69"/>
      <c r="FT794" s="45"/>
    </row>
    <row r="795" spans="5:176" x14ac:dyDescent="0.2">
      <c r="E795" s="69"/>
      <c r="FT795" s="45"/>
    </row>
    <row r="796" spans="5:176" x14ac:dyDescent="0.2">
      <c r="E796" s="69"/>
      <c r="FT796" s="45"/>
    </row>
    <row r="797" spans="5:176" x14ac:dyDescent="0.2">
      <c r="E797" s="69"/>
      <c r="FT797" s="45"/>
    </row>
    <row r="798" spans="5:176" x14ac:dyDescent="0.2">
      <c r="E798" s="69"/>
      <c r="FT798" s="45"/>
    </row>
    <row r="799" spans="5:176" x14ac:dyDescent="0.2">
      <c r="E799" s="69"/>
      <c r="FT799" s="45"/>
    </row>
    <row r="800" spans="5:176" x14ac:dyDescent="0.2">
      <c r="E800" s="69"/>
      <c r="FT800" s="45"/>
    </row>
    <row r="801" spans="5:176" x14ac:dyDescent="0.2">
      <c r="E801" s="69"/>
      <c r="FT801" s="45"/>
    </row>
    <row r="802" spans="5:176" x14ac:dyDescent="0.2">
      <c r="E802" s="69"/>
      <c r="FT802" s="45"/>
    </row>
    <row r="803" spans="5:176" x14ac:dyDescent="0.2">
      <c r="E803" s="69"/>
      <c r="FT803" s="45"/>
    </row>
    <row r="804" spans="5:176" x14ac:dyDescent="0.2">
      <c r="E804" s="69"/>
      <c r="FT804" s="45"/>
    </row>
    <row r="805" spans="5:176" x14ac:dyDescent="0.2">
      <c r="E805" s="69"/>
      <c r="FT805" s="45"/>
    </row>
    <row r="806" spans="5:176" x14ac:dyDescent="0.2">
      <c r="E806" s="69"/>
      <c r="FT806" s="45"/>
    </row>
    <row r="807" spans="5:176" x14ac:dyDescent="0.2">
      <c r="E807" s="69"/>
      <c r="FT807" s="45"/>
    </row>
    <row r="808" spans="5:176" x14ac:dyDescent="0.2">
      <c r="E808" s="69"/>
      <c r="FT808" s="45"/>
    </row>
    <row r="809" spans="5:176" x14ac:dyDescent="0.2">
      <c r="E809" s="69"/>
      <c r="FT809" s="45"/>
    </row>
    <row r="810" spans="5:176" x14ac:dyDescent="0.2">
      <c r="E810" s="69"/>
      <c r="FT810" s="45"/>
    </row>
    <row r="811" spans="5:176" x14ac:dyDescent="0.2">
      <c r="E811" s="69"/>
      <c r="FT811" s="45"/>
    </row>
    <row r="812" spans="5:176" x14ac:dyDescent="0.2">
      <c r="E812" s="69"/>
      <c r="FT812" s="45"/>
    </row>
    <row r="813" spans="5:176" x14ac:dyDescent="0.2">
      <c r="E813" s="69"/>
      <c r="FT813" s="45"/>
    </row>
    <row r="814" spans="5:176" x14ac:dyDescent="0.2">
      <c r="E814" s="69"/>
      <c r="FT814" s="45"/>
    </row>
    <row r="815" spans="5:176" x14ac:dyDescent="0.2">
      <c r="E815" s="69"/>
      <c r="FT815" s="45"/>
    </row>
    <row r="816" spans="5:176" x14ac:dyDescent="0.2">
      <c r="E816" s="69"/>
      <c r="FT816" s="45"/>
    </row>
    <row r="817" spans="5:176" x14ac:dyDescent="0.2">
      <c r="E817" s="69"/>
      <c r="FT817" s="45"/>
    </row>
    <row r="818" spans="5:176" x14ac:dyDescent="0.2">
      <c r="E818" s="69"/>
      <c r="FT818" s="45"/>
    </row>
    <row r="819" spans="5:176" x14ac:dyDescent="0.2">
      <c r="E819" s="69"/>
      <c r="FT819" s="45"/>
    </row>
    <row r="820" spans="5:176" x14ac:dyDescent="0.2">
      <c r="E820" s="69"/>
      <c r="FT820" s="45"/>
    </row>
    <row r="821" spans="5:176" x14ac:dyDescent="0.2">
      <c r="E821" s="69"/>
      <c r="FT821" s="45"/>
    </row>
    <row r="822" spans="5:176" x14ac:dyDescent="0.2">
      <c r="E822" s="69"/>
      <c r="FT822" s="45"/>
    </row>
    <row r="823" spans="5:176" x14ac:dyDescent="0.2">
      <c r="E823" s="69"/>
      <c r="FT823" s="45"/>
    </row>
    <row r="824" spans="5:176" x14ac:dyDescent="0.2">
      <c r="E824" s="69"/>
      <c r="FT824" s="45"/>
    </row>
    <row r="825" spans="5:176" x14ac:dyDescent="0.2">
      <c r="E825" s="69"/>
      <c r="FT825" s="45"/>
    </row>
    <row r="826" spans="5:176" x14ac:dyDescent="0.2">
      <c r="E826" s="69"/>
      <c r="FT826" s="45"/>
    </row>
    <row r="827" spans="5:176" x14ac:dyDescent="0.2">
      <c r="E827" s="69"/>
      <c r="FT827" s="45"/>
    </row>
    <row r="828" spans="5:176" x14ac:dyDescent="0.2">
      <c r="E828" s="69"/>
      <c r="FT828" s="45"/>
    </row>
    <row r="829" spans="5:176" x14ac:dyDescent="0.2">
      <c r="E829" s="69"/>
      <c r="FT829" s="45"/>
    </row>
    <row r="830" spans="5:176" x14ac:dyDescent="0.2">
      <c r="E830" s="69"/>
      <c r="FT830" s="45"/>
    </row>
    <row r="831" spans="5:176" x14ac:dyDescent="0.2">
      <c r="E831" s="69"/>
      <c r="FT831" s="45"/>
    </row>
    <row r="832" spans="5:176" x14ac:dyDescent="0.2">
      <c r="E832" s="69"/>
      <c r="FT832" s="45"/>
    </row>
    <row r="833" spans="5:176" x14ac:dyDescent="0.2">
      <c r="E833" s="69"/>
      <c r="FT833" s="45"/>
    </row>
    <row r="834" spans="5:176" x14ac:dyDescent="0.2">
      <c r="E834" s="69"/>
      <c r="FT834" s="45"/>
    </row>
    <row r="835" spans="5:176" x14ac:dyDescent="0.2">
      <c r="E835" s="69"/>
      <c r="FT835" s="45"/>
    </row>
    <row r="836" spans="5:176" x14ac:dyDescent="0.2">
      <c r="E836" s="69"/>
      <c r="FT836" s="45"/>
    </row>
    <row r="837" spans="5:176" x14ac:dyDescent="0.2">
      <c r="E837" s="69"/>
      <c r="FT837" s="45"/>
    </row>
    <row r="838" spans="5:176" x14ac:dyDescent="0.2">
      <c r="E838" s="69"/>
      <c r="FT838" s="45"/>
    </row>
    <row r="839" spans="5:176" x14ac:dyDescent="0.2">
      <c r="E839" s="69"/>
      <c r="FT839" s="45"/>
    </row>
    <row r="840" spans="5:176" x14ac:dyDescent="0.2">
      <c r="E840" s="69"/>
      <c r="FT840" s="45"/>
    </row>
    <row r="841" spans="5:176" x14ac:dyDescent="0.2">
      <c r="E841" s="69"/>
      <c r="FT841" s="45"/>
    </row>
    <row r="842" spans="5:176" x14ac:dyDescent="0.2">
      <c r="E842" s="69"/>
      <c r="FT842" s="45"/>
    </row>
    <row r="843" spans="5:176" x14ac:dyDescent="0.2">
      <c r="E843" s="69"/>
      <c r="FT843" s="45"/>
    </row>
    <row r="844" spans="5:176" x14ac:dyDescent="0.2">
      <c r="E844" s="69"/>
      <c r="FT844" s="45"/>
    </row>
    <row r="845" spans="5:176" x14ac:dyDescent="0.2">
      <c r="E845" s="69"/>
      <c r="FT845" s="45"/>
    </row>
    <row r="846" spans="5:176" x14ac:dyDescent="0.2">
      <c r="E846" s="69"/>
      <c r="FT846" s="45"/>
    </row>
    <row r="847" spans="5:176" x14ac:dyDescent="0.2">
      <c r="E847" s="69"/>
      <c r="FT847" s="45"/>
    </row>
    <row r="848" spans="5:176" x14ac:dyDescent="0.2">
      <c r="E848" s="69"/>
      <c r="FT848" s="45"/>
    </row>
    <row r="849" spans="5:176" x14ac:dyDescent="0.2">
      <c r="E849" s="69"/>
      <c r="FT849" s="45"/>
    </row>
    <row r="850" spans="5:176" x14ac:dyDescent="0.2">
      <c r="E850" s="69"/>
      <c r="FT850" s="45"/>
    </row>
    <row r="851" spans="5:176" x14ac:dyDescent="0.2">
      <c r="E851" s="69"/>
      <c r="FT851" s="45"/>
    </row>
    <row r="852" spans="5:176" x14ac:dyDescent="0.2">
      <c r="E852" s="69"/>
      <c r="FT852" s="45"/>
    </row>
    <row r="853" spans="5:176" x14ac:dyDescent="0.2">
      <c r="E853" s="69"/>
      <c r="FT853" s="45"/>
    </row>
    <row r="854" spans="5:176" x14ac:dyDescent="0.2">
      <c r="E854" s="69"/>
      <c r="FT854" s="45"/>
    </row>
    <row r="855" spans="5:176" x14ac:dyDescent="0.2">
      <c r="E855" s="69"/>
      <c r="FT855" s="45"/>
    </row>
    <row r="856" spans="5:176" x14ac:dyDescent="0.2">
      <c r="E856" s="69"/>
      <c r="FT856" s="45"/>
    </row>
    <row r="857" spans="5:176" x14ac:dyDescent="0.2">
      <c r="E857" s="69"/>
      <c r="FT857" s="45"/>
    </row>
    <row r="858" spans="5:176" x14ac:dyDescent="0.2">
      <c r="E858" s="69"/>
      <c r="FT858" s="45"/>
    </row>
    <row r="859" spans="5:176" x14ac:dyDescent="0.2">
      <c r="E859" s="69"/>
      <c r="FT859" s="45"/>
    </row>
    <row r="860" spans="5:176" x14ac:dyDescent="0.2">
      <c r="E860" s="69"/>
      <c r="FT860" s="45"/>
    </row>
    <row r="861" spans="5:176" x14ac:dyDescent="0.2">
      <c r="E861" s="69"/>
      <c r="FT861" s="45"/>
    </row>
    <row r="862" spans="5:176" x14ac:dyDescent="0.2">
      <c r="E862" s="69"/>
      <c r="FT862" s="45"/>
    </row>
    <row r="863" spans="5:176" x14ac:dyDescent="0.2">
      <c r="E863" s="69"/>
      <c r="FT863" s="45"/>
    </row>
    <row r="864" spans="5:176" x14ac:dyDescent="0.2">
      <c r="E864" s="69"/>
      <c r="FT864" s="45"/>
    </row>
    <row r="865" spans="5:176" x14ac:dyDescent="0.2">
      <c r="E865" s="69"/>
      <c r="FT865" s="45"/>
    </row>
    <row r="866" spans="5:176" x14ac:dyDescent="0.2">
      <c r="E866" s="69"/>
      <c r="FT866" s="45"/>
    </row>
    <row r="867" spans="5:176" x14ac:dyDescent="0.2">
      <c r="E867" s="69"/>
      <c r="FT867" s="45"/>
    </row>
    <row r="868" spans="5:176" x14ac:dyDescent="0.2">
      <c r="E868" s="69"/>
      <c r="FT868" s="45"/>
    </row>
    <row r="869" spans="5:176" x14ac:dyDescent="0.2">
      <c r="E869" s="69"/>
      <c r="FT869" s="45"/>
    </row>
    <row r="870" spans="5:176" x14ac:dyDescent="0.2">
      <c r="E870" s="69"/>
      <c r="FT870" s="45"/>
    </row>
    <row r="871" spans="5:176" x14ac:dyDescent="0.2">
      <c r="E871" s="69"/>
      <c r="FT871" s="45"/>
    </row>
    <row r="872" spans="5:176" x14ac:dyDescent="0.2">
      <c r="E872" s="69"/>
      <c r="FT872" s="45"/>
    </row>
    <row r="873" spans="5:176" x14ac:dyDescent="0.2">
      <c r="E873" s="69"/>
      <c r="FT873" s="45"/>
    </row>
    <row r="874" spans="5:176" x14ac:dyDescent="0.2">
      <c r="E874" s="69"/>
      <c r="FT874" s="45"/>
    </row>
    <row r="875" spans="5:176" x14ac:dyDescent="0.2">
      <c r="E875" s="69"/>
      <c r="FT875" s="45"/>
    </row>
    <row r="876" spans="5:176" x14ac:dyDescent="0.2">
      <c r="E876" s="69"/>
      <c r="FT876" s="45"/>
    </row>
    <row r="877" spans="5:176" x14ac:dyDescent="0.2">
      <c r="E877" s="69"/>
      <c r="FT877" s="45"/>
    </row>
    <row r="878" spans="5:176" x14ac:dyDescent="0.2">
      <c r="E878" s="69"/>
      <c r="FT878" s="45"/>
    </row>
    <row r="879" spans="5:176" x14ac:dyDescent="0.2">
      <c r="E879" s="69"/>
      <c r="FT879" s="45"/>
    </row>
    <row r="880" spans="5:176" x14ac:dyDescent="0.2">
      <c r="E880" s="69"/>
      <c r="FT880" s="45"/>
    </row>
    <row r="881" spans="5:176" x14ac:dyDescent="0.2">
      <c r="E881" s="69"/>
      <c r="FT881" s="45"/>
    </row>
    <row r="882" spans="5:176" x14ac:dyDescent="0.2">
      <c r="E882" s="69"/>
      <c r="FT882" s="45"/>
    </row>
    <row r="883" spans="5:176" x14ac:dyDescent="0.2">
      <c r="E883" s="69"/>
      <c r="FT883" s="45"/>
    </row>
    <row r="884" spans="5:176" x14ac:dyDescent="0.2">
      <c r="E884" s="69"/>
      <c r="FT884" s="45"/>
    </row>
    <row r="885" spans="5:176" x14ac:dyDescent="0.2">
      <c r="E885" s="69"/>
      <c r="FT885" s="45"/>
    </row>
    <row r="886" spans="5:176" x14ac:dyDescent="0.2">
      <c r="E886" s="69"/>
      <c r="FT886" s="45"/>
    </row>
    <row r="887" spans="5:176" x14ac:dyDescent="0.2">
      <c r="E887" s="69"/>
      <c r="FT887" s="45"/>
    </row>
    <row r="888" spans="5:176" x14ac:dyDescent="0.2">
      <c r="E888" s="69"/>
      <c r="FT888" s="45"/>
    </row>
    <row r="889" spans="5:176" x14ac:dyDescent="0.2">
      <c r="E889" s="69"/>
      <c r="FT889" s="45"/>
    </row>
    <row r="890" spans="5:176" x14ac:dyDescent="0.2">
      <c r="E890" s="69"/>
      <c r="FT890" s="45"/>
    </row>
    <row r="891" spans="5:176" x14ac:dyDescent="0.2">
      <c r="E891" s="69"/>
      <c r="FT891" s="45"/>
    </row>
    <row r="892" spans="5:176" x14ac:dyDescent="0.2">
      <c r="E892" s="69"/>
      <c r="FT892" s="45"/>
    </row>
    <row r="893" spans="5:176" x14ac:dyDescent="0.2">
      <c r="E893" s="69"/>
      <c r="FT893" s="45"/>
    </row>
    <row r="894" spans="5:176" x14ac:dyDescent="0.2">
      <c r="E894" s="69"/>
      <c r="FT894" s="45"/>
    </row>
    <row r="895" spans="5:176" x14ac:dyDescent="0.2">
      <c r="E895" s="69"/>
      <c r="FT895" s="45"/>
    </row>
    <row r="896" spans="5:176" x14ac:dyDescent="0.2">
      <c r="E896" s="69"/>
      <c r="FT896" s="45"/>
    </row>
    <row r="897" spans="5:176" x14ac:dyDescent="0.2">
      <c r="E897" s="69"/>
      <c r="FT897" s="45"/>
    </row>
    <row r="898" spans="5:176" x14ac:dyDescent="0.2">
      <c r="E898" s="69"/>
      <c r="FT898" s="45"/>
    </row>
    <row r="899" spans="5:176" x14ac:dyDescent="0.2">
      <c r="E899" s="69"/>
      <c r="FT899" s="45"/>
    </row>
    <row r="900" spans="5:176" x14ac:dyDescent="0.2">
      <c r="E900" s="69"/>
      <c r="FT900" s="45"/>
    </row>
    <row r="901" spans="5:176" x14ac:dyDescent="0.2">
      <c r="E901" s="69"/>
      <c r="FT901" s="45"/>
    </row>
    <row r="902" spans="5:176" x14ac:dyDescent="0.2">
      <c r="E902" s="69"/>
      <c r="FT902" s="45"/>
    </row>
    <row r="903" spans="5:176" x14ac:dyDescent="0.2">
      <c r="E903" s="69"/>
      <c r="FT903" s="45"/>
    </row>
    <row r="904" spans="5:176" x14ac:dyDescent="0.2">
      <c r="E904" s="69"/>
      <c r="FT904" s="45"/>
    </row>
    <row r="905" spans="5:176" x14ac:dyDescent="0.2">
      <c r="E905" s="69"/>
      <c r="FT905" s="45"/>
    </row>
    <row r="906" spans="5:176" x14ac:dyDescent="0.2">
      <c r="E906" s="69"/>
      <c r="FT906" s="45"/>
    </row>
    <row r="907" spans="5:176" x14ac:dyDescent="0.2">
      <c r="E907" s="69"/>
      <c r="FT907" s="45"/>
    </row>
    <row r="908" spans="5:176" x14ac:dyDescent="0.2">
      <c r="E908" s="69"/>
      <c r="FT908" s="45"/>
    </row>
    <row r="909" spans="5:176" x14ac:dyDescent="0.2">
      <c r="E909" s="69"/>
      <c r="FT909" s="45"/>
    </row>
    <row r="910" spans="5:176" x14ac:dyDescent="0.2">
      <c r="E910" s="69"/>
      <c r="FT910" s="45"/>
    </row>
    <row r="911" spans="5:176" x14ac:dyDescent="0.2">
      <c r="E911" s="69"/>
      <c r="FT911" s="45"/>
    </row>
    <row r="912" spans="5:176" x14ac:dyDescent="0.2">
      <c r="E912" s="69"/>
      <c r="FT912" s="45"/>
    </row>
    <row r="913" spans="5:176" x14ac:dyDescent="0.2">
      <c r="E913" s="69"/>
      <c r="FT913" s="45"/>
    </row>
    <row r="914" spans="5:176" x14ac:dyDescent="0.2">
      <c r="E914" s="69"/>
      <c r="FT914" s="45"/>
    </row>
    <row r="915" spans="5:176" x14ac:dyDescent="0.2">
      <c r="E915" s="69"/>
      <c r="FT915" s="45"/>
    </row>
    <row r="916" spans="5:176" x14ac:dyDescent="0.2">
      <c r="E916" s="69"/>
      <c r="FT916" s="45"/>
    </row>
    <row r="917" spans="5:176" x14ac:dyDescent="0.2">
      <c r="E917" s="69"/>
      <c r="FT917" s="45"/>
    </row>
    <row r="918" spans="5:176" x14ac:dyDescent="0.2">
      <c r="E918" s="69"/>
      <c r="FT918" s="45"/>
    </row>
    <row r="919" spans="5:176" x14ac:dyDescent="0.2">
      <c r="E919" s="69"/>
      <c r="FT919" s="45"/>
    </row>
    <row r="920" spans="5:176" x14ac:dyDescent="0.2">
      <c r="E920" s="69"/>
      <c r="FT920" s="45"/>
    </row>
    <row r="921" spans="5:176" x14ac:dyDescent="0.2">
      <c r="E921" s="69"/>
      <c r="FT921" s="45"/>
    </row>
    <row r="922" spans="5:176" x14ac:dyDescent="0.2">
      <c r="E922" s="69"/>
      <c r="FT922" s="45"/>
    </row>
    <row r="923" spans="5:176" x14ac:dyDescent="0.2">
      <c r="E923" s="69"/>
      <c r="FT923" s="45"/>
    </row>
    <row r="924" spans="5:176" x14ac:dyDescent="0.2">
      <c r="E924" s="69"/>
      <c r="FT924" s="45"/>
    </row>
    <row r="925" spans="5:176" x14ac:dyDescent="0.2">
      <c r="E925" s="69"/>
      <c r="FT925" s="45"/>
    </row>
    <row r="926" spans="5:176" x14ac:dyDescent="0.2">
      <c r="E926" s="69"/>
      <c r="FT926" s="45"/>
    </row>
    <row r="927" spans="5:176" x14ac:dyDescent="0.2">
      <c r="E927" s="69"/>
      <c r="FT927" s="45"/>
    </row>
    <row r="928" spans="5:176" x14ac:dyDescent="0.2">
      <c r="E928" s="69"/>
      <c r="FT928" s="45"/>
    </row>
    <row r="929" spans="5:176" x14ac:dyDescent="0.2">
      <c r="E929" s="69"/>
      <c r="FT929" s="45"/>
    </row>
    <row r="930" spans="5:176" x14ac:dyDescent="0.2">
      <c r="E930" s="69"/>
      <c r="FT930" s="45"/>
    </row>
    <row r="931" spans="5:176" x14ac:dyDescent="0.2">
      <c r="E931" s="69"/>
      <c r="FT931" s="45"/>
    </row>
    <row r="932" spans="5:176" x14ac:dyDescent="0.2">
      <c r="E932" s="69"/>
      <c r="FT932" s="45"/>
    </row>
    <row r="933" spans="5:176" x14ac:dyDescent="0.2">
      <c r="E933" s="69"/>
      <c r="FT933" s="45"/>
    </row>
    <row r="934" spans="5:176" x14ac:dyDescent="0.2">
      <c r="E934" s="69"/>
      <c r="FT934" s="45"/>
    </row>
    <row r="935" spans="5:176" x14ac:dyDescent="0.2">
      <c r="E935" s="69"/>
      <c r="FT935" s="45"/>
    </row>
    <row r="936" spans="5:176" x14ac:dyDescent="0.2">
      <c r="E936" s="69"/>
      <c r="FT936" s="45"/>
    </row>
    <row r="937" spans="5:176" x14ac:dyDescent="0.2">
      <c r="E937" s="69"/>
      <c r="FT937" s="45"/>
    </row>
    <row r="938" spans="5:176" x14ac:dyDescent="0.2">
      <c r="E938" s="69"/>
      <c r="FT938" s="45"/>
    </row>
    <row r="939" spans="5:176" x14ac:dyDescent="0.2">
      <c r="E939" s="69"/>
      <c r="FT939" s="45"/>
    </row>
    <row r="940" spans="5:176" x14ac:dyDescent="0.2">
      <c r="E940" s="69"/>
      <c r="FT940" s="45"/>
    </row>
    <row r="941" spans="5:176" x14ac:dyDescent="0.2">
      <c r="E941" s="69"/>
      <c r="FT941" s="45"/>
    </row>
    <row r="942" spans="5:176" x14ac:dyDescent="0.2">
      <c r="E942" s="69"/>
      <c r="FT942" s="45"/>
    </row>
    <row r="943" spans="5:176" x14ac:dyDescent="0.2">
      <c r="E943" s="69"/>
      <c r="FT943" s="45"/>
    </row>
    <row r="944" spans="5:176" x14ac:dyDescent="0.2">
      <c r="E944" s="69"/>
      <c r="FT944" s="45"/>
    </row>
    <row r="945" spans="5:176" x14ac:dyDescent="0.2">
      <c r="E945" s="69"/>
      <c r="FT945" s="45"/>
    </row>
    <row r="946" spans="5:176" x14ac:dyDescent="0.2">
      <c r="E946" s="69"/>
      <c r="FT946" s="45"/>
    </row>
    <row r="947" spans="5:176" x14ac:dyDescent="0.2">
      <c r="E947" s="69"/>
      <c r="FT947" s="45"/>
    </row>
    <row r="948" spans="5:176" x14ac:dyDescent="0.2">
      <c r="E948" s="69"/>
      <c r="FT948" s="45"/>
    </row>
    <row r="949" spans="5:176" x14ac:dyDescent="0.2">
      <c r="E949" s="69"/>
      <c r="FT949" s="45"/>
    </row>
    <row r="950" spans="5:176" x14ac:dyDescent="0.2">
      <c r="E950" s="69"/>
      <c r="FT950" s="45"/>
    </row>
    <row r="951" spans="5:176" x14ac:dyDescent="0.2">
      <c r="E951" s="69"/>
      <c r="FT951" s="45"/>
    </row>
    <row r="952" spans="5:176" x14ac:dyDescent="0.2">
      <c r="E952" s="69"/>
      <c r="FT952" s="45"/>
    </row>
    <row r="953" spans="5:176" x14ac:dyDescent="0.2">
      <c r="E953" s="69"/>
      <c r="FT953" s="45"/>
    </row>
    <row r="954" spans="5:176" x14ac:dyDescent="0.2">
      <c r="E954" s="69"/>
      <c r="FT954" s="45"/>
    </row>
    <row r="955" spans="5:176" x14ac:dyDescent="0.2">
      <c r="E955" s="69"/>
      <c r="FT955" s="45"/>
    </row>
    <row r="956" spans="5:176" x14ac:dyDescent="0.2">
      <c r="E956" s="69"/>
      <c r="FT956" s="45"/>
    </row>
    <row r="957" spans="5:176" x14ac:dyDescent="0.2">
      <c r="E957" s="69"/>
      <c r="FT957" s="45"/>
    </row>
    <row r="958" spans="5:176" x14ac:dyDescent="0.2">
      <c r="E958" s="69"/>
      <c r="FT958" s="45"/>
    </row>
    <row r="959" spans="5:176" x14ac:dyDescent="0.2">
      <c r="E959" s="69"/>
      <c r="FT959" s="45"/>
    </row>
    <row r="960" spans="5:176" x14ac:dyDescent="0.2">
      <c r="E960" s="69"/>
      <c r="FT960" s="45"/>
    </row>
    <row r="961" spans="5:176" x14ac:dyDescent="0.2">
      <c r="E961" s="69"/>
      <c r="FT961" s="45"/>
    </row>
    <row r="962" spans="5:176" x14ac:dyDescent="0.2">
      <c r="E962" s="69"/>
      <c r="FT962" s="45"/>
    </row>
    <row r="963" spans="5:176" x14ac:dyDescent="0.2">
      <c r="E963" s="69"/>
      <c r="FT963" s="45"/>
    </row>
    <row r="964" spans="5:176" x14ac:dyDescent="0.2">
      <c r="E964" s="69"/>
      <c r="FT964" s="45"/>
    </row>
    <row r="965" spans="5:176" x14ac:dyDescent="0.2">
      <c r="E965" s="69"/>
      <c r="FT965" s="45"/>
    </row>
    <row r="966" spans="5:176" x14ac:dyDescent="0.2">
      <c r="E966" s="69"/>
      <c r="FT966" s="45"/>
    </row>
    <row r="967" spans="5:176" x14ac:dyDescent="0.2">
      <c r="E967" s="69"/>
      <c r="FT967" s="45"/>
    </row>
    <row r="968" spans="5:176" x14ac:dyDescent="0.2">
      <c r="E968" s="69"/>
      <c r="FT968" s="45"/>
    </row>
    <row r="969" spans="5:176" x14ac:dyDescent="0.2">
      <c r="E969" s="69"/>
      <c r="FT969" s="45"/>
    </row>
    <row r="970" spans="5:176" x14ac:dyDescent="0.2">
      <c r="E970" s="69"/>
      <c r="FT970" s="45"/>
    </row>
    <row r="971" spans="5:176" x14ac:dyDescent="0.2">
      <c r="E971" s="69"/>
      <c r="FT971" s="45"/>
    </row>
    <row r="972" spans="5:176" x14ac:dyDescent="0.2">
      <c r="E972" s="69"/>
      <c r="FT972" s="45"/>
    </row>
    <row r="973" spans="5:176" x14ac:dyDescent="0.2">
      <c r="E973" s="69"/>
      <c r="FT973" s="45"/>
    </row>
    <row r="974" spans="5:176" x14ac:dyDescent="0.2">
      <c r="E974" s="69"/>
      <c r="FT974" s="45"/>
    </row>
    <row r="975" spans="5:176" x14ac:dyDescent="0.2">
      <c r="E975" s="69"/>
      <c r="FT975" s="45"/>
    </row>
    <row r="976" spans="5:176" x14ac:dyDescent="0.2">
      <c r="E976" s="69"/>
      <c r="FT976" s="45"/>
    </row>
    <row r="977" spans="5:176" x14ac:dyDescent="0.2">
      <c r="E977" s="69"/>
      <c r="FT977" s="45"/>
    </row>
    <row r="978" spans="5:176" x14ac:dyDescent="0.2">
      <c r="E978" s="69"/>
      <c r="FT978" s="45"/>
    </row>
    <row r="979" spans="5:176" x14ac:dyDescent="0.2">
      <c r="E979" s="69"/>
      <c r="FT979" s="45"/>
    </row>
    <row r="980" spans="5:176" x14ac:dyDescent="0.2">
      <c r="E980" s="69"/>
      <c r="FT980" s="45"/>
    </row>
    <row r="981" spans="5:176" x14ac:dyDescent="0.2">
      <c r="E981" s="69"/>
      <c r="FT981" s="45"/>
    </row>
    <row r="982" spans="5:176" x14ac:dyDescent="0.2">
      <c r="E982" s="69"/>
      <c r="FT982" s="45"/>
    </row>
    <row r="983" spans="5:176" x14ac:dyDescent="0.2">
      <c r="E983" s="69"/>
      <c r="FT983" s="45"/>
    </row>
    <row r="984" spans="5:176" x14ac:dyDescent="0.2">
      <c r="E984" s="69"/>
      <c r="FT984" s="45"/>
    </row>
    <row r="985" spans="5:176" x14ac:dyDescent="0.2">
      <c r="E985" s="69"/>
      <c r="FT985" s="45"/>
    </row>
    <row r="986" spans="5:176" x14ac:dyDescent="0.2">
      <c r="E986" s="69"/>
      <c r="FT986" s="45"/>
    </row>
    <row r="987" spans="5:176" x14ac:dyDescent="0.2">
      <c r="E987" s="69"/>
      <c r="FT987" s="45"/>
    </row>
    <row r="988" spans="5:176" x14ac:dyDescent="0.2">
      <c r="E988" s="69"/>
      <c r="FT988" s="45"/>
    </row>
    <row r="989" spans="5:176" x14ac:dyDescent="0.2">
      <c r="E989" s="69"/>
      <c r="FT989" s="45"/>
    </row>
    <row r="990" spans="5:176" x14ac:dyDescent="0.2">
      <c r="E990" s="69"/>
      <c r="FT990" s="45"/>
    </row>
    <row r="991" spans="5:176" x14ac:dyDescent="0.2">
      <c r="E991" s="69"/>
      <c r="FT991" s="45"/>
    </row>
    <row r="992" spans="5:176" x14ac:dyDescent="0.2">
      <c r="E992" s="69"/>
      <c r="FT992" s="45"/>
    </row>
    <row r="993" spans="5:176" x14ac:dyDescent="0.2">
      <c r="E993" s="69"/>
      <c r="FT993" s="45"/>
    </row>
    <row r="994" spans="5:176" x14ac:dyDescent="0.2">
      <c r="E994" s="69"/>
      <c r="FT994" s="45"/>
    </row>
    <row r="995" spans="5:176" x14ac:dyDescent="0.2">
      <c r="E995" s="69"/>
      <c r="FT995" s="45"/>
    </row>
    <row r="996" spans="5:176" x14ac:dyDescent="0.2">
      <c r="E996" s="69"/>
      <c r="FT996" s="45"/>
    </row>
    <row r="997" spans="5:176" x14ac:dyDescent="0.2">
      <c r="E997" s="69"/>
      <c r="FT997" s="45"/>
    </row>
    <row r="998" spans="5:176" x14ac:dyDescent="0.2">
      <c r="E998" s="69"/>
      <c r="FT998" s="45"/>
    </row>
    <row r="999" spans="5:176" x14ac:dyDescent="0.2">
      <c r="E999" s="69"/>
      <c r="FT999" s="45"/>
    </row>
    <row r="1000" spans="5:176" x14ac:dyDescent="0.2">
      <c r="E1000" s="69"/>
      <c r="FT1000" s="45"/>
    </row>
    <row r="1001" spans="5:176" x14ac:dyDescent="0.2">
      <c r="E1001" s="69"/>
      <c r="FT1001" s="45"/>
    </row>
    <row r="1002" spans="5:176" x14ac:dyDescent="0.2">
      <c r="E1002" s="69"/>
      <c r="FT1002" s="45"/>
    </row>
    <row r="1003" spans="5:176" x14ac:dyDescent="0.2">
      <c r="E1003" s="69"/>
      <c r="FT1003" s="45"/>
    </row>
    <row r="1004" spans="5:176" x14ac:dyDescent="0.2">
      <c r="E1004" s="69"/>
      <c r="FT1004" s="45"/>
    </row>
    <row r="1005" spans="5:176" x14ac:dyDescent="0.2">
      <c r="E1005" s="69"/>
      <c r="FT1005" s="45"/>
    </row>
    <row r="1006" spans="5:176" x14ac:dyDescent="0.2">
      <c r="E1006" s="69"/>
      <c r="FT1006" s="45"/>
    </row>
    <row r="1007" spans="5:176" x14ac:dyDescent="0.2">
      <c r="E1007" s="69"/>
      <c r="FT1007" s="45"/>
    </row>
    <row r="1008" spans="5:176" x14ac:dyDescent="0.2">
      <c r="E1008" s="69"/>
      <c r="FT1008" s="45"/>
    </row>
    <row r="1009" spans="5:176" x14ac:dyDescent="0.2">
      <c r="E1009" s="69"/>
      <c r="FT1009" s="45"/>
    </row>
    <row r="1010" spans="5:176" x14ac:dyDescent="0.2">
      <c r="E1010" s="69"/>
      <c r="FT1010" s="45"/>
    </row>
    <row r="1011" spans="5:176" x14ac:dyDescent="0.2">
      <c r="E1011" s="69"/>
      <c r="FT1011" s="45"/>
    </row>
    <row r="1012" spans="5:176" x14ac:dyDescent="0.2">
      <c r="E1012" s="69"/>
      <c r="FT1012" s="45"/>
    </row>
    <row r="1013" spans="5:176" x14ac:dyDescent="0.2">
      <c r="E1013" s="69"/>
      <c r="FT1013" s="45"/>
    </row>
    <row r="1014" spans="5:176" x14ac:dyDescent="0.2">
      <c r="E1014" s="69"/>
      <c r="FT1014" s="45"/>
    </row>
    <row r="1015" spans="5:176" x14ac:dyDescent="0.2">
      <c r="E1015" s="69"/>
      <c r="FT1015" s="45"/>
    </row>
    <row r="1016" spans="5:176" x14ac:dyDescent="0.2">
      <c r="E1016" s="69"/>
      <c r="FT1016" s="45"/>
    </row>
    <row r="1017" spans="5:176" x14ac:dyDescent="0.2">
      <c r="E1017" s="69"/>
      <c r="FT1017" s="45"/>
    </row>
    <row r="1018" spans="5:176" x14ac:dyDescent="0.2">
      <c r="E1018" s="69"/>
      <c r="FT1018" s="45"/>
    </row>
    <row r="1019" spans="5:176" x14ac:dyDescent="0.2">
      <c r="E1019" s="69"/>
      <c r="FT1019" s="45"/>
    </row>
    <row r="1020" spans="5:176" x14ac:dyDescent="0.2">
      <c r="E1020" s="69"/>
      <c r="FT1020" s="45"/>
    </row>
    <row r="1021" spans="5:176" x14ac:dyDescent="0.2">
      <c r="E1021" s="69"/>
      <c r="FT1021" s="45"/>
    </row>
    <row r="1022" spans="5:176" x14ac:dyDescent="0.2">
      <c r="E1022" s="69"/>
      <c r="FT1022" s="45"/>
    </row>
    <row r="1023" spans="5:176" x14ac:dyDescent="0.2">
      <c r="E1023" s="69"/>
      <c r="FT1023" s="45"/>
    </row>
    <row r="1024" spans="5:176" x14ac:dyDescent="0.2">
      <c r="E1024" s="69"/>
      <c r="FT1024" s="45"/>
    </row>
    <row r="1025" spans="5:176" x14ac:dyDescent="0.2">
      <c r="E1025" s="69"/>
      <c r="FT1025" s="45"/>
    </row>
    <row r="1026" spans="5:176" x14ac:dyDescent="0.2">
      <c r="E1026" s="69"/>
      <c r="FT1026" s="45"/>
    </row>
    <row r="1027" spans="5:176" x14ac:dyDescent="0.2">
      <c r="E1027" s="69"/>
      <c r="FT1027" s="45"/>
    </row>
    <row r="1028" spans="5:176" x14ac:dyDescent="0.2">
      <c r="E1028" s="69"/>
      <c r="FT1028" s="45"/>
    </row>
    <row r="1029" spans="5:176" x14ac:dyDescent="0.2">
      <c r="E1029" s="69"/>
      <c r="FT1029" s="45"/>
    </row>
    <row r="1030" spans="5:176" x14ac:dyDescent="0.2">
      <c r="E1030" s="69"/>
      <c r="FT1030" s="45"/>
    </row>
    <row r="1031" spans="5:176" x14ac:dyDescent="0.2">
      <c r="E1031" s="69"/>
      <c r="FT1031" s="45"/>
    </row>
    <row r="1032" spans="5:176" x14ac:dyDescent="0.2">
      <c r="E1032" s="69"/>
      <c r="FT1032" s="45"/>
    </row>
    <row r="1033" spans="5:176" x14ac:dyDescent="0.2">
      <c r="E1033" s="69"/>
      <c r="FT1033" s="45"/>
    </row>
    <row r="1034" spans="5:176" x14ac:dyDescent="0.2">
      <c r="E1034" s="69"/>
      <c r="FT1034" s="45"/>
    </row>
    <row r="1035" spans="5:176" x14ac:dyDescent="0.2">
      <c r="E1035" s="69"/>
      <c r="FT1035" s="45"/>
    </row>
    <row r="1036" spans="5:176" x14ac:dyDescent="0.2">
      <c r="E1036" s="69"/>
      <c r="FT1036" s="45"/>
    </row>
    <row r="1037" spans="5:176" x14ac:dyDescent="0.2">
      <c r="E1037" s="69"/>
      <c r="FT1037" s="45"/>
    </row>
    <row r="1038" spans="5:176" x14ac:dyDescent="0.2">
      <c r="E1038" s="69"/>
      <c r="FT1038" s="45"/>
    </row>
    <row r="1039" spans="5:176" x14ac:dyDescent="0.2">
      <c r="E1039" s="69"/>
      <c r="FT1039" s="45"/>
    </row>
    <row r="1040" spans="5:176" x14ac:dyDescent="0.2">
      <c r="E1040" s="69"/>
      <c r="FT1040" s="45"/>
    </row>
    <row r="1041" spans="5:176" x14ac:dyDescent="0.2">
      <c r="E1041" s="69"/>
      <c r="FT1041" s="45"/>
    </row>
    <row r="1042" spans="5:176" x14ac:dyDescent="0.2">
      <c r="E1042" s="69"/>
      <c r="FT1042" s="45"/>
    </row>
    <row r="1043" spans="5:176" x14ac:dyDescent="0.2">
      <c r="E1043" s="69"/>
      <c r="FT1043" s="45"/>
    </row>
    <row r="1044" spans="5:176" x14ac:dyDescent="0.2">
      <c r="E1044" s="69"/>
      <c r="FT1044" s="45"/>
    </row>
    <row r="1045" spans="5:176" x14ac:dyDescent="0.2">
      <c r="E1045" s="69"/>
      <c r="FT1045" s="45"/>
    </row>
    <row r="1046" spans="5:176" x14ac:dyDescent="0.2">
      <c r="E1046" s="69"/>
      <c r="FT1046" s="45"/>
    </row>
    <row r="1047" spans="5:176" x14ac:dyDescent="0.2">
      <c r="E1047" s="69"/>
      <c r="FT1047" s="45"/>
    </row>
    <row r="1048" spans="5:176" x14ac:dyDescent="0.2">
      <c r="E1048" s="69"/>
      <c r="FT1048" s="45"/>
    </row>
    <row r="1049" spans="5:176" x14ac:dyDescent="0.2">
      <c r="E1049" s="69"/>
      <c r="FT1049" s="45"/>
    </row>
    <row r="1050" spans="5:176" x14ac:dyDescent="0.2">
      <c r="E1050" s="69"/>
      <c r="FT1050" s="45"/>
    </row>
    <row r="1051" spans="5:176" x14ac:dyDescent="0.2">
      <c r="E1051" s="69"/>
      <c r="FT1051" s="45"/>
    </row>
    <row r="1052" spans="5:176" x14ac:dyDescent="0.2">
      <c r="E1052" s="69"/>
      <c r="FT1052" s="45"/>
    </row>
    <row r="1053" spans="5:176" x14ac:dyDescent="0.2">
      <c r="E1053" s="69"/>
      <c r="FT1053" s="45"/>
    </row>
    <row r="1054" spans="5:176" x14ac:dyDescent="0.2">
      <c r="E1054" s="69"/>
      <c r="FT1054" s="45"/>
    </row>
    <row r="1055" spans="5:176" x14ac:dyDescent="0.2">
      <c r="E1055" s="69"/>
      <c r="FT1055" s="45"/>
    </row>
    <row r="1056" spans="5:176" x14ac:dyDescent="0.2">
      <c r="E1056" s="69"/>
      <c r="FT1056" s="45"/>
    </row>
    <row r="1057" spans="5:176" x14ac:dyDescent="0.2">
      <c r="E1057" s="69"/>
      <c r="FT1057" s="45"/>
    </row>
    <row r="1058" spans="5:176" x14ac:dyDescent="0.2">
      <c r="E1058" s="69"/>
      <c r="FT1058" s="45"/>
    </row>
    <row r="1059" spans="5:176" x14ac:dyDescent="0.2">
      <c r="E1059" s="69"/>
      <c r="FT1059" s="45"/>
    </row>
    <row r="1060" spans="5:176" x14ac:dyDescent="0.2">
      <c r="E1060" s="69"/>
      <c r="FT1060" s="45"/>
    </row>
    <row r="1061" spans="5:176" x14ac:dyDescent="0.2">
      <c r="E1061" s="69"/>
      <c r="FT1061" s="45"/>
    </row>
    <row r="1062" spans="5:176" x14ac:dyDescent="0.2">
      <c r="E1062" s="69"/>
      <c r="FT1062" s="45"/>
    </row>
    <row r="1063" spans="5:176" x14ac:dyDescent="0.2">
      <c r="E1063" s="69"/>
      <c r="FT1063" s="45"/>
    </row>
    <row r="1064" spans="5:176" x14ac:dyDescent="0.2">
      <c r="E1064" s="69"/>
      <c r="FT1064" s="45"/>
    </row>
    <row r="1065" spans="5:176" x14ac:dyDescent="0.2">
      <c r="E1065" s="69"/>
      <c r="FT1065" s="45"/>
    </row>
    <row r="1066" spans="5:176" x14ac:dyDescent="0.2">
      <c r="E1066" s="69"/>
      <c r="FT1066" s="45"/>
    </row>
    <row r="1067" spans="5:176" x14ac:dyDescent="0.2">
      <c r="E1067" s="69"/>
      <c r="FT1067" s="45"/>
    </row>
    <row r="1068" spans="5:176" x14ac:dyDescent="0.2">
      <c r="E1068" s="69"/>
      <c r="FT1068" s="45"/>
    </row>
    <row r="1069" spans="5:176" x14ac:dyDescent="0.2">
      <c r="E1069" s="69"/>
      <c r="FT1069" s="45"/>
    </row>
    <row r="1070" spans="5:176" x14ac:dyDescent="0.2">
      <c r="E1070" s="69"/>
      <c r="FT1070" s="45"/>
    </row>
    <row r="1071" spans="5:176" x14ac:dyDescent="0.2">
      <c r="E1071" s="69"/>
      <c r="FT1071" s="45"/>
    </row>
    <row r="1072" spans="5:176" x14ac:dyDescent="0.2">
      <c r="E1072" s="69"/>
      <c r="FT1072" s="45"/>
    </row>
    <row r="1073" spans="5:176" x14ac:dyDescent="0.2">
      <c r="E1073" s="69"/>
      <c r="FT1073" s="45"/>
    </row>
    <row r="1074" spans="5:176" x14ac:dyDescent="0.2">
      <c r="E1074" s="69"/>
      <c r="FT1074" s="45"/>
    </row>
    <row r="1075" spans="5:176" x14ac:dyDescent="0.2">
      <c r="E1075" s="69"/>
      <c r="FT1075" s="45"/>
    </row>
    <row r="1076" spans="5:176" x14ac:dyDescent="0.2">
      <c r="E1076" s="69"/>
      <c r="FT1076" s="45"/>
    </row>
    <row r="1077" spans="5:176" x14ac:dyDescent="0.2">
      <c r="E1077" s="69"/>
      <c r="FT1077" s="45"/>
    </row>
    <row r="1078" spans="5:176" x14ac:dyDescent="0.2">
      <c r="E1078" s="69"/>
      <c r="FT1078" s="45"/>
    </row>
    <row r="1079" spans="5:176" x14ac:dyDescent="0.2">
      <c r="E1079" s="69"/>
      <c r="FT1079" s="45"/>
    </row>
    <row r="1080" spans="5:176" x14ac:dyDescent="0.2">
      <c r="E1080" s="69"/>
      <c r="FT1080" s="45"/>
    </row>
    <row r="1081" spans="5:176" x14ac:dyDescent="0.2">
      <c r="E1081" s="69"/>
      <c r="FT1081" s="45"/>
    </row>
    <row r="1082" spans="5:176" x14ac:dyDescent="0.2">
      <c r="E1082" s="69"/>
      <c r="FT1082" s="45"/>
    </row>
    <row r="1083" spans="5:176" x14ac:dyDescent="0.2">
      <c r="E1083" s="69"/>
      <c r="FT1083" s="45"/>
    </row>
    <row r="1084" spans="5:176" x14ac:dyDescent="0.2">
      <c r="E1084" s="69"/>
      <c r="FT1084" s="45"/>
    </row>
    <row r="1085" spans="5:176" x14ac:dyDescent="0.2">
      <c r="E1085" s="69"/>
      <c r="FT1085" s="45"/>
    </row>
    <row r="1086" spans="5:176" x14ac:dyDescent="0.2">
      <c r="E1086" s="69"/>
      <c r="FT1086" s="45"/>
    </row>
    <row r="1087" spans="5:176" x14ac:dyDescent="0.2">
      <c r="E1087" s="69"/>
      <c r="FT1087" s="45"/>
    </row>
    <row r="1088" spans="5:176" x14ac:dyDescent="0.2">
      <c r="E1088" s="69"/>
      <c r="FT1088" s="45"/>
    </row>
    <row r="1089" spans="5:176" x14ac:dyDescent="0.2">
      <c r="E1089" s="69"/>
      <c r="FT1089" s="45"/>
    </row>
    <row r="1090" spans="5:176" x14ac:dyDescent="0.2">
      <c r="E1090" s="69"/>
      <c r="FT1090" s="45"/>
    </row>
    <row r="1091" spans="5:176" x14ac:dyDescent="0.2">
      <c r="E1091" s="69"/>
      <c r="FT1091" s="45"/>
    </row>
    <row r="1092" spans="5:176" x14ac:dyDescent="0.2">
      <c r="E1092" s="69"/>
      <c r="FT1092" s="45"/>
    </row>
    <row r="1093" spans="5:176" x14ac:dyDescent="0.2">
      <c r="E1093" s="69"/>
      <c r="FT1093" s="45"/>
    </row>
    <row r="1094" spans="5:176" x14ac:dyDescent="0.2">
      <c r="E1094" s="69"/>
      <c r="FT1094" s="45"/>
    </row>
    <row r="1095" spans="5:176" x14ac:dyDescent="0.2">
      <c r="E1095" s="69"/>
      <c r="FT1095" s="45"/>
    </row>
    <row r="1096" spans="5:176" x14ac:dyDescent="0.2">
      <c r="E1096" s="69"/>
      <c r="FT1096" s="45"/>
    </row>
    <row r="1097" spans="5:176" x14ac:dyDescent="0.2">
      <c r="E1097" s="69"/>
      <c r="FT1097" s="45"/>
    </row>
    <row r="1098" spans="5:176" x14ac:dyDescent="0.2">
      <c r="E1098" s="69"/>
      <c r="FT1098" s="45"/>
    </row>
    <row r="1099" spans="5:176" x14ac:dyDescent="0.2">
      <c r="E1099" s="69"/>
      <c r="FT1099" s="45"/>
    </row>
    <row r="1100" spans="5:176" x14ac:dyDescent="0.2">
      <c r="E1100" s="69"/>
      <c r="FT1100" s="45"/>
    </row>
    <row r="1101" spans="5:176" x14ac:dyDescent="0.2">
      <c r="E1101" s="69"/>
      <c r="FT1101" s="45"/>
    </row>
    <row r="1102" spans="5:176" x14ac:dyDescent="0.2">
      <c r="E1102" s="69"/>
      <c r="FT1102" s="45"/>
    </row>
    <row r="1103" spans="5:176" x14ac:dyDescent="0.2">
      <c r="E1103" s="69"/>
      <c r="FT1103" s="45"/>
    </row>
    <row r="1104" spans="5:176" x14ac:dyDescent="0.2">
      <c r="E1104" s="69"/>
      <c r="FT1104" s="45"/>
    </row>
    <row r="1105" spans="5:176" x14ac:dyDescent="0.2">
      <c r="E1105" s="69"/>
      <c r="FT1105" s="45"/>
    </row>
    <row r="1106" spans="5:176" x14ac:dyDescent="0.2">
      <c r="E1106" s="69"/>
      <c r="FT1106" s="45"/>
    </row>
    <row r="1107" spans="5:176" x14ac:dyDescent="0.2">
      <c r="E1107" s="69"/>
      <c r="FT1107" s="45"/>
    </row>
    <row r="1108" spans="5:176" x14ac:dyDescent="0.2">
      <c r="E1108" s="69"/>
      <c r="FT1108" s="45"/>
    </row>
    <row r="1109" spans="5:176" x14ac:dyDescent="0.2">
      <c r="E1109" s="69"/>
      <c r="FT1109" s="45"/>
    </row>
    <row r="1110" spans="5:176" x14ac:dyDescent="0.2">
      <c r="E1110" s="69"/>
      <c r="FT1110" s="45"/>
    </row>
    <row r="1111" spans="5:176" x14ac:dyDescent="0.2">
      <c r="E1111" s="69"/>
      <c r="FT1111" s="45"/>
    </row>
    <row r="1112" spans="5:176" x14ac:dyDescent="0.2">
      <c r="E1112" s="69"/>
      <c r="FT1112" s="45"/>
    </row>
    <row r="1113" spans="5:176" x14ac:dyDescent="0.2">
      <c r="E1113" s="69"/>
      <c r="FT1113" s="45"/>
    </row>
    <row r="1114" spans="5:176" x14ac:dyDescent="0.2">
      <c r="E1114" s="69"/>
      <c r="FT1114" s="45"/>
    </row>
    <row r="1115" spans="5:176" x14ac:dyDescent="0.2">
      <c r="E1115" s="69"/>
      <c r="FT1115" s="45"/>
    </row>
    <row r="1116" spans="5:176" x14ac:dyDescent="0.2">
      <c r="E1116" s="69"/>
      <c r="FT1116" s="45"/>
    </row>
    <row r="1117" spans="5:176" x14ac:dyDescent="0.2">
      <c r="E1117" s="69"/>
      <c r="FT1117" s="45"/>
    </row>
    <row r="1118" spans="5:176" x14ac:dyDescent="0.2">
      <c r="E1118" s="69"/>
      <c r="FT1118" s="45"/>
    </row>
    <row r="1119" spans="5:176" x14ac:dyDescent="0.2">
      <c r="E1119" s="69"/>
      <c r="FT1119" s="45"/>
    </row>
    <row r="1120" spans="5:176" x14ac:dyDescent="0.2">
      <c r="E1120" s="69"/>
      <c r="FT1120" s="45"/>
    </row>
    <row r="1121" spans="5:176" x14ac:dyDescent="0.2">
      <c r="E1121" s="69"/>
      <c r="FT1121" s="45"/>
    </row>
    <row r="1122" spans="5:176" x14ac:dyDescent="0.2">
      <c r="E1122" s="69"/>
      <c r="FT1122" s="45"/>
    </row>
    <row r="1123" spans="5:176" x14ac:dyDescent="0.2">
      <c r="E1123" s="69"/>
      <c r="FT1123" s="45"/>
    </row>
    <row r="1124" spans="5:176" x14ac:dyDescent="0.2">
      <c r="E1124" s="69"/>
      <c r="FT1124" s="45"/>
    </row>
    <row r="1125" spans="5:176" x14ac:dyDescent="0.2">
      <c r="E1125" s="69"/>
      <c r="FT1125" s="45"/>
    </row>
    <row r="1126" spans="5:176" x14ac:dyDescent="0.2">
      <c r="E1126" s="69"/>
      <c r="FT1126" s="45"/>
    </row>
    <row r="1127" spans="5:176" x14ac:dyDescent="0.2">
      <c r="E1127" s="69"/>
      <c r="FT1127" s="45"/>
    </row>
    <row r="1128" spans="5:176" x14ac:dyDescent="0.2">
      <c r="E1128" s="69"/>
      <c r="FT1128" s="45"/>
    </row>
    <row r="1129" spans="5:176" x14ac:dyDescent="0.2">
      <c r="E1129" s="69"/>
      <c r="FT1129" s="45"/>
    </row>
    <row r="1130" spans="5:176" x14ac:dyDescent="0.2">
      <c r="E1130" s="69"/>
      <c r="FT1130" s="45"/>
    </row>
    <row r="1131" spans="5:176" x14ac:dyDescent="0.2">
      <c r="E1131" s="69"/>
      <c r="FT1131" s="45"/>
    </row>
    <row r="1132" spans="5:176" x14ac:dyDescent="0.2">
      <c r="E1132" s="69"/>
      <c r="FT1132" s="45"/>
    </row>
    <row r="1133" spans="5:176" x14ac:dyDescent="0.2">
      <c r="E1133" s="69"/>
      <c r="FT1133" s="45"/>
    </row>
    <row r="1134" spans="5:176" x14ac:dyDescent="0.2">
      <c r="E1134" s="69"/>
      <c r="FT1134" s="45"/>
    </row>
    <row r="1135" spans="5:176" x14ac:dyDescent="0.2">
      <c r="E1135" s="69"/>
      <c r="FT1135" s="45"/>
    </row>
    <row r="1136" spans="5:176" x14ac:dyDescent="0.2">
      <c r="E1136" s="69"/>
      <c r="FT1136" s="45"/>
    </row>
    <row r="1137" spans="5:176" x14ac:dyDescent="0.2">
      <c r="E1137" s="69"/>
      <c r="FT1137" s="45"/>
    </row>
    <row r="1138" spans="5:176" x14ac:dyDescent="0.2">
      <c r="E1138" s="69"/>
      <c r="FT1138" s="45"/>
    </row>
    <row r="1139" spans="5:176" x14ac:dyDescent="0.2">
      <c r="E1139" s="69"/>
      <c r="FT1139" s="45"/>
    </row>
    <row r="1140" spans="5:176" x14ac:dyDescent="0.2">
      <c r="E1140" s="69"/>
      <c r="FT1140" s="45"/>
    </row>
    <row r="1141" spans="5:176" x14ac:dyDescent="0.2">
      <c r="E1141" s="69"/>
      <c r="FT1141" s="45"/>
    </row>
    <row r="1142" spans="5:176" x14ac:dyDescent="0.2">
      <c r="E1142" s="69"/>
      <c r="FT1142" s="45"/>
    </row>
    <row r="1143" spans="5:176" x14ac:dyDescent="0.2">
      <c r="E1143" s="69"/>
      <c r="FT1143" s="45"/>
    </row>
    <row r="1144" spans="5:176" x14ac:dyDescent="0.2">
      <c r="E1144" s="69"/>
      <c r="FT1144" s="45"/>
    </row>
    <row r="1145" spans="5:176" x14ac:dyDescent="0.2">
      <c r="E1145" s="69"/>
      <c r="FT1145" s="45"/>
    </row>
    <row r="1146" spans="5:176" x14ac:dyDescent="0.2">
      <c r="E1146" s="69"/>
      <c r="FT1146" s="45"/>
    </row>
    <row r="1147" spans="5:176" x14ac:dyDescent="0.2">
      <c r="E1147" s="69"/>
      <c r="FT1147" s="45"/>
    </row>
    <row r="1148" spans="5:176" x14ac:dyDescent="0.2">
      <c r="E1148" s="69"/>
      <c r="FT1148" s="45"/>
    </row>
    <row r="1149" spans="5:176" x14ac:dyDescent="0.2">
      <c r="E1149" s="69"/>
      <c r="FT1149" s="45"/>
    </row>
    <row r="1150" spans="5:176" x14ac:dyDescent="0.2">
      <c r="E1150" s="69"/>
      <c r="FT1150" s="45"/>
    </row>
    <row r="1151" spans="5:176" x14ac:dyDescent="0.2">
      <c r="E1151" s="69"/>
      <c r="FT1151" s="45"/>
    </row>
    <row r="1152" spans="5:176" x14ac:dyDescent="0.2">
      <c r="E1152" s="69"/>
      <c r="FT1152" s="45"/>
    </row>
    <row r="1153" spans="5:176" x14ac:dyDescent="0.2">
      <c r="E1153" s="69"/>
      <c r="FT1153" s="45"/>
    </row>
    <row r="1154" spans="5:176" x14ac:dyDescent="0.2">
      <c r="E1154" s="69"/>
      <c r="FT1154" s="45"/>
    </row>
    <row r="1155" spans="5:176" x14ac:dyDescent="0.2">
      <c r="E1155" s="69"/>
      <c r="FT1155" s="45"/>
    </row>
    <row r="1156" spans="5:176" x14ac:dyDescent="0.2">
      <c r="E1156" s="69"/>
      <c r="FT1156" s="45"/>
    </row>
    <row r="1157" spans="5:176" x14ac:dyDescent="0.2">
      <c r="E1157" s="69"/>
      <c r="FT1157" s="45"/>
    </row>
    <row r="1158" spans="5:176" x14ac:dyDescent="0.2">
      <c r="E1158" s="69"/>
      <c r="FT1158" s="45"/>
    </row>
    <row r="1159" spans="5:176" x14ac:dyDescent="0.2">
      <c r="E1159" s="69"/>
      <c r="FT1159" s="45"/>
    </row>
    <row r="1160" spans="5:176" x14ac:dyDescent="0.2">
      <c r="E1160" s="69"/>
      <c r="FT1160" s="45"/>
    </row>
    <row r="1161" spans="5:176" x14ac:dyDescent="0.2">
      <c r="E1161" s="69"/>
      <c r="FT1161" s="45"/>
    </row>
    <row r="1162" spans="5:176" x14ac:dyDescent="0.2">
      <c r="E1162" s="69"/>
      <c r="FT1162" s="45"/>
    </row>
    <row r="1163" spans="5:176" x14ac:dyDescent="0.2">
      <c r="E1163" s="69"/>
      <c r="FT1163" s="45"/>
    </row>
    <row r="1164" spans="5:176" x14ac:dyDescent="0.2">
      <c r="E1164" s="69"/>
      <c r="FT1164" s="45"/>
    </row>
    <row r="1165" spans="5:176" x14ac:dyDescent="0.2">
      <c r="E1165" s="69"/>
      <c r="FT1165" s="45"/>
    </row>
    <row r="1166" spans="5:176" x14ac:dyDescent="0.2">
      <c r="E1166" s="69"/>
      <c r="FT1166" s="45"/>
    </row>
    <row r="1167" spans="5:176" x14ac:dyDescent="0.2">
      <c r="E1167" s="69"/>
      <c r="FT1167" s="45"/>
    </row>
    <row r="1168" spans="5:176" x14ac:dyDescent="0.2">
      <c r="E1168" s="69"/>
      <c r="FT1168" s="45"/>
    </row>
    <row r="1169" spans="5:176" x14ac:dyDescent="0.2">
      <c r="E1169" s="69"/>
      <c r="FT1169" s="45"/>
    </row>
    <row r="1170" spans="5:176" x14ac:dyDescent="0.2">
      <c r="E1170" s="69"/>
      <c r="FT1170" s="45"/>
    </row>
    <row r="1171" spans="5:176" x14ac:dyDescent="0.2">
      <c r="E1171" s="69"/>
      <c r="FT1171" s="45"/>
    </row>
    <row r="1172" spans="5:176" x14ac:dyDescent="0.2">
      <c r="E1172" s="69"/>
      <c r="FT1172" s="45"/>
    </row>
    <row r="1173" spans="5:176" x14ac:dyDescent="0.2">
      <c r="E1173" s="69"/>
      <c r="FT1173" s="45"/>
    </row>
    <row r="1174" spans="5:176" x14ac:dyDescent="0.2">
      <c r="E1174" s="69"/>
      <c r="FT1174" s="45"/>
    </row>
    <row r="1175" spans="5:176" x14ac:dyDescent="0.2">
      <c r="E1175" s="69"/>
      <c r="FT1175" s="45"/>
    </row>
    <row r="1176" spans="5:176" x14ac:dyDescent="0.2">
      <c r="E1176" s="69"/>
      <c r="FT1176" s="45"/>
    </row>
    <row r="1177" spans="5:176" x14ac:dyDescent="0.2">
      <c r="E1177" s="69"/>
      <c r="FT1177" s="45"/>
    </row>
    <row r="1178" spans="5:176" x14ac:dyDescent="0.2">
      <c r="E1178" s="69"/>
      <c r="FT1178" s="45"/>
    </row>
    <row r="1179" spans="5:176" x14ac:dyDescent="0.2">
      <c r="E1179" s="69"/>
      <c r="FT1179" s="45"/>
    </row>
    <row r="1180" spans="5:176" x14ac:dyDescent="0.2">
      <c r="E1180" s="69"/>
      <c r="FT1180" s="45"/>
    </row>
    <row r="1181" spans="5:176" x14ac:dyDescent="0.2">
      <c r="E1181" s="69"/>
      <c r="FT1181" s="45"/>
    </row>
    <row r="1182" spans="5:176" x14ac:dyDescent="0.2">
      <c r="E1182" s="69"/>
      <c r="FT1182" s="45"/>
    </row>
    <row r="1183" spans="5:176" x14ac:dyDescent="0.2">
      <c r="E1183" s="69"/>
      <c r="FT1183" s="45"/>
    </row>
    <row r="1184" spans="5:176" x14ac:dyDescent="0.2">
      <c r="E1184" s="69"/>
      <c r="FT1184" s="45"/>
    </row>
    <row r="1185" spans="5:176" x14ac:dyDescent="0.2">
      <c r="E1185" s="69"/>
      <c r="FT1185" s="45"/>
    </row>
    <row r="1186" spans="5:176" x14ac:dyDescent="0.2">
      <c r="E1186" s="69"/>
      <c r="FT1186" s="45"/>
    </row>
    <row r="1187" spans="5:176" x14ac:dyDescent="0.2">
      <c r="E1187" s="69"/>
      <c r="FT1187" s="45"/>
    </row>
    <row r="1188" spans="5:176" x14ac:dyDescent="0.2">
      <c r="E1188" s="69"/>
      <c r="FT1188" s="45"/>
    </row>
    <row r="1189" spans="5:176" x14ac:dyDescent="0.2">
      <c r="E1189" s="69"/>
      <c r="FT1189" s="45"/>
    </row>
    <row r="1190" spans="5:176" x14ac:dyDescent="0.2">
      <c r="E1190" s="69"/>
      <c r="FT1190" s="45"/>
    </row>
    <row r="1191" spans="5:176" x14ac:dyDescent="0.2">
      <c r="E1191" s="69"/>
      <c r="FT1191" s="45"/>
    </row>
    <row r="1192" spans="5:176" x14ac:dyDescent="0.2">
      <c r="E1192" s="69"/>
      <c r="FT1192" s="45"/>
    </row>
    <row r="1193" spans="5:176" x14ac:dyDescent="0.2">
      <c r="E1193" s="69"/>
      <c r="FT1193" s="45"/>
    </row>
    <row r="1194" spans="5:176" x14ac:dyDescent="0.2">
      <c r="E1194" s="69"/>
      <c r="FT1194" s="45"/>
    </row>
    <row r="1195" spans="5:176" x14ac:dyDescent="0.2">
      <c r="E1195" s="69"/>
      <c r="FT1195" s="45"/>
    </row>
    <row r="1196" spans="5:176" x14ac:dyDescent="0.2">
      <c r="E1196" s="69"/>
      <c r="FT1196" s="45"/>
    </row>
    <row r="1197" spans="5:176" x14ac:dyDescent="0.2">
      <c r="E1197" s="69"/>
      <c r="FT1197" s="45"/>
    </row>
    <row r="1198" spans="5:176" x14ac:dyDescent="0.2">
      <c r="E1198" s="69"/>
      <c r="FT1198" s="45"/>
    </row>
    <row r="1199" spans="5:176" x14ac:dyDescent="0.2">
      <c r="E1199" s="69"/>
      <c r="FT1199" s="45"/>
    </row>
    <row r="1200" spans="5:176" x14ac:dyDescent="0.2">
      <c r="E1200" s="69"/>
      <c r="FT1200" s="45"/>
    </row>
    <row r="1201" spans="5:176" x14ac:dyDescent="0.2">
      <c r="E1201" s="69"/>
      <c r="FT1201" s="45"/>
    </row>
    <row r="1202" spans="5:176" x14ac:dyDescent="0.2">
      <c r="E1202" s="69"/>
      <c r="FT1202" s="45"/>
    </row>
    <row r="1203" spans="5:176" x14ac:dyDescent="0.2">
      <c r="E1203" s="69"/>
      <c r="FT1203" s="45"/>
    </row>
    <row r="1204" spans="5:176" x14ac:dyDescent="0.2">
      <c r="E1204" s="69"/>
      <c r="FT1204" s="45"/>
    </row>
    <row r="1205" spans="5:176" x14ac:dyDescent="0.2">
      <c r="E1205" s="69"/>
      <c r="FT1205" s="45"/>
    </row>
    <row r="1206" spans="5:176" x14ac:dyDescent="0.2">
      <c r="E1206" s="69"/>
      <c r="FT1206" s="45"/>
    </row>
    <row r="1207" spans="5:176" x14ac:dyDescent="0.2">
      <c r="E1207" s="69"/>
      <c r="FT1207" s="45"/>
    </row>
    <row r="1208" spans="5:176" x14ac:dyDescent="0.2">
      <c r="E1208" s="69"/>
      <c r="FT1208" s="45"/>
    </row>
    <row r="1209" spans="5:176" x14ac:dyDescent="0.2">
      <c r="E1209" s="69"/>
      <c r="FT1209" s="45"/>
    </row>
    <row r="1210" spans="5:176" x14ac:dyDescent="0.2">
      <c r="E1210" s="69"/>
      <c r="FT1210" s="45"/>
    </row>
    <row r="1211" spans="5:176" x14ac:dyDescent="0.2">
      <c r="E1211" s="69"/>
      <c r="FT1211" s="45"/>
    </row>
    <row r="1212" spans="5:176" x14ac:dyDescent="0.2">
      <c r="E1212" s="69"/>
      <c r="BF1212" s="61"/>
      <c r="FT1212" s="45"/>
    </row>
    <row r="1213" spans="5:176" x14ac:dyDescent="0.2">
      <c r="E1213" s="69"/>
      <c r="FT1213" s="45"/>
    </row>
    <row r="1214" spans="5:176" x14ac:dyDescent="0.2">
      <c r="E1214" s="69"/>
      <c r="FT1214" s="45"/>
    </row>
    <row r="1215" spans="5:176" x14ac:dyDescent="0.2">
      <c r="E1215" s="69"/>
      <c r="FT1215" s="45"/>
    </row>
    <row r="1216" spans="5:176" x14ac:dyDescent="0.2">
      <c r="E1216" s="69"/>
      <c r="FT1216" s="45"/>
    </row>
    <row r="1217" spans="5:176" x14ac:dyDescent="0.2">
      <c r="E1217" s="69"/>
      <c r="FT1217" s="45"/>
    </row>
    <row r="1218" spans="5:176" x14ac:dyDescent="0.2">
      <c r="E1218" s="69"/>
      <c r="FT1218" s="45"/>
    </row>
    <row r="1219" spans="5:176" x14ac:dyDescent="0.2">
      <c r="E1219" s="69"/>
      <c r="FT1219" s="45"/>
    </row>
    <row r="1220" spans="5:176" x14ac:dyDescent="0.2">
      <c r="E1220" s="69"/>
      <c r="FT1220" s="45"/>
    </row>
    <row r="1221" spans="5:176" x14ac:dyDescent="0.2">
      <c r="E1221" s="69"/>
      <c r="FT1221" s="45"/>
    </row>
    <row r="1222" spans="5:176" x14ac:dyDescent="0.2">
      <c r="E1222" s="69"/>
      <c r="FT1222" s="45"/>
    </row>
    <row r="1223" spans="5:176" x14ac:dyDescent="0.2">
      <c r="E1223" s="69"/>
      <c r="FT1223" s="45"/>
    </row>
    <row r="1224" spans="5:176" x14ac:dyDescent="0.2">
      <c r="E1224" s="69"/>
      <c r="FT1224" s="45"/>
    </row>
    <row r="1225" spans="5:176" x14ac:dyDescent="0.2">
      <c r="E1225" s="69"/>
      <c r="FT1225" s="45"/>
    </row>
    <row r="1226" spans="5:176" x14ac:dyDescent="0.2">
      <c r="E1226" s="69"/>
      <c r="FT1226" s="45"/>
    </row>
    <row r="1227" spans="5:176" x14ac:dyDescent="0.2">
      <c r="E1227" s="69"/>
      <c r="FT1227" s="45"/>
    </row>
    <row r="1228" spans="5:176" x14ac:dyDescent="0.2">
      <c r="E1228" s="69"/>
      <c r="FT1228" s="45"/>
    </row>
    <row r="1229" spans="5:176" x14ac:dyDescent="0.2">
      <c r="E1229" s="69"/>
      <c r="FT1229" s="45"/>
    </row>
    <row r="1230" spans="5:176" x14ac:dyDescent="0.2">
      <c r="E1230" s="69"/>
      <c r="FT1230" s="45"/>
    </row>
    <row r="1231" spans="5:176" x14ac:dyDescent="0.2">
      <c r="E1231" s="69"/>
      <c r="FT1231" s="45"/>
    </row>
    <row r="1232" spans="5:176" x14ac:dyDescent="0.2">
      <c r="E1232" s="69"/>
      <c r="FT1232" s="45"/>
    </row>
    <row r="1233" spans="5:176" x14ac:dyDescent="0.2">
      <c r="E1233" s="69"/>
      <c r="FT1233" s="45"/>
    </row>
    <row r="1234" spans="5:176" x14ac:dyDescent="0.2">
      <c r="E1234" s="69"/>
      <c r="FT1234" s="45"/>
    </row>
    <row r="1235" spans="5:176" x14ac:dyDescent="0.2">
      <c r="E1235" s="69"/>
      <c r="FT1235" s="45"/>
    </row>
    <row r="1236" spans="5:176" x14ac:dyDescent="0.2">
      <c r="E1236" s="69"/>
      <c r="FT1236" s="45"/>
    </row>
    <row r="1237" spans="5:176" x14ac:dyDescent="0.2">
      <c r="E1237" s="69"/>
      <c r="FT1237" s="45"/>
    </row>
    <row r="1238" spans="5:176" x14ac:dyDescent="0.2">
      <c r="E1238" s="69"/>
      <c r="FT1238" s="45"/>
    </row>
    <row r="1239" spans="5:176" x14ac:dyDescent="0.2">
      <c r="E1239" s="69"/>
      <c r="FT1239" s="45"/>
    </row>
    <row r="1240" spans="5:176" x14ac:dyDescent="0.2">
      <c r="E1240" s="69"/>
      <c r="FT1240" s="45"/>
    </row>
    <row r="1241" spans="5:176" x14ac:dyDescent="0.2">
      <c r="E1241" s="69"/>
      <c r="FT1241" s="45"/>
    </row>
    <row r="1242" spans="5:176" x14ac:dyDescent="0.2">
      <c r="E1242" s="69"/>
      <c r="FT1242" s="45"/>
    </row>
    <row r="1243" spans="5:176" x14ac:dyDescent="0.2">
      <c r="E1243" s="69"/>
      <c r="FT1243" s="45"/>
    </row>
    <row r="1244" spans="5:176" x14ac:dyDescent="0.2">
      <c r="E1244" s="69"/>
      <c r="FT1244" s="45"/>
    </row>
    <row r="1245" spans="5:176" x14ac:dyDescent="0.2">
      <c r="E1245" s="69"/>
      <c r="FT1245" s="45"/>
    </row>
    <row r="1246" spans="5:176" x14ac:dyDescent="0.2">
      <c r="E1246" s="69"/>
      <c r="FT1246" s="45"/>
    </row>
    <row r="1247" spans="5:176" x14ac:dyDescent="0.2">
      <c r="E1247" s="69"/>
      <c r="FT1247" s="45"/>
    </row>
    <row r="1248" spans="5:176" x14ac:dyDescent="0.2">
      <c r="E1248" s="69"/>
      <c r="FT1248" s="45"/>
    </row>
    <row r="1249" spans="5:176" x14ac:dyDescent="0.2">
      <c r="E1249" s="69"/>
      <c r="FT1249" s="45"/>
    </row>
    <row r="1250" spans="5:176" x14ac:dyDescent="0.2">
      <c r="E1250" s="69"/>
      <c r="FT1250" s="45"/>
    </row>
    <row r="1251" spans="5:176" x14ac:dyDescent="0.2">
      <c r="E1251" s="69"/>
      <c r="FT1251" s="45"/>
    </row>
    <row r="1252" spans="5:176" x14ac:dyDescent="0.2">
      <c r="E1252" s="69"/>
      <c r="FT1252" s="45"/>
    </row>
    <row r="1253" spans="5:176" x14ac:dyDescent="0.2">
      <c r="E1253" s="69"/>
      <c r="FT1253" s="45"/>
    </row>
    <row r="1254" spans="5:176" x14ac:dyDescent="0.2">
      <c r="E1254" s="69"/>
      <c r="FT1254" s="45"/>
    </row>
    <row r="1255" spans="5:176" x14ac:dyDescent="0.2">
      <c r="E1255" s="69"/>
      <c r="FT1255" s="45"/>
    </row>
    <row r="1256" spans="5:176" x14ac:dyDescent="0.2">
      <c r="E1256" s="69"/>
      <c r="FT1256" s="45"/>
    </row>
    <row r="1257" spans="5:176" x14ac:dyDescent="0.2">
      <c r="E1257" s="69"/>
      <c r="FT1257" s="45"/>
    </row>
    <row r="1258" spans="5:176" x14ac:dyDescent="0.2">
      <c r="E1258" s="69"/>
      <c r="FT1258" s="45"/>
    </row>
    <row r="1259" spans="5:176" x14ac:dyDescent="0.2">
      <c r="E1259" s="69"/>
      <c r="FT1259" s="45"/>
    </row>
    <row r="1260" spans="5:176" x14ac:dyDescent="0.2">
      <c r="E1260" s="69"/>
      <c r="FT1260" s="45"/>
    </row>
    <row r="1261" spans="5:176" x14ac:dyDescent="0.2">
      <c r="E1261" s="69"/>
      <c r="FT1261" s="45"/>
    </row>
    <row r="1262" spans="5:176" x14ac:dyDescent="0.2">
      <c r="E1262" s="69"/>
      <c r="FT1262" s="45"/>
    </row>
    <row r="1263" spans="5:176" x14ac:dyDescent="0.2">
      <c r="E1263" s="69"/>
      <c r="FT1263" s="45"/>
    </row>
    <row r="1264" spans="5:176" x14ac:dyDescent="0.2">
      <c r="E1264" s="69"/>
      <c r="FT1264" s="45"/>
    </row>
    <row r="1265" spans="5:176" x14ac:dyDescent="0.2">
      <c r="E1265" s="69"/>
      <c r="FT1265" s="45"/>
    </row>
    <row r="1266" spans="5:176" x14ac:dyDescent="0.2">
      <c r="E1266" s="69"/>
      <c r="FT1266" s="45"/>
    </row>
    <row r="1267" spans="5:176" x14ac:dyDescent="0.2">
      <c r="E1267" s="69"/>
      <c r="FT1267" s="45"/>
    </row>
    <row r="1268" spans="5:176" x14ac:dyDescent="0.2">
      <c r="E1268" s="69"/>
      <c r="FT1268" s="45"/>
    </row>
    <row r="1269" spans="5:176" x14ac:dyDescent="0.2">
      <c r="E1269" s="69"/>
      <c r="FT1269" s="45"/>
    </row>
    <row r="1270" spans="5:176" x14ac:dyDescent="0.2">
      <c r="E1270" s="69"/>
      <c r="FT1270" s="45"/>
    </row>
    <row r="1271" spans="5:176" x14ac:dyDescent="0.2">
      <c r="E1271" s="69"/>
      <c r="FT1271" s="45"/>
    </row>
    <row r="1272" spans="5:176" x14ac:dyDescent="0.2">
      <c r="E1272" s="69"/>
      <c r="FT1272" s="45"/>
    </row>
    <row r="1273" spans="5:176" x14ac:dyDescent="0.2">
      <c r="E1273" s="69"/>
      <c r="FT1273" s="45"/>
    </row>
    <row r="1274" spans="5:176" x14ac:dyDescent="0.2">
      <c r="E1274" s="69"/>
      <c r="FT1274" s="45"/>
    </row>
    <row r="1275" spans="5:176" x14ac:dyDescent="0.2">
      <c r="E1275" s="69"/>
      <c r="FT1275" s="45"/>
    </row>
    <row r="1276" spans="5:176" x14ac:dyDescent="0.2">
      <c r="E1276" s="69"/>
      <c r="FT1276" s="45"/>
    </row>
    <row r="1277" spans="5:176" x14ac:dyDescent="0.2">
      <c r="E1277" s="69"/>
      <c r="FT1277" s="45"/>
    </row>
    <row r="1278" spans="5:176" x14ac:dyDescent="0.2">
      <c r="E1278" s="69"/>
      <c r="FT1278" s="45"/>
    </row>
    <row r="1279" spans="5:176" x14ac:dyDescent="0.2">
      <c r="E1279" s="69"/>
      <c r="FT1279" s="45"/>
    </row>
    <row r="1280" spans="5:176" x14ac:dyDescent="0.2">
      <c r="E1280" s="69"/>
      <c r="FT1280" s="45"/>
    </row>
    <row r="1281" spans="5:176" x14ac:dyDescent="0.2">
      <c r="E1281" s="69"/>
      <c r="FT1281" s="45"/>
    </row>
    <row r="1282" spans="5:176" x14ac:dyDescent="0.2">
      <c r="E1282" s="69"/>
      <c r="FT1282" s="45"/>
    </row>
    <row r="1283" spans="5:176" x14ac:dyDescent="0.2">
      <c r="E1283" s="69"/>
      <c r="FT1283" s="45"/>
    </row>
    <row r="1284" spans="5:176" x14ac:dyDescent="0.2">
      <c r="E1284" s="69"/>
      <c r="FT1284" s="45"/>
    </row>
    <row r="1285" spans="5:176" x14ac:dyDescent="0.2">
      <c r="E1285" s="69"/>
      <c r="FT1285" s="45"/>
    </row>
    <row r="1286" spans="5:176" x14ac:dyDescent="0.2">
      <c r="E1286" s="69"/>
      <c r="FT1286" s="45"/>
    </row>
    <row r="1287" spans="5:176" x14ac:dyDescent="0.2">
      <c r="E1287" s="69"/>
      <c r="FT1287" s="45"/>
    </row>
    <row r="1288" spans="5:176" x14ac:dyDescent="0.2">
      <c r="E1288" s="69"/>
      <c r="FT1288" s="45"/>
    </row>
    <row r="1289" spans="5:176" x14ac:dyDescent="0.2">
      <c r="E1289" s="69"/>
      <c r="FT1289" s="45"/>
    </row>
    <row r="1290" spans="5:176" x14ac:dyDescent="0.2">
      <c r="E1290" s="69"/>
      <c r="FT1290" s="45"/>
    </row>
    <row r="1291" spans="5:176" x14ac:dyDescent="0.2">
      <c r="E1291" s="69"/>
      <c r="FT1291" s="45"/>
    </row>
    <row r="1292" spans="5:176" x14ac:dyDescent="0.2">
      <c r="E1292" s="69"/>
      <c r="FT1292" s="45"/>
    </row>
    <row r="1293" spans="5:176" x14ac:dyDescent="0.2">
      <c r="E1293" s="69"/>
      <c r="FT1293" s="45"/>
    </row>
    <row r="1294" spans="5:176" x14ac:dyDescent="0.2">
      <c r="E1294" s="69"/>
      <c r="FT1294" s="45"/>
    </row>
    <row r="1295" spans="5:176" x14ac:dyDescent="0.2">
      <c r="E1295" s="69"/>
      <c r="FT1295" s="45"/>
    </row>
    <row r="1296" spans="5:176" x14ac:dyDescent="0.2">
      <c r="E1296" s="69"/>
      <c r="FT1296" s="45"/>
    </row>
    <row r="1297" spans="5:176" x14ac:dyDescent="0.2">
      <c r="E1297" s="69"/>
      <c r="FT1297" s="45"/>
    </row>
    <row r="1298" spans="5:176" x14ac:dyDescent="0.2">
      <c r="E1298" s="69"/>
      <c r="FT1298" s="45"/>
    </row>
    <row r="1299" spans="5:176" x14ac:dyDescent="0.2">
      <c r="E1299" s="69"/>
      <c r="FT1299" s="45"/>
    </row>
    <row r="1300" spans="5:176" x14ac:dyDescent="0.2">
      <c r="E1300" s="69"/>
      <c r="FT1300" s="45"/>
    </row>
    <row r="1301" spans="5:176" x14ac:dyDescent="0.2">
      <c r="E1301" s="69"/>
      <c r="FT1301" s="45"/>
    </row>
    <row r="1302" spans="5:176" x14ac:dyDescent="0.2">
      <c r="E1302" s="69"/>
      <c r="FT1302" s="45"/>
    </row>
    <row r="1303" spans="5:176" x14ac:dyDescent="0.2">
      <c r="E1303" s="69"/>
      <c r="FT1303" s="45"/>
    </row>
    <row r="1304" spans="5:176" x14ac:dyDescent="0.2">
      <c r="E1304" s="69"/>
      <c r="FT1304" s="45"/>
    </row>
    <row r="1305" spans="5:176" x14ac:dyDescent="0.2">
      <c r="E1305" s="69"/>
      <c r="FT1305" s="45"/>
    </row>
    <row r="1306" spans="5:176" x14ac:dyDescent="0.2">
      <c r="E1306" s="69"/>
      <c r="FT1306" s="45"/>
    </row>
    <row r="1307" spans="5:176" x14ac:dyDescent="0.2">
      <c r="E1307" s="69"/>
      <c r="FT1307" s="45"/>
    </row>
    <row r="1308" spans="5:176" x14ac:dyDescent="0.2">
      <c r="E1308" s="69"/>
      <c r="FT1308" s="45"/>
    </row>
    <row r="1309" spans="5:176" x14ac:dyDescent="0.2">
      <c r="E1309" s="69"/>
      <c r="FT1309" s="45"/>
    </row>
    <row r="1310" spans="5:176" x14ac:dyDescent="0.2">
      <c r="E1310" s="69"/>
      <c r="FT1310" s="45"/>
    </row>
    <row r="1311" spans="5:176" x14ac:dyDescent="0.2">
      <c r="E1311" s="69"/>
      <c r="FT1311" s="45"/>
    </row>
    <row r="1312" spans="5:176" x14ac:dyDescent="0.2">
      <c r="E1312" s="69"/>
      <c r="FT1312" s="45"/>
    </row>
    <row r="1313" spans="5:176" x14ac:dyDescent="0.2">
      <c r="E1313" s="69"/>
      <c r="FT1313" s="45"/>
    </row>
    <row r="1314" spans="5:176" x14ac:dyDescent="0.2">
      <c r="E1314" s="69"/>
      <c r="FT1314" s="45"/>
    </row>
    <row r="1315" spans="5:176" x14ac:dyDescent="0.2">
      <c r="E1315" s="69"/>
      <c r="FT1315" s="45"/>
    </row>
    <row r="1316" spans="5:176" x14ac:dyDescent="0.2">
      <c r="E1316" s="69"/>
      <c r="FT1316" s="45"/>
    </row>
    <row r="1317" spans="5:176" x14ac:dyDescent="0.2">
      <c r="E1317" s="69"/>
      <c r="FT1317" s="45"/>
    </row>
    <row r="1318" spans="5:176" x14ac:dyDescent="0.2">
      <c r="E1318" s="69"/>
      <c r="FT1318" s="45"/>
    </row>
    <row r="1319" spans="5:176" x14ac:dyDescent="0.2">
      <c r="E1319" s="69"/>
      <c r="FT1319" s="45"/>
    </row>
    <row r="1320" spans="5:176" x14ac:dyDescent="0.2">
      <c r="E1320" s="69"/>
      <c r="FT1320" s="45"/>
    </row>
    <row r="1321" spans="5:176" x14ac:dyDescent="0.2">
      <c r="E1321" s="69"/>
      <c r="FT1321" s="45"/>
    </row>
    <row r="1322" spans="5:176" x14ac:dyDescent="0.2">
      <c r="E1322" s="69"/>
      <c r="FT1322" s="45"/>
    </row>
    <row r="1323" spans="5:176" x14ac:dyDescent="0.2">
      <c r="E1323" s="69"/>
      <c r="FT1323" s="45"/>
    </row>
    <row r="1324" spans="5:176" x14ac:dyDescent="0.2">
      <c r="E1324" s="69"/>
      <c r="FT1324" s="45"/>
    </row>
    <row r="1325" spans="5:176" x14ac:dyDescent="0.2">
      <c r="E1325" s="69"/>
      <c r="FT1325" s="45"/>
    </row>
    <row r="1326" spans="5:176" x14ac:dyDescent="0.2">
      <c r="E1326" s="69"/>
      <c r="FT1326" s="45"/>
    </row>
    <row r="1327" spans="5:176" x14ac:dyDescent="0.2">
      <c r="E1327" s="69"/>
      <c r="FT1327" s="45"/>
    </row>
    <row r="1328" spans="5:176" x14ac:dyDescent="0.2">
      <c r="E1328" s="69"/>
      <c r="FT1328" s="45"/>
    </row>
    <row r="1329" spans="5:176" x14ac:dyDescent="0.2">
      <c r="E1329" s="69"/>
      <c r="FT1329" s="45"/>
    </row>
    <row r="1330" spans="5:176" x14ac:dyDescent="0.2">
      <c r="E1330" s="69"/>
      <c r="FT1330" s="45"/>
    </row>
    <row r="1331" spans="5:176" x14ac:dyDescent="0.2">
      <c r="E1331" s="69"/>
      <c r="FT1331" s="45"/>
    </row>
    <row r="1332" spans="5:176" x14ac:dyDescent="0.2">
      <c r="E1332" s="69"/>
      <c r="FT1332" s="45"/>
    </row>
    <row r="1333" spans="5:176" x14ac:dyDescent="0.2">
      <c r="E1333" s="69"/>
      <c r="FT1333" s="45"/>
    </row>
    <row r="1334" spans="5:176" x14ac:dyDescent="0.2">
      <c r="E1334" s="69"/>
      <c r="FT1334" s="45"/>
    </row>
    <row r="1335" spans="5:176" x14ac:dyDescent="0.2">
      <c r="E1335" s="69"/>
      <c r="FT1335" s="45"/>
    </row>
    <row r="1336" spans="5:176" x14ac:dyDescent="0.2">
      <c r="E1336" s="69"/>
      <c r="FT1336" s="45"/>
    </row>
    <row r="1337" spans="5:176" x14ac:dyDescent="0.2">
      <c r="E1337" s="69"/>
      <c r="FT1337" s="45"/>
    </row>
    <row r="1338" spans="5:176" x14ac:dyDescent="0.2">
      <c r="E1338" s="69"/>
      <c r="FT1338" s="45"/>
    </row>
    <row r="1339" spans="5:176" x14ac:dyDescent="0.2">
      <c r="E1339" s="69"/>
      <c r="FT1339" s="45"/>
    </row>
    <row r="1340" spans="5:176" x14ac:dyDescent="0.2">
      <c r="E1340" s="69"/>
      <c r="FT1340" s="45"/>
    </row>
    <row r="1341" spans="5:176" x14ac:dyDescent="0.2">
      <c r="E1341" s="69"/>
      <c r="FT1341" s="45"/>
    </row>
    <row r="1342" spans="5:176" x14ac:dyDescent="0.2">
      <c r="E1342" s="69"/>
      <c r="FT1342" s="45"/>
    </row>
    <row r="1343" spans="5:176" x14ac:dyDescent="0.2">
      <c r="E1343" s="69"/>
      <c r="FT1343" s="45"/>
    </row>
    <row r="1344" spans="5:176" x14ac:dyDescent="0.2">
      <c r="E1344" s="69"/>
      <c r="FT1344" s="45"/>
    </row>
    <row r="1345" spans="5:176" x14ac:dyDescent="0.2">
      <c r="E1345" s="69"/>
      <c r="FT1345" s="45"/>
    </row>
    <row r="1346" spans="5:176" x14ac:dyDescent="0.2">
      <c r="E1346" s="69"/>
      <c r="FT1346" s="45"/>
    </row>
    <row r="1347" spans="5:176" x14ac:dyDescent="0.2">
      <c r="E1347" s="69"/>
      <c r="FT1347" s="45"/>
    </row>
    <row r="1348" spans="5:176" x14ac:dyDescent="0.2">
      <c r="E1348" s="69"/>
      <c r="FT1348" s="45"/>
    </row>
    <row r="1349" spans="5:176" x14ac:dyDescent="0.2">
      <c r="E1349" s="69"/>
      <c r="FT1349" s="45"/>
    </row>
    <row r="1350" spans="5:176" x14ac:dyDescent="0.2">
      <c r="E1350" s="69"/>
      <c r="FT1350" s="45"/>
    </row>
    <row r="1351" spans="5:176" x14ac:dyDescent="0.2">
      <c r="E1351" s="69"/>
      <c r="FT1351" s="45"/>
    </row>
    <row r="1352" spans="5:176" x14ac:dyDescent="0.2">
      <c r="E1352" s="69"/>
      <c r="FT1352" s="45"/>
    </row>
    <row r="1353" spans="5:176" x14ac:dyDescent="0.2">
      <c r="E1353" s="69"/>
      <c r="FT1353" s="45"/>
    </row>
    <row r="1354" spans="5:176" x14ac:dyDescent="0.2">
      <c r="E1354" s="69"/>
      <c r="FT1354" s="45"/>
    </row>
    <row r="1355" spans="5:176" x14ac:dyDescent="0.2">
      <c r="E1355" s="69"/>
      <c r="FT1355" s="45"/>
    </row>
    <row r="1356" spans="5:176" x14ac:dyDescent="0.2">
      <c r="E1356" s="69"/>
      <c r="FT1356" s="45"/>
    </row>
    <row r="1357" spans="5:176" x14ac:dyDescent="0.2">
      <c r="E1357" s="69"/>
      <c r="FT1357" s="45"/>
    </row>
    <row r="1358" spans="5:176" x14ac:dyDescent="0.2">
      <c r="E1358" s="69"/>
      <c r="FT1358" s="45"/>
    </row>
    <row r="1359" spans="5:176" x14ac:dyDescent="0.2">
      <c r="E1359" s="69"/>
      <c r="FT1359" s="45"/>
    </row>
    <row r="1360" spans="5:176" x14ac:dyDescent="0.2">
      <c r="E1360" s="69"/>
      <c r="FT1360" s="45"/>
    </row>
    <row r="1361" spans="5:176" x14ac:dyDescent="0.2">
      <c r="E1361" s="69"/>
      <c r="FT1361" s="45"/>
    </row>
    <row r="1362" spans="5:176" x14ac:dyDescent="0.2">
      <c r="E1362" s="69"/>
      <c r="FT1362" s="45"/>
    </row>
    <row r="1363" spans="5:176" x14ac:dyDescent="0.2">
      <c r="E1363" s="69"/>
      <c r="FT1363" s="45"/>
    </row>
    <row r="1364" spans="5:176" x14ac:dyDescent="0.2">
      <c r="E1364" s="69"/>
      <c r="FT1364" s="45"/>
    </row>
    <row r="1365" spans="5:176" x14ac:dyDescent="0.2">
      <c r="E1365" s="69"/>
      <c r="FT1365" s="45"/>
    </row>
    <row r="1366" spans="5:176" x14ac:dyDescent="0.2">
      <c r="E1366" s="69"/>
      <c r="FT1366" s="45"/>
    </row>
    <row r="1367" spans="5:176" x14ac:dyDescent="0.2">
      <c r="E1367" s="69"/>
      <c r="FT1367" s="45"/>
    </row>
    <row r="1368" spans="5:176" x14ac:dyDescent="0.2">
      <c r="E1368" s="69"/>
      <c r="FT1368" s="45"/>
    </row>
    <row r="1369" spans="5:176" x14ac:dyDescent="0.2">
      <c r="E1369" s="69"/>
      <c r="FT1369" s="45"/>
    </row>
    <row r="1370" spans="5:176" x14ac:dyDescent="0.2">
      <c r="E1370" s="69"/>
      <c r="FT1370" s="45"/>
    </row>
    <row r="1371" spans="5:176" x14ac:dyDescent="0.2">
      <c r="E1371" s="69"/>
      <c r="FT1371" s="45"/>
    </row>
    <row r="1372" spans="5:176" x14ac:dyDescent="0.2">
      <c r="E1372" s="69"/>
      <c r="FT1372" s="45"/>
    </row>
    <row r="1373" spans="5:176" x14ac:dyDescent="0.2">
      <c r="E1373" s="69"/>
      <c r="FT1373" s="45"/>
    </row>
    <row r="1374" spans="5:176" x14ac:dyDescent="0.2">
      <c r="E1374" s="69"/>
      <c r="FT1374" s="45"/>
    </row>
    <row r="1375" spans="5:176" x14ac:dyDescent="0.2">
      <c r="E1375" s="69"/>
      <c r="FT1375" s="45"/>
    </row>
    <row r="1376" spans="5:176" x14ac:dyDescent="0.2">
      <c r="E1376" s="69"/>
      <c r="FT1376" s="45"/>
    </row>
    <row r="1377" spans="5:176" x14ac:dyDescent="0.2">
      <c r="E1377" s="69"/>
      <c r="FT1377" s="45"/>
    </row>
    <row r="1378" spans="5:176" x14ac:dyDescent="0.2">
      <c r="E1378" s="69"/>
      <c r="FT1378" s="45"/>
    </row>
    <row r="1379" spans="5:176" x14ac:dyDescent="0.2">
      <c r="E1379" s="69"/>
      <c r="FT1379" s="45"/>
    </row>
    <row r="1380" spans="5:176" x14ac:dyDescent="0.2">
      <c r="E1380" s="69"/>
      <c r="FT1380" s="45"/>
    </row>
    <row r="1381" spans="5:176" x14ac:dyDescent="0.2">
      <c r="E1381" s="69"/>
      <c r="FT1381" s="45"/>
    </row>
    <row r="1382" spans="5:176" x14ac:dyDescent="0.2">
      <c r="E1382" s="69"/>
      <c r="FT1382" s="45"/>
    </row>
    <row r="1383" spans="5:176" x14ac:dyDescent="0.2">
      <c r="E1383" s="69"/>
      <c r="FT1383" s="45"/>
    </row>
    <row r="1384" spans="5:176" x14ac:dyDescent="0.2">
      <c r="E1384" s="69"/>
      <c r="FT1384" s="45"/>
    </row>
    <row r="1385" spans="5:176" x14ac:dyDescent="0.2">
      <c r="E1385" s="69"/>
      <c r="FT1385" s="45"/>
    </row>
    <row r="1386" spans="5:176" x14ac:dyDescent="0.2">
      <c r="E1386" s="69"/>
      <c r="FT1386" s="45"/>
    </row>
    <row r="1387" spans="5:176" x14ac:dyDescent="0.2">
      <c r="E1387" s="69"/>
      <c r="FT1387" s="45"/>
    </row>
    <row r="1388" spans="5:176" x14ac:dyDescent="0.2">
      <c r="E1388" s="69"/>
      <c r="FT1388" s="45"/>
    </row>
    <row r="1389" spans="5:176" x14ac:dyDescent="0.2">
      <c r="E1389" s="69"/>
      <c r="FT1389" s="45"/>
    </row>
    <row r="1390" spans="5:176" x14ac:dyDescent="0.2">
      <c r="E1390" s="69"/>
      <c r="FT1390" s="45"/>
    </row>
    <row r="1391" spans="5:176" x14ac:dyDescent="0.2">
      <c r="E1391" s="69"/>
      <c r="FT1391" s="45"/>
    </row>
    <row r="1392" spans="5:176" x14ac:dyDescent="0.2">
      <c r="E1392" s="69"/>
      <c r="FT1392" s="45"/>
    </row>
    <row r="1393" spans="5:176" x14ac:dyDescent="0.2">
      <c r="E1393" s="69"/>
      <c r="FT1393" s="45"/>
    </row>
    <row r="1394" spans="5:176" x14ac:dyDescent="0.2">
      <c r="E1394" s="69"/>
      <c r="FT1394" s="45"/>
    </row>
    <row r="1395" spans="5:176" x14ac:dyDescent="0.2">
      <c r="E1395" s="69"/>
      <c r="FT1395" s="45"/>
    </row>
    <row r="1396" spans="5:176" x14ac:dyDescent="0.2">
      <c r="E1396" s="69"/>
      <c r="FT1396" s="45"/>
    </row>
    <row r="1397" spans="5:176" x14ac:dyDescent="0.2">
      <c r="E1397" s="69"/>
      <c r="FT1397" s="45"/>
    </row>
    <row r="1398" spans="5:176" x14ac:dyDescent="0.2">
      <c r="E1398" s="69"/>
      <c r="FT1398" s="45"/>
    </row>
    <row r="1399" spans="5:176" x14ac:dyDescent="0.2">
      <c r="E1399" s="69"/>
      <c r="FT1399" s="45"/>
    </row>
    <row r="1400" spans="5:176" x14ac:dyDescent="0.2">
      <c r="E1400" s="69"/>
      <c r="FT1400" s="45"/>
    </row>
    <row r="1401" spans="5:176" x14ac:dyDescent="0.2">
      <c r="E1401" s="69"/>
      <c r="FT1401" s="45"/>
    </row>
    <row r="1402" spans="5:176" x14ac:dyDescent="0.2">
      <c r="E1402" s="69"/>
      <c r="FT1402" s="45"/>
    </row>
    <row r="1403" spans="5:176" x14ac:dyDescent="0.2">
      <c r="E1403" s="69"/>
      <c r="FT1403" s="45"/>
    </row>
    <row r="1404" spans="5:176" x14ac:dyDescent="0.2">
      <c r="E1404" s="69"/>
      <c r="FT1404" s="45"/>
    </row>
    <row r="1405" spans="5:176" x14ac:dyDescent="0.2">
      <c r="E1405" s="69"/>
      <c r="FT1405" s="45"/>
    </row>
    <row r="1406" spans="5:176" x14ac:dyDescent="0.2">
      <c r="E1406" s="69"/>
      <c r="FT1406" s="45"/>
    </row>
    <row r="1407" spans="5:176" x14ac:dyDescent="0.2">
      <c r="E1407" s="69"/>
      <c r="FT1407" s="45"/>
    </row>
    <row r="1408" spans="5:176" x14ac:dyDescent="0.2">
      <c r="E1408" s="69"/>
      <c r="FT1408" s="45"/>
    </row>
    <row r="1409" spans="5:176" x14ac:dyDescent="0.2">
      <c r="E1409" s="69"/>
      <c r="FT1409" s="45"/>
    </row>
    <row r="1410" spans="5:176" x14ac:dyDescent="0.2">
      <c r="E1410" s="69"/>
      <c r="FT1410" s="45"/>
    </row>
    <row r="1411" spans="5:176" x14ac:dyDescent="0.2">
      <c r="E1411" s="69"/>
      <c r="FT1411" s="45"/>
    </row>
    <row r="1412" spans="5:176" x14ac:dyDescent="0.2">
      <c r="E1412" s="69"/>
      <c r="FT1412" s="45"/>
    </row>
    <row r="1413" spans="5:176" x14ac:dyDescent="0.2">
      <c r="E1413" s="69"/>
      <c r="FT1413" s="45"/>
    </row>
    <row r="1414" spans="5:176" x14ac:dyDescent="0.2">
      <c r="E1414" s="69"/>
      <c r="FT1414" s="45"/>
    </row>
    <row r="1415" spans="5:176" x14ac:dyDescent="0.2">
      <c r="E1415" s="69"/>
      <c r="FT1415" s="45"/>
    </row>
    <row r="1416" spans="5:176" x14ac:dyDescent="0.2">
      <c r="E1416" s="69"/>
      <c r="FT1416" s="45"/>
    </row>
    <row r="1417" spans="5:176" x14ac:dyDescent="0.2">
      <c r="E1417" s="69"/>
      <c r="FT1417" s="45"/>
    </row>
    <row r="1418" spans="5:176" x14ac:dyDescent="0.2">
      <c r="E1418" s="69"/>
      <c r="FT1418" s="45"/>
    </row>
    <row r="1419" spans="5:176" x14ac:dyDescent="0.2">
      <c r="E1419" s="69"/>
      <c r="FT1419" s="45"/>
    </row>
    <row r="1420" spans="5:176" x14ac:dyDescent="0.2">
      <c r="E1420" s="69"/>
      <c r="FT1420" s="45"/>
    </row>
    <row r="1421" spans="5:176" x14ac:dyDescent="0.2">
      <c r="E1421" s="69"/>
      <c r="FT1421" s="45"/>
    </row>
    <row r="1422" spans="5:176" x14ac:dyDescent="0.2">
      <c r="E1422" s="69"/>
      <c r="FT1422" s="45"/>
    </row>
    <row r="1423" spans="5:176" x14ac:dyDescent="0.2">
      <c r="E1423" s="69"/>
      <c r="FT1423" s="45"/>
    </row>
    <row r="1424" spans="5:176" x14ac:dyDescent="0.2">
      <c r="E1424" s="69"/>
      <c r="FT1424" s="45"/>
    </row>
    <row r="1425" spans="5:176" x14ac:dyDescent="0.2">
      <c r="E1425" s="69"/>
      <c r="FT1425" s="45"/>
    </row>
    <row r="1426" spans="5:176" x14ac:dyDescent="0.2">
      <c r="E1426" s="69"/>
      <c r="FT1426" s="45"/>
    </row>
    <row r="1427" spans="5:176" x14ac:dyDescent="0.2">
      <c r="E1427" s="69"/>
      <c r="FT1427" s="45"/>
    </row>
    <row r="1428" spans="5:176" x14ac:dyDescent="0.2">
      <c r="E1428" s="69"/>
      <c r="FT1428" s="45"/>
    </row>
    <row r="1429" spans="5:176" x14ac:dyDescent="0.2">
      <c r="E1429" s="69"/>
      <c r="FT1429" s="45"/>
    </row>
    <row r="1430" spans="5:176" x14ac:dyDescent="0.2">
      <c r="E1430" s="69"/>
      <c r="FT1430" s="45"/>
    </row>
    <row r="1431" spans="5:176" x14ac:dyDescent="0.2">
      <c r="E1431" s="69"/>
      <c r="FT1431" s="45"/>
    </row>
    <row r="1432" spans="5:176" x14ac:dyDescent="0.2">
      <c r="E1432" s="69"/>
      <c r="FT1432" s="45"/>
    </row>
    <row r="1433" spans="5:176" x14ac:dyDescent="0.2">
      <c r="E1433" s="69"/>
      <c r="FT1433" s="45"/>
    </row>
    <row r="1434" spans="5:176" x14ac:dyDescent="0.2">
      <c r="E1434" s="69"/>
      <c r="FT1434" s="45"/>
    </row>
    <row r="1435" spans="5:176" x14ac:dyDescent="0.2">
      <c r="E1435" s="69"/>
      <c r="FT1435" s="45"/>
    </row>
    <row r="1436" spans="5:176" x14ac:dyDescent="0.2">
      <c r="E1436" s="69"/>
      <c r="FT1436" s="45"/>
    </row>
    <row r="1437" spans="5:176" x14ac:dyDescent="0.2">
      <c r="E1437" s="69"/>
      <c r="FT1437" s="45"/>
    </row>
    <row r="1438" spans="5:176" x14ac:dyDescent="0.2">
      <c r="E1438" s="69"/>
      <c r="FT1438" s="45"/>
    </row>
    <row r="1439" spans="5:176" x14ac:dyDescent="0.2">
      <c r="E1439" s="69"/>
      <c r="FT1439" s="45"/>
    </row>
    <row r="1440" spans="5:176" x14ac:dyDescent="0.2">
      <c r="E1440" s="69"/>
      <c r="FT1440" s="45"/>
    </row>
    <row r="1441" spans="5:176" x14ac:dyDescent="0.2">
      <c r="E1441" s="69"/>
      <c r="FT1441" s="45"/>
    </row>
    <row r="1442" spans="5:176" x14ac:dyDescent="0.2">
      <c r="E1442" s="69"/>
      <c r="FT1442" s="45"/>
    </row>
    <row r="1443" spans="5:176" x14ac:dyDescent="0.2">
      <c r="E1443" s="69"/>
      <c r="FT1443" s="45"/>
    </row>
    <row r="1444" spans="5:176" x14ac:dyDescent="0.2">
      <c r="E1444" s="69"/>
      <c r="FT1444" s="45"/>
    </row>
    <row r="1445" spans="5:176" x14ac:dyDescent="0.2">
      <c r="E1445" s="69"/>
      <c r="FT1445" s="45"/>
    </row>
    <row r="1446" spans="5:176" x14ac:dyDescent="0.2">
      <c r="E1446" s="69"/>
      <c r="FT1446" s="45"/>
    </row>
    <row r="1447" spans="5:176" x14ac:dyDescent="0.2">
      <c r="E1447" s="69"/>
      <c r="FT1447" s="45"/>
    </row>
    <row r="1448" spans="5:176" x14ac:dyDescent="0.2">
      <c r="E1448" s="69"/>
      <c r="FT1448" s="45"/>
    </row>
    <row r="1449" spans="5:176" x14ac:dyDescent="0.2">
      <c r="E1449" s="69"/>
      <c r="FT1449" s="45"/>
    </row>
    <row r="1450" spans="5:176" x14ac:dyDescent="0.2">
      <c r="E1450" s="69"/>
      <c r="FT1450" s="45"/>
    </row>
    <row r="1451" spans="5:176" x14ac:dyDescent="0.2">
      <c r="E1451" s="69"/>
      <c r="FT1451" s="45"/>
    </row>
    <row r="1452" spans="5:176" x14ac:dyDescent="0.2">
      <c r="E1452" s="69"/>
      <c r="FT1452" s="45"/>
    </row>
    <row r="1453" spans="5:176" x14ac:dyDescent="0.2">
      <c r="E1453" s="69"/>
      <c r="FT1453" s="45"/>
    </row>
    <row r="1454" spans="5:176" x14ac:dyDescent="0.2">
      <c r="E1454" s="69"/>
      <c r="FT1454" s="45"/>
    </row>
    <row r="1455" spans="5:176" x14ac:dyDescent="0.2">
      <c r="E1455" s="69"/>
      <c r="FT1455" s="45"/>
    </row>
    <row r="1456" spans="5:176" x14ac:dyDescent="0.2">
      <c r="E1456" s="69"/>
      <c r="FT1456" s="45"/>
    </row>
    <row r="1457" spans="5:176" x14ac:dyDescent="0.2">
      <c r="E1457" s="69"/>
      <c r="FT1457" s="45"/>
    </row>
    <row r="1458" spans="5:176" x14ac:dyDescent="0.2">
      <c r="E1458" s="69"/>
      <c r="FT1458" s="45"/>
    </row>
    <row r="1459" spans="5:176" x14ac:dyDescent="0.2">
      <c r="E1459" s="69"/>
      <c r="FT1459" s="45"/>
    </row>
    <row r="1460" spans="5:176" x14ac:dyDescent="0.2">
      <c r="E1460" s="69"/>
      <c r="FT1460" s="45"/>
    </row>
    <row r="1461" spans="5:176" x14ac:dyDescent="0.2">
      <c r="E1461" s="69"/>
      <c r="FT1461" s="45"/>
    </row>
    <row r="1462" spans="5:176" x14ac:dyDescent="0.2">
      <c r="E1462" s="69"/>
      <c r="FT1462" s="45"/>
    </row>
    <row r="1463" spans="5:176" x14ac:dyDescent="0.2">
      <c r="E1463" s="69"/>
      <c r="FT1463" s="45"/>
    </row>
    <row r="1464" spans="5:176" x14ac:dyDescent="0.2">
      <c r="E1464" s="69"/>
      <c r="FT1464" s="45"/>
    </row>
    <row r="1465" spans="5:176" x14ac:dyDescent="0.2">
      <c r="E1465" s="69"/>
      <c r="FT1465" s="45"/>
    </row>
    <row r="1466" spans="5:176" x14ac:dyDescent="0.2">
      <c r="E1466" s="69"/>
      <c r="FT1466" s="45"/>
    </row>
    <row r="1467" spans="5:176" x14ac:dyDescent="0.2">
      <c r="E1467" s="69"/>
      <c r="FT1467" s="45"/>
    </row>
    <row r="1468" spans="5:176" x14ac:dyDescent="0.2">
      <c r="E1468" s="69"/>
      <c r="FT1468" s="45"/>
    </row>
    <row r="1469" spans="5:176" x14ac:dyDescent="0.2">
      <c r="E1469" s="69"/>
      <c r="FT1469" s="45"/>
    </row>
    <row r="1470" spans="5:176" x14ac:dyDescent="0.2">
      <c r="E1470" s="69"/>
      <c r="FT1470" s="45"/>
    </row>
    <row r="1471" spans="5:176" x14ac:dyDescent="0.2">
      <c r="E1471" s="69"/>
      <c r="FT1471" s="45"/>
    </row>
    <row r="1472" spans="5:176" x14ac:dyDescent="0.2">
      <c r="E1472" s="69"/>
      <c r="FT1472" s="45"/>
    </row>
    <row r="1473" spans="5:176" x14ac:dyDescent="0.2">
      <c r="E1473" s="69"/>
      <c r="FT1473" s="45"/>
    </row>
    <row r="1474" spans="5:176" x14ac:dyDescent="0.2">
      <c r="E1474" s="69"/>
      <c r="FT1474" s="45"/>
    </row>
    <row r="1475" spans="5:176" x14ac:dyDescent="0.2">
      <c r="E1475" s="69"/>
      <c r="FT1475" s="45"/>
    </row>
    <row r="1476" spans="5:176" x14ac:dyDescent="0.2">
      <c r="E1476" s="69"/>
      <c r="FT1476" s="45"/>
    </row>
    <row r="1477" spans="5:176" x14ac:dyDescent="0.2">
      <c r="E1477" s="69"/>
      <c r="FT1477" s="45"/>
    </row>
    <row r="1478" spans="5:176" x14ac:dyDescent="0.2">
      <c r="E1478" s="69"/>
      <c r="FT1478" s="45"/>
    </row>
    <row r="1479" spans="5:176" x14ac:dyDescent="0.2">
      <c r="E1479" s="69"/>
      <c r="FT1479" s="45"/>
    </row>
    <row r="1480" spans="5:176" x14ac:dyDescent="0.2">
      <c r="E1480" s="69"/>
      <c r="FT1480" s="45"/>
    </row>
    <row r="1481" spans="5:176" x14ac:dyDescent="0.2">
      <c r="E1481" s="69"/>
      <c r="FT1481" s="45"/>
    </row>
    <row r="1482" spans="5:176" x14ac:dyDescent="0.2">
      <c r="E1482" s="69"/>
      <c r="FT1482" s="45"/>
    </row>
    <row r="1483" spans="5:176" x14ac:dyDescent="0.2">
      <c r="E1483" s="69"/>
      <c r="FT1483" s="45"/>
    </row>
    <row r="1484" spans="5:176" x14ac:dyDescent="0.2">
      <c r="E1484" s="69"/>
      <c r="FT1484" s="45"/>
    </row>
    <row r="1485" spans="5:176" x14ac:dyDescent="0.2">
      <c r="E1485" s="69"/>
      <c r="FT1485" s="45"/>
    </row>
    <row r="1486" spans="5:176" x14ac:dyDescent="0.2">
      <c r="E1486" s="69"/>
      <c r="FT1486" s="45"/>
    </row>
    <row r="1487" spans="5:176" x14ac:dyDescent="0.2">
      <c r="E1487" s="69"/>
      <c r="FT1487" s="45"/>
    </row>
    <row r="1488" spans="5:176" x14ac:dyDescent="0.2">
      <c r="E1488" s="69"/>
      <c r="FT1488" s="45"/>
    </row>
    <row r="1489" spans="5:176" x14ac:dyDescent="0.2">
      <c r="E1489" s="69"/>
      <c r="FT1489" s="45"/>
    </row>
    <row r="1490" spans="5:176" x14ac:dyDescent="0.2">
      <c r="E1490" s="69"/>
      <c r="FT1490" s="45"/>
    </row>
    <row r="1491" spans="5:176" x14ac:dyDescent="0.2">
      <c r="E1491" s="69"/>
      <c r="FT1491" s="45"/>
    </row>
    <row r="1492" spans="5:176" x14ac:dyDescent="0.2">
      <c r="E1492" s="69"/>
      <c r="FT1492" s="45"/>
    </row>
    <row r="1493" spans="5:176" x14ac:dyDescent="0.2">
      <c r="E1493" s="69"/>
      <c r="FT1493" s="45"/>
    </row>
    <row r="1494" spans="5:176" x14ac:dyDescent="0.2">
      <c r="E1494" s="69"/>
      <c r="FT1494" s="45"/>
    </row>
    <row r="1495" spans="5:176" x14ac:dyDescent="0.2">
      <c r="E1495" s="69"/>
      <c r="FT1495" s="45"/>
    </row>
    <row r="1496" spans="5:176" x14ac:dyDescent="0.2">
      <c r="E1496" s="69"/>
      <c r="FT1496" s="45"/>
    </row>
    <row r="1497" spans="5:176" x14ac:dyDescent="0.2">
      <c r="E1497" s="69"/>
      <c r="FT1497" s="45"/>
    </row>
    <row r="1498" spans="5:176" x14ac:dyDescent="0.2">
      <c r="E1498" s="69"/>
      <c r="FT1498" s="45"/>
    </row>
    <row r="1499" spans="5:176" x14ac:dyDescent="0.2">
      <c r="E1499" s="69"/>
      <c r="FT1499" s="45"/>
    </row>
    <row r="1500" spans="5:176" x14ac:dyDescent="0.2">
      <c r="E1500" s="69"/>
      <c r="FT1500" s="45"/>
    </row>
    <row r="1501" spans="5:176" x14ac:dyDescent="0.2">
      <c r="E1501" s="69"/>
      <c r="FT1501" s="45"/>
    </row>
    <row r="1502" spans="5:176" x14ac:dyDescent="0.2">
      <c r="E1502" s="69"/>
      <c r="FT1502" s="45"/>
    </row>
    <row r="1503" spans="5:176" x14ac:dyDescent="0.2">
      <c r="E1503" s="69"/>
      <c r="FT1503" s="45"/>
    </row>
    <row r="1504" spans="5:176" x14ac:dyDescent="0.2">
      <c r="E1504" s="69"/>
      <c r="FT1504" s="45"/>
    </row>
    <row r="1505" spans="5:176" x14ac:dyDescent="0.2">
      <c r="E1505" s="69"/>
      <c r="FT1505" s="45"/>
    </row>
    <row r="1506" spans="5:176" x14ac:dyDescent="0.2">
      <c r="E1506" s="69"/>
      <c r="FT1506" s="45"/>
    </row>
    <row r="1507" spans="5:176" x14ac:dyDescent="0.2">
      <c r="E1507" s="69"/>
      <c r="FT1507" s="45"/>
    </row>
    <row r="1508" spans="5:176" x14ac:dyDescent="0.2">
      <c r="E1508" s="69"/>
      <c r="FT1508" s="45"/>
    </row>
    <row r="1509" spans="5:176" x14ac:dyDescent="0.2">
      <c r="E1509" s="69"/>
      <c r="FT1509" s="45"/>
    </row>
    <row r="1510" spans="5:176" x14ac:dyDescent="0.2">
      <c r="E1510" s="69"/>
      <c r="FT1510" s="45"/>
    </row>
    <row r="1511" spans="5:176" x14ac:dyDescent="0.2">
      <c r="E1511" s="69"/>
      <c r="FT1511" s="45"/>
    </row>
    <row r="1512" spans="5:176" x14ac:dyDescent="0.2">
      <c r="E1512" s="69"/>
      <c r="FT1512" s="45"/>
    </row>
    <row r="1513" spans="5:176" x14ac:dyDescent="0.2">
      <c r="E1513" s="69"/>
      <c r="FT1513" s="45"/>
    </row>
    <row r="1514" spans="5:176" x14ac:dyDescent="0.2">
      <c r="E1514" s="69"/>
      <c r="FT1514" s="45"/>
    </row>
    <row r="1515" spans="5:176" x14ac:dyDescent="0.2">
      <c r="E1515" s="69"/>
      <c r="FT1515" s="45"/>
    </row>
    <row r="1516" spans="5:176" x14ac:dyDescent="0.2">
      <c r="E1516" s="69"/>
      <c r="FT1516" s="45"/>
    </row>
    <row r="1517" spans="5:176" x14ac:dyDescent="0.2">
      <c r="E1517" s="69"/>
      <c r="FT1517" s="45"/>
    </row>
    <row r="1518" spans="5:176" x14ac:dyDescent="0.2">
      <c r="E1518" s="69"/>
      <c r="FT1518" s="45"/>
    </row>
    <row r="1519" spans="5:176" x14ac:dyDescent="0.2">
      <c r="E1519" s="69"/>
      <c r="FT1519" s="45"/>
    </row>
    <row r="1520" spans="5:176" x14ac:dyDescent="0.2">
      <c r="E1520" s="69"/>
      <c r="FT1520" s="45"/>
    </row>
    <row r="1521" spans="5:176" x14ac:dyDescent="0.2">
      <c r="E1521" s="69"/>
      <c r="FT1521" s="45"/>
    </row>
    <row r="1522" spans="5:176" x14ac:dyDescent="0.2">
      <c r="E1522" s="69"/>
      <c r="FT1522" s="45"/>
    </row>
    <row r="1523" spans="5:176" x14ac:dyDescent="0.2">
      <c r="E1523" s="69"/>
      <c r="FT1523" s="45"/>
    </row>
    <row r="1524" spans="5:176" x14ac:dyDescent="0.2">
      <c r="E1524" s="69"/>
      <c r="FT1524" s="45"/>
    </row>
    <row r="1525" spans="5:176" x14ac:dyDescent="0.2">
      <c r="E1525" s="69"/>
      <c r="FT1525" s="45"/>
    </row>
    <row r="1526" spans="5:176" x14ac:dyDescent="0.2">
      <c r="E1526" s="69"/>
      <c r="FT1526" s="45"/>
    </row>
    <row r="1527" spans="5:176" x14ac:dyDescent="0.2">
      <c r="E1527" s="69"/>
      <c r="FT1527" s="45"/>
    </row>
    <row r="1528" spans="5:176" x14ac:dyDescent="0.2">
      <c r="E1528" s="69"/>
      <c r="FT1528" s="45"/>
    </row>
    <row r="1529" spans="5:176" x14ac:dyDescent="0.2">
      <c r="E1529" s="69"/>
      <c r="FT1529" s="45"/>
    </row>
    <row r="1530" spans="5:176" x14ac:dyDescent="0.2">
      <c r="E1530" s="69"/>
      <c r="FT1530" s="45"/>
    </row>
    <row r="1531" spans="5:176" x14ac:dyDescent="0.2">
      <c r="E1531" s="69"/>
      <c r="FT1531" s="45"/>
    </row>
    <row r="1532" spans="5:176" x14ac:dyDescent="0.2">
      <c r="E1532" s="69"/>
      <c r="FT1532" s="45"/>
    </row>
    <row r="1533" spans="5:176" x14ac:dyDescent="0.2">
      <c r="E1533" s="69"/>
      <c r="FT1533" s="45"/>
    </row>
    <row r="1534" spans="5:176" x14ac:dyDescent="0.2">
      <c r="E1534" s="69"/>
      <c r="FT1534" s="45"/>
    </row>
    <row r="1535" spans="5:176" x14ac:dyDescent="0.2">
      <c r="E1535" s="69"/>
      <c r="FT1535" s="45"/>
    </row>
    <row r="1536" spans="5:176" x14ac:dyDescent="0.2">
      <c r="E1536" s="69"/>
      <c r="FT1536" s="45"/>
    </row>
    <row r="1537" spans="5:176" x14ac:dyDescent="0.2">
      <c r="E1537" s="69"/>
      <c r="FT1537" s="45"/>
    </row>
    <row r="1538" spans="5:176" x14ac:dyDescent="0.2">
      <c r="E1538" s="69"/>
      <c r="FT1538" s="45"/>
    </row>
    <row r="1539" spans="5:176" x14ac:dyDescent="0.2">
      <c r="E1539" s="69"/>
      <c r="FT1539" s="45"/>
    </row>
    <row r="1540" spans="5:176" x14ac:dyDescent="0.2">
      <c r="E1540" s="69"/>
      <c r="FT1540" s="45"/>
    </row>
    <row r="1541" spans="5:176" x14ac:dyDescent="0.2">
      <c r="E1541" s="69"/>
      <c r="FT1541" s="45"/>
    </row>
    <row r="1542" spans="5:176" x14ac:dyDescent="0.2">
      <c r="E1542" s="69"/>
      <c r="FT1542" s="45"/>
    </row>
    <row r="1543" spans="5:176" x14ac:dyDescent="0.2">
      <c r="E1543" s="69"/>
      <c r="FT1543" s="45"/>
    </row>
    <row r="1544" spans="5:176" x14ac:dyDescent="0.2">
      <c r="E1544" s="69"/>
      <c r="FT1544" s="45"/>
    </row>
    <row r="1545" spans="5:176" x14ac:dyDescent="0.2">
      <c r="E1545" s="69"/>
      <c r="FT1545" s="45"/>
    </row>
    <row r="1546" spans="5:176" x14ac:dyDescent="0.2">
      <c r="E1546" s="69"/>
      <c r="FT1546" s="45"/>
    </row>
    <row r="1547" spans="5:176" x14ac:dyDescent="0.2">
      <c r="E1547" s="69"/>
      <c r="FT1547" s="45"/>
    </row>
    <row r="1548" spans="5:176" x14ac:dyDescent="0.2">
      <c r="E1548" s="69"/>
      <c r="FT1548" s="45"/>
    </row>
    <row r="1549" spans="5:176" x14ac:dyDescent="0.2">
      <c r="E1549" s="69"/>
      <c r="FT1549" s="45"/>
    </row>
    <row r="1550" spans="5:176" x14ac:dyDescent="0.2">
      <c r="E1550" s="69"/>
      <c r="FT1550" s="45"/>
    </row>
    <row r="1551" spans="5:176" x14ac:dyDescent="0.2">
      <c r="E1551" s="69"/>
      <c r="FT1551" s="45"/>
    </row>
    <row r="1552" spans="5:176" x14ac:dyDescent="0.2">
      <c r="E1552" s="69"/>
      <c r="FT1552" s="45"/>
    </row>
    <row r="1553" spans="5:176" x14ac:dyDescent="0.2">
      <c r="E1553" s="69"/>
      <c r="FT1553" s="45"/>
    </row>
    <row r="1554" spans="5:176" x14ac:dyDescent="0.2">
      <c r="E1554" s="69"/>
      <c r="FT1554" s="45"/>
    </row>
    <row r="1555" spans="5:176" x14ac:dyDescent="0.2">
      <c r="E1555" s="69"/>
      <c r="FT1555" s="45"/>
    </row>
    <row r="1556" spans="5:176" x14ac:dyDescent="0.2">
      <c r="E1556" s="69"/>
      <c r="FT1556" s="45"/>
    </row>
    <row r="1557" spans="5:176" x14ac:dyDescent="0.2">
      <c r="E1557" s="69"/>
      <c r="FT1557" s="45"/>
    </row>
    <row r="1558" spans="5:176" x14ac:dyDescent="0.2">
      <c r="E1558" s="69"/>
      <c r="FT1558" s="45"/>
    </row>
    <row r="1559" spans="5:176" x14ac:dyDescent="0.2">
      <c r="E1559" s="69"/>
      <c r="FT1559" s="45"/>
    </row>
    <row r="1560" spans="5:176" x14ac:dyDescent="0.2">
      <c r="E1560" s="69"/>
      <c r="FT1560" s="45"/>
    </row>
    <row r="1561" spans="5:176" x14ac:dyDescent="0.2">
      <c r="E1561" s="69"/>
      <c r="FT1561" s="45"/>
    </row>
    <row r="1562" spans="5:176" x14ac:dyDescent="0.2">
      <c r="E1562" s="69"/>
      <c r="FT1562" s="45"/>
    </row>
    <row r="1563" spans="5:176" x14ac:dyDescent="0.2">
      <c r="E1563" s="69"/>
      <c r="FT1563" s="45"/>
    </row>
    <row r="1564" spans="5:176" x14ac:dyDescent="0.2">
      <c r="E1564" s="69"/>
      <c r="FT1564" s="45"/>
    </row>
    <row r="1565" spans="5:176" x14ac:dyDescent="0.2">
      <c r="E1565" s="69"/>
      <c r="FT1565" s="45"/>
    </row>
    <row r="1566" spans="5:176" x14ac:dyDescent="0.2">
      <c r="E1566" s="69"/>
      <c r="FT1566" s="45"/>
    </row>
    <row r="1567" spans="5:176" x14ac:dyDescent="0.2">
      <c r="E1567" s="69"/>
      <c r="FT1567" s="45"/>
    </row>
    <row r="1568" spans="5:176" x14ac:dyDescent="0.2">
      <c r="E1568" s="69"/>
      <c r="FT1568" s="45"/>
    </row>
    <row r="1569" spans="5:176" x14ac:dyDescent="0.2">
      <c r="E1569" s="69"/>
      <c r="FT1569" s="45"/>
    </row>
    <row r="1570" spans="5:176" x14ac:dyDescent="0.2">
      <c r="E1570" s="69"/>
      <c r="FT1570" s="45"/>
    </row>
    <row r="1571" spans="5:176" x14ac:dyDescent="0.2">
      <c r="E1571" s="69"/>
      <c r="FT1571" s="45"/>
    </row>
    <row r="1572" spans="5:176" x14ac:dyDescent="0.2">
      <c r="E1572" s="69"/>
      <c r="FT1572" s="45"/>
    </row>
    <row r="1573" spans="5:176" x14ac:dyDescent="0.2">
      <c r="E1573" s="69"/>
      <c r="FT1573" s="45"/>
    </row>
    <row r="1574" spans="5:176" x14ac:dyDescent="0.2">
      <c r="E1574" s="69"/>
      <c r="FT1574" s="45"/>
    </row>
    <row r="1575" spans="5:176" x14ac:dyDescent="0.2">
      <c r="E1575" s="69"/>
      <c r="FT1575" s="45"/>
    </row>
    <row r="1576" spans="5:176" x14ac:dyDescent="0.2">
      <c r="E1576" s="69"/>
      <c r="FT1576" s="45"/>
    </row>
    <row r="1577" spans="5:176" x14ac:dyDescent="0.2">
      <c r="E1577" s="69"/>
      <c r="FT1577" s="45"/>
    </row>
    <row r="1578" spans="5:176" x14ac:dyDescent="0.2">
      <c r="E1578" s="69"/>
      <c r="FT1578" s="45"/>
    </row>
    <row r="1579" spans="5:176" x14ac:dyDescent="0.2">
      <c r="E1579" s="69"/>
      <c r="FT1579" s="45"/>
    </row>
    <row r="1580" spans="5:176" x14ac:dyDescent="0.2">
      <c r="E1580" s="69"/>
      <c r="FT1580" s="45"/>
    </row>
    <row r="1581" spans="5:176" x14ac:dyDescent="0.2">
      <c r="E1581" s="69"/>
      <c r="FT1581" s="45"/>
    </row>
    <row r="1582" spans="5:176" x14ac:dyDescent="0.2">
      <c r="E1582" s="69"/>
      <c r="FT1582" s="45"/>
    </row>
    <row r="1583" spans="5:176" x14ac:dyDescent="0.2">
      <c r="E1583" s="69"/>
      <c r="FT1583" s="45"/>
    </row>
    <row r="1584" spans="5:176" x14ac:dyDescent="0.2">
      <c r="E1584" s="69"/>
      <c r="FT1584" s="45"/>
    </row>
    <row r="1585" spans="5:176" x14ac:dyDescent="0.2">
      <c r="E1585" s="69"/>
      <c r="FT1585" s="45"/>
    </row>
    <row r="1586" spans="5:176" x14ac:dyDescent="0.2">
      <c r="E1586" s="69"/>
      <c r="FT1586" s="45"/>
    </row>
    <row r="1587" spans="5:176" x14ac:dyDescent="0.2">
      <c r="E1587" s="69"/>
      <c r="FT1587" s="45"/>
    </row>
    <row r="1588" spans="5:176" x14ac:dyDescent="0.2">
      <c r="E1588" s="69"/>
      <c r="FT1588" s="45"/>
    </row>
    <row r="1589" spans="5:176" x14ac:dyDescent="0.2">
      <c r="E1589" s="69"/>
      <c r="FT1589" s="45"/>
    </row>
    <row r="1590" spans="5:176" x14ac:dyDescent="0.2">
      <c r="E1590" s="69"/>
      <c r="FT1590" s="45"/>
    </row>
    <row r="1591" spans="5:176" x14ac:dyDescent="0.2">
      <c r="E1591" s="69"/>
      <c r="FT1591" s="45"/>
    </row>
    <row r="1592" spans="5:176" x14ac:dyDescent="0.2">
      <c r="E1592" s="69"/>
      <c r="FT1592" s="45"/>
    </row>
    <row r="1593" spans="5:176" x14ac:dyDescent="0.2">
      <c r="E1593" s="69"/>
      <c r="FT1593" s="45"/>
    </row>
    <row r="1594" spans="5:176" x14ac:dyDescent="0.2">
      <c r="E1594" s="69"/>
      <c r="FT1594" s="45"/>
    </row>
    <row r="1595" spans="5:176" x14ac:dyDescent="0.2">
      <c r="E1595" s="69"/>
      <c r="FT1595" s="45"/>
    </row>
    <row r="1596" spans="5:176" x14ac:dyDescent="0.2">
      <c r="E1596" s="69"/>
      <c r="FT1596" s="45"/>
    </row>
    <row r="1597" spans="5:176" x14ac:dyDescent="0.2">
      <c r="E1597" s="69"/>
      <c r="FT1597" s="45"/>
    </row>
    <row r="1598" spans="5:176" x14ac:dyDescent="0.2">
      <c r="E1598" s="69"/>
      <c r="FT1598" s="45"/>
    </row>
    <row r="1599" spans="5:176" x14ac:dyDescent="0.2">
      <c r="E1599" s="69"/>
      <c r="FT1599" s="45"/>
    </row>
    <row r="1600" spans="5:176" x14ac:dyDescent="0.2">
      <c r="E1600" s="69"/>
      <c r="FT1600" s="45"/>
    </row>
    <row r="1601" spans="5:176" x14ac:dyDescent="0.2">
      <c r="E1601" s="69"/>
      <c r="FT1601" s="45"/>
    </row>
    <row r="1602" spans="5:176" x14ac:dyDescent="0.2">
      <c r="E1602" s="69"/>
      <c r="FT1602" s="45"/>
    </row>
    <row r="1603" spans="5:176" x14ac:dyDescent="0.2">
      <c r="E1603" s="69"/>
      <c r="FT1603" s="45"/>
    </row>
    <row r="1604" spans="5:176" x14ac:dyDescent="0.2">
      <c r="E1604" s="69"/>
      <c r="FT1604" s="45"/>
    </row>
    <row r="1605" spans="5:176" x14ac:dyDescent="0.2">
      <c r="E1605" s="69"/>
      <c r="FT1605" s="45"/>
    </row>
    <row r="1606" spans="5:176" x14ac:dyDescent="0.2">
      <c r="E1606" s="69"/>
      <c r="FT1606" s="45"/>
    </row>
    <row r="1607" spans="5:176" x14ac:dyDescent="0.2">
      <c r="E1607" s="69"/>
      <c r="FT1607" s="45"/>
    </row>
    <row r="1608" spans="5:176" x14ac:dyDescent="0.2">
      <c r="E1608" s="69"/>
      <c r="FT1608" s="45"/>
    </row>
    <row r="1609" spans="5:176" x14ac:dyDescent="0.2">
      <c r="E1609" s="69"/>
      <c r="FT1609" s="45"/>
    </row>
    <row r="1610" spans="5:176" x14ac:dyDescent="0.2">
      <c r="E1610" s="69"/>
      <c r="FT1610" s="45"/>
    </row>
    <row r="1611" spans="5:176" x14ac:dyDescent="0.2">
      <c r="E1611" s="69"/>
      <c r="FT1611" s="45"/>
    </row>
    <row r="1612" spans="5:176" x14ac:dyDescent="0.2">
      <c r="E1612" s="69"/>
      <c r="FT1612" s="45"/>
    </row>
    <row r="1613" spans="5:176" x14ac:dyDescent="0.2">
      <c r="E1613" s="69"/>
      <c r="FT1613" s="45"/>
    </row>
    <row r="1614" spans="5:176" x14ac:dyDescent="0.2">
      <c r="E1614" s="69"/>
      <c r="FT1614" s="45"/>
    </row>
    <row r="1615" spans="5:176" x14ac:dyDescent="0.2">
      <c r="E1615" s="69"/>
      <c r="FT1615" s="45"/>
    </row>
    <row r="1616" spans="5:176" x14ac:dyDescent="0.2">
      <c r="E1616" s="69"/>
      <c r="FT1616" s="45"/>
    </row>
    <row r="1617" spans="5:176" x14ac:dyDescent="0.2">
      <c r="E1617" s="69"/>
      <c r="FT1617" s="45"/>
    </row>
    <row r="1618" spans="5:176" x14ac:dyDescent="0.2">
      <c r="E1618" s="69"/>
      <c r="FT1618" s="45"/>
    </row>
    <row r="1619" spans="5:176" x14ac:dyDescent="0.2">
      <c r="E1619" s="69"/>
      <c r="FT1619" s="45"/>
    </row>
    <row r="1620" spans="5:176" x14ac:dyDescent="0.2">
      <c r="E1620" s="69"/>
      <c r="FT1620" s="45"/>
    </row>
    <row r="1621" spans="5:176" x14ac:dyDescent="0.2">
      <c r="E1621" s="69"/>
      <c r="FT1621" s="45"/>
    </row>
    <row r="1622" spans="5:176" x14ac:dyDescent="0.2">
      <c r="E1622" s="69"/>
      <c r="FT1622" s="45"/>
    </row>
    <row r="1623" spans="5:176" x14ac:dyDescent="0.2">
      <c r="E1623" s="69"/>
      <c r="FT1623" s="45"/>
    </row>
    <row r="1624" spans="5:176" x14ac:dyDescent="0.2">
      <c r="E1624" s="69"/>
      <c r="FT1624" s="45"/>
    </row>
    <row r="1625" spans="5:176" x14ac:dyDescent="0.2">
      <c r="E1625" s="69"/>
      <c r="FT1625" s="45"/>
    </row>
    <row r="1626" spans="5:176" x14ac:dyDescent="0.2">
      <c r="E1626" s="69"/>
      <c r="FT1626" s="45"/>
    </row>
    <row r="1627" spans="5:176" x14ac:dyDescent="0.2">
      <c r="E1627" s="69"/>
      <c r="FT1627" s="45"/>
    </row>
    <row r="1628" spans="5:176" x14ac:dyDescent="0.2">
      <c r="E1628" s="69"/>
      <c r="FT1628" s="45"/>
    </row>
    <row r="1629" spans="5:176" x14ac:dyDescent="0.2">
      <c r="E1629" s="69"/>
      <c r="FT1629" s="45"/>
    </row>
    <row r="1630" spans="5:176" x14ac:dyDescent="0.2">
      <c r="E1630" s="69"/>
      <c r="FT1630" s="45"/>
    </row>
    <row r="1631" spans="5:176" x14ac:dyDescent="0.2">
      <c r="E1631" s="69"/>
      <c r="FT1631" s="45"/>
    </row>
    <row r="1632" spans="5:176" x14ac:dyDescent="0.2">
      <c r="E1632" s="69"/>
      <c r="FT1632" s="45"/>
    </row>
    <row r="1633" spans="5:176" x14ac:dyDescent="0.2">
      <c r="E1633" s="69"/>
      <c r="FT1633" s="45"/>
    </row>
    <row r="1634" spans="5:176" x14ac:dyDescent="0.2">
      <c r="E1634" s="69"/>
      <c r="FT1634" s="45"/>
    </row>
    <row r="1635" spans="5:176" x14ac:dyDescent="0.2">
      <c r="E1635" s="69"/>
      <c r="FT1635" s="45"/>
    </row>
    <row r="1636" spans="5:176" x14ac:dyDescent="0.2">
      <c r="E1636" s="69"/>
      <c r="FT1636" s="45"/>
    </row>
    <row r="1637" spans="5:176" x14ac:dyDescent="0.2">
      <c r="E1637" s="69"/>
      <c r="FT1637" s="45"/>
    </row>
    <row r="1638" spans="5:176" x14ac:dyDescent="0.2">
      <c r="E1638" s="69"/>
      <c r="FT1638" s="45"/>
    </row>
    <row r="1639" spans="5:176" x14ac:dyDescent="0.2">
      <c r="E1639" s="69"/>
      <c r="FT1639" s="45"/>
    </row>
    <row r="1640" spans="5:176" x14ac:dyDescent="0.2">
      <c r="E1640" s="69"/>
      <c r="FT1640" s="45"/>
    </row>
    <row r="1641" spans="5:176" x14ac:dyDescent="0.2">
      <c r="E1641" s="69"/>
      <c r="FT1641" s="45"/>
    </row>
    <row r="1642" spans="5:176" x14ac:dyDescent="0.2">
      <c r="E1642" s="69"/>
      <c r="FT1642" s="45"/>
    </row>
    <row r="1643" spans="5:176" x14ac:dyDescent="0.2">
      <c r="E1643" s="69"/>
      <c r="FT1643" s="45"/>
    </row>
    <row r="1644" spans="5:176" x14ac:dyDescent="0.2">
      <c r="E1644" s="69"/>
      <c r="FT1644" s="45"/>
    </row>
    <row r="1645" spans="5:176" x14ac:dyDescent="0.2">
      <c r="E1645" s="69"/>
      <c r="FT1645" s="45"/>
    </row>
    <row r="1646" spans="5:176" x14ac:dyDescent="0.2">
      <c r="E1646" s="69"/>
      <c r="FT1646" s="45"/>
    </row>
    <row r="1647" spans="5:176" x14ac:dyDescent="0.2">
      <c r="E1647" s="69"/>
      <c r="FT1647" s="45"/>
    </row>
    <row r="1648" spans="5:176" x14ac:dyDescent="0.2">
      <c r="E1648" s="69"/>
      <c r="FT1648" s="45"/>
    </row>
    <row r="1649" spans="5:176" x14ac:dyDescent="0.2">
      <c r="E1649" s="69"/>
      <c r="FT1649" s="45"/>
    </row>
    <row r="1650" spans="5:176" x14ac:dyDescent="0.2">
      <c r="E1650" s="69"/>
      <c r="FT1650" s="45"/>
    </row>
    <row r="1651" spans="5:176" x14ac:dyDescent="0.2">
      <c r="E1651" s="69"/>
      <c r="FT1651" s="45"/>
    </row>
    <row r="1652" spans="5:176" x14ac:dyDescent="0.2">
      <c r="E1652" s="69"/>
      <c r="FT1652" s="45"/>
    </row>
    <row r="1653" spans="5:176" x14ac:dyDescent="0.2">
      <c r="E1653" s="69"/>
      <c r="FT1653" s="45"/>
    </row>
    <row r="1654" spans="5:176" x14ac:dyDescent="0.2">
      <c r="E1654" s="69"/>
      <c r="FT1654" s="45"/>
    </row>
    <row r="1655" spans="5:176" x14ac:dyDescent="0.2">
      <c r="E1655" s="69"/>
      <c r="FT1655" s="45"/>
    </row>
    <row r="1656" spans="5:176" x14ac:dyDescent="0.2">
      <c r="E1656" s="69"/>
      <c r="FT1656" s="45"/>
    </row>
    <row r="1657" spans="5:176" x14ac:dyDescent="0.2">
      <c r="E1657" s="69"/>
      <c r="FT1657" s="45"/>
    </row>
    <row r="1658" spans="5:176" x14ac:dyDescent="0.2">
      <c r="E1658" s="69"/>
      <c r="FT1658" s="45"/>
    </row>
    <row r="1659" spans="5:176" x14ac:dyDescent="0.2">
      <c r="E1659" s="69"/>
      <c r="FT1659" s="45"/>
    </row>
    <row r="1660" spans="5:176" x14ac:dyDescent="0.2">
      <c r="E1660" s="69"/>
      <c r="FT1660" s="45"/>
    </row>
    <row r="1661" spans="5:176" x14ac:dyDescent="0.2">
      <c r="E1661" s="69"/>
      <c r="FT1661" s="45"/>
    </row>
    <row r="1662" spans="5:176" x14ac:dyDescent="0.2">
      <c r="E1662" s="69"/>
      <c r="FT1662" s="45"/>
    </row>
    <row r="1663" spans="5:176" x14ac:dyDescent="0.2">
      <c r="E1663" s="69"/>
      <c r="FT1663" s="45"/>
    </row>
    <row r="1664" spans="5:176" x14ac:dyDescent="0.2">
      <c r="E1664" s="69"/>
      <c r="FT1664" s="45"/>
    </row>
    <row r="1665" spans="5:176" x14ac:dyDescent="0.2">
      <c r="E1665" s="69"/>
      <c r="FT1665" s="45"/>
    </row>
    <row r="1666" spans="5:176" x14ac:dyDescent="0.2">
      <c r="E1666" s="69"/>
      <c r="FT1666" s="45"/>
    </row>
    <row r="1667" spans="5:176" x14ac:dyDescent="0.2">
      <c r="E1667" s="69"/>
      <c r="FT1667" s="45"/>
    </row>
    <row r="1668" spans="5:176" x14ac:dyDescent="0.2">
      <c r="E1668" s="69"/>
      <c r="FT1668" s="45"/>
    </row>
    <row r="1669" spans="5:176" x14ac:dyDescent="0.2">
      <c r="E1669" s="69"/>
      <c r="FT1669" s="45"/>
    </row>
    <row r="1670" spans="5:176" x14ac:dyDescent="0.2">
      <c r="E1670" s="69"/>
      <c r="FT1670" s="45"/>
    </row>
    <row r="1671" spans="5:176" x14ac:dyDescent="0.2">
      <c r="E1671" s="69"/>
      <c r="FT1671" s="45"/>
    </row>
    <row r="1672" spans="5:176" x14ac:dyDescent="0.2">
      <c r="E1672" s="69"/>
      <c r="FT1672" s="45"/>
    </row>
    <row r="1673" spans="5:176" x14ac:dyDescent="0.2">
      <c r="E1673" s="69"/>
      <c r="FT1673" s="45"/>
    </row>
    <row r="1674" spans="5:176" x14ac:dyDescent="0.2">
      <c r="E1674" s="69"/>
      <c r="FT1674" s="45"/>
    </row>
    <row r="1675" spans="5:176" x14ac:dyDescent="0.2">
      <c r="E1675" s="69"/>
      <c r="FT1675" s="45"/>
    </row>
    <row r="1676" spans="5:176" x14ac:dyDescent="0.2">
      <c r="E1676" s="69"/>
      <c r="FT1676" s="45"/>
    </row>
    <row r="1677" spans="5:176" x14ac:dyDescent="0.2">
      <c r="E1677" s="69"/>
      <c r="FT1677" s="45"/>
    </row>
    <row r="1678" spans="5:176" x14ac:dyDescent="0.2">
      <c r="E1678" s="69"/>
      <c r="FT1678" s="45"/>
    </row>
    <row r="1679" spans="5:176" x14ac:dyDescent="0.2">
      <c r="E1679" s="69"/>
      <c r="FT1679" s="45"/>
    </row>
    <row r="1680" spans="5:176" x14ac:dyDescent="0.2">
      <c r="E1680" s="69"/>
      <c r="FT1680" s="45"/>
    </row>
    <row r="1681" spans="5:176" x14ac:dyDescent="0.2">
      <c r="E1681" s="69"/>
      <c r="FT1681" s="45"/>
    </row>
    <row r="1682" spans="5:176" x14ac:dyDescent="0.2">
      <c r="E1682" s="69"/>
      <c r="FT1682" s="45"/>
    </row>
    <row r="1683" spans="5:176" x14ac:dyDescent="0.2">
      <c r="E1683" s="69"/>
      <c r="FT1683" s="45"/>
    </row>
    <row r="1684" spans="5:176" x14ac:dyDescent="0.2">
      <c r="E1684" s="69"/>
      <c r="FT1684" s="45"/>
    </row>
    <row r="1685" spans="5:176" x14ac:dyDescent="0.2">
      <c r="E1685" s="69"/>
      <c r="FT1685" s="45"/>
    </row>
    <row r="1686" spans="5:176" x14ac:dyDescent="0.2">
      <c r="E1686" s="69"/>
      <c r="FT1686" s="45"/>
    </row>
    <row r="1687" spans="5:176" x14ac:dyDescent="0.2">
      <c r="E1687" s="69"/>
      <c r="FT1687" s="45"/>
    </row>
    <row r="1688" spans="5:176" x14ac:dyDescent="0.2">
      <c r="E1688" s="69"/>
      <c r="FT1688" s="45"/>
    </row>
    <row r="1689" spans="5:176" x14ac:dyDescent="0.2">
      <c r="E1689" s="69"/>
      <c r="FT1689" s="45"/>
    </row>
    <row r="1690" spans="5:176" x14ac:dyDescent="0.2">
      <c r="E1690" s="69"/>
      <c r="FT1690" s="45"/>
    </row>
    <row r="1691" spans="5:176" x14ac:dyDescent="0.2">
      <c r="E1691" s="69"/>
      <c r="FT1691" s="45"/>
    </row>
    <row r="1692" spans="5:176" x14ac:dyDescent="0.2">
      <c r="E1692" s="69"/>
      <c r="FT1692" s="45"/>
    </row>
    <row r="1693" spans="5:176" x14ac:dyDescent="0.2">
      <c r="E1693" s="69"/>
      <c r="FT1693" s="45"/>
    </row>
    <row r="1694" spans="5:176" x14ac:dyDescent="0.2">
      <c r="E1694" s="69"/>
      <c r="FT1694" s="45"/>
    </row>
    <row r="1695" spans="5:176" x14ac:dyDescent="0.2">
      <c r="E1695" s="69"/>
      <c r="FT1695" s="45"/>
    </row>
    <row r="1696" spans="5:176" x14ac:dyDescent="0.2">
      <c r="E1696" s="69"/>
      <c r="FT1696" s="45"/>
    </row>
    <row r="1697" spans="5:176" x14ac:dyDescent="0.2">
      <c r="E1697" s="69"/>
      <c r="FT1697" s="45"/>
    </row>
    <row r="1698" spans="5:176" x14ac:dyDescent="0.2">
      <c r="E1698" s="69"/>
      <c r="FT1698" s="45"/>
    </row>
    <row r="1699" spans="5:176" x14ac:dyDescent="0.2">
      <c r="E1699" s="69"/>
      <c r="FT1699" s="45"/>
    </row>
    <row r="1700" spans="5:176" x14ac:dyDescent="0.2">
      <c r="E1700" s="69"/>
      <c r="FT1700" s="45"/>
    </row>
    <row r="1701" spans="5:176" x14ac:dyDescent="0.2">
      <c r="E1701" s="69"/>
      <c r="FT1701" s="45"/>
    </row>
    <row r="1702" spans="5:176" x14ac:dyDescent="0.2">
      <c r="E1702" s="69"/>
      <c r="FT1702" s="45"/>
    </row>
    <row r="1703" spans="5:176" x14ac:dyDescent="0.2">
      <c r="E1703" s="69"/>
      <c r="FT1703" s="45"/>
    </row>
    <row r="1704" spans="5:176" x14ac:dyDescent="0.2">
      <c r="E1704" s="69"/>
      <c r="FT1704" s="45"/>
    </row>
    <row r="1705" spans="5:176" x14ac:dyDescent="0.2">
      <c r="E1705" s="69"/>
      <c r="FT1705" s="45"/>
    </row>
    <row r="1706" spans="5:176" x14ac:dyDescent="0.2">
      <c r="E1706" s="69"/>
      <c r="FT1706" s="45"/>
    </row>
    <row r="1707" spans="5:176" x14ac:dyDescent="0.2">
      <c r="E1707" s="69"/>
      <c r="FT1707" s="45"/>
    </row>
    <row r="1708" spans="5:176" x14ac:dyDescent="0.2">
      <c r="E1708" s="69"/>
      <c r="FT1708" s="45"/>
    </row>
    <row r="1709" spans="5:176" x14ac:dyDescent="0.2">
      <c r="E1709" s="69"/>
      <c r="FT1709" s="45"/>
    </row>
    <row r="1710" spans="5:176" x14ac:dyDescent="0.2">
      <c r="E1710" s="69"/>
      <c r="FT1710" s="45"/>
    </row>
    <row r="1711" spans="5:176" x14ac:dyDescent="0.2">
      <c r="E1711" s="69"/>
      <c r="FT1711" s="45"/>
    </row>
    <row r="1712" spans="5:176" x14ac:dyDescent="0.2">
      <c r="E1712" s="69"/>
      <c r="FT1712" s="45"/>
    </row>
    <row r="1713" spans="5:176" x14ac:dyDescent="0.2">
      <c r="E1713" s="69"/>
      <c r="FT1713" s="45"/>
    </row>
    <row r="1714" spans="5:176" x14ac:dyDescent="0.2">
      <c r="E1714" s="69"/>
      <c r="FT1714" s="45"/>
    </row>
    <row r="1715" spans="5:176" x14ac:dyDescent="0.2">
      <c r="E1715" s="69"/>
      <c r="FT1715" s="45"/>
    </row>
    <row r="1716" spans="5:176" x14ac:dyDescent="0.2">
      <c r="E1716" s="69"/>
      <c r="FT1716" s="45"/>
    </row>
    <row r="1717" spans="5:176" x14ac:dyDescent="0.2">
      <c r="E1717" s="69"/>
      <c r="FT1717" s="45"/>
    </row>
    <row r="1718" spans="5:176" x14ac:dyDescent="0.2">
      <c r="E1718" s="69"/>
      <c r="FT1718" s="45"/>
    </row>
    <row r="1719" spans="5:176" x14ac:dyDescent="0.2">
      <c r="E1719" s="69"/>
      <c r="FT1719" s="45"/>
    </row>
    <row r="1720" spans="5:176" x14ac:dyDescent="0.2">
      <c r="E1720" s="69"/>
      <c r="FT1720" s="45"/>
    </row>
    <row r="1721" spans="5:176" x14ac:dyDescent="0.2">
      <c r="E1721" s="69"/>
      <c r="FT1721" s="45"/>
    </row>
    <row r="1722" spans="5:176" x14ac:dyDescent="0.2">
      <c r="E1722" s="69"/>
      <c r="FT1722" s="45"/>
    </row>
    <row r="1723" spans="5:176" x14ac:dyDescent="0.2">
      <c r="E1723" s="69"/>
      <c r="FT1723" s="45"/>
    </row>
    <row r="1724" spans="5:176" x14ac:dyDescent="0.2">
      <c r="E1724" s="69"/>
      <c r="FT1724" s="45"/>
    </row>
    <row r="1725" spans="5:176" x14ac:dyDescent="0.2">
      <c r="E1725" s="69"/>
      <c r="FT1725" s="45"/>
    </row>
    <row r="1726" spans="5:176" x14ac:dyDescent="0.2">
      <c r="E1726" s="69"/>
      <c r="FT1726" s="45"/>
    </row>
    <row r="1727" spans="5:176" x14ac:dyDescent="0.2">
      <c r="E1727" s="69"/>
      <c r="FT1727" s="45"/>
    </row>
    <row r="1728" spans="5:176" x14ac:dyDescent="0.2">
      <c r="E1728" s="69"/>
      <c r="FT1728" s="45"/>
    </row>
    <row r="1729" spans="5:176" x14ac:dyDescent="0.2">
      <c r="E1729" s="69"/>
      <c r="FT1729" s="45"/>
    </row>
    <row r="1730" spans="5:176" x14ac:dyDescent="0.2">
      <c r="E1730" s="69"/>
      <c r="FT1730" s="45"/>
    </row>
    <row r="1731" spans="5:176" x14ac:dyDescent="0.2">
      <c r="E1731" s="69"/>
      <c r="FT1731" s="45"/>
    </row>
    <row r="1732" spans="5:176" x14ac:dyDescent="0.2">
      <c r="E1732" s="69"/>
      <c r="FT1732" s="45"/>
    </row>
    <row r="1733" spans="5:176" x14ac:dyDescent="0.2">
      <c r="E1733" s="69"/>
      <c r="FT1733" s="45"/>
    </row>
    <row r="1734" spans="5:176" x14ac:dyDescent="0.2">
      <c r="E1734" s="69"/>
      <c r="FT1734" s="45"/>
    </row>
    <row r="1735" spans="5:176" x14ac:dyDescent="0.2">
      <c r="E1735" s="69"/>
      <c r="FT1735" s="45"/>
    </row>
    <row r="1736" spans="5:176" x14ac:dyDescent="0.2">
      <c r="E1736" s="69"/>
      <c r="FT1736" s="45"/>
    </row>
    <row r="1737" spans="5:176" x14ac:dyDescent="0.2">
      <c r="E1737" s="69"/>
      <c r="FT1737" s="45"/>
    </row>
    <row r="1738" spans="5:176" x14ac:dyDescent="0.2">
      <c r="E1738" s="69"/>
      <c r="FT1738" s="45"/>
    </row>
    <row r="1739" spans="5:176" x14ac:dyDescent="0.2">
      <c r="E1739" s="69"/>
      <c r="FT1739" s="45"/>
    </row>
    <row r="1740" spans="5:176" x14ac:dyDescent="0.2">
      <c r="E1740" s="69"/>
      <c r="FT1740" s="45"/>
    </row>
    <row r="1741" spans="5:176" x14ac:dyDescent="0.2">
      <c r="E1741" s="69"/>
      <c r="FT1741" s="45"/>
    </row>
    <row r="1742" spans="5:176" x14ac:dyDescent="0.2">
      <c r="E1742" s="69"/>
      <c r="FT1742" s="45"/>
    </row>
    <row r="1743" spans="5:176" x14ac:dyDescent="0.2">
      <c r="E1743" s="69"/>
      <c r="FT1743" s="45"/>
    </row>
    <row r="1744" spans="5:176" x14ac:dyDescent="0.2">
      <c r="E1744" s="69"/>
      <c r="FT1744" s="45"/>
    </row>
    <row r="1745" spans="5:176" x14ac:dyDescent="0.2">
      <c r="E1745" s="69"/>
      <c r="FT1745" s="45"/>
    </row>
    <row r="1746" spans="5:176" x14ac:dyDescent="0.2">
      <c r="E1746" s="69"/>
      <c r="FT1746" s="45"/>
    </row>
    <row r="1747" spans="5:176" x14ac:dyDescent="0.2">
      <c r="E1747" s="69"/>
      <c r="FT1747" s="45"/>
    </row>
    <row r="1748" spans="5:176" x14ac:dyDescent="0.2">
      <c r="E1748" s="69"/>
      <c r="FT1748" s="45"/>
    </row>
    <row r="1749" spans="5:176" x14ac:dyDescent="0.2">
      <c r="E1749" s="69"/>
      <c r="FT1749" s="45"/>
    </row>
    <row r="1750" spans="5:176" x14ac:dyDescent="0.2">
      <c r="E1750" s="69"/>
      <c r="FT1750" s="45"/>
    </row>
    <row r="1751" spans="5:176" x14ac:dyDescent="0.2">
      <c r="E1751" s="69"/>
      <c r="FT1751" s="45"/>
    </row>
    <row r="1752" spans="5:176" x14ac:dyDescent="0.2">
      <c r="E1752" s="69"/>
      <c r="FT1752" s="45"/>
    </row>
    <row r="1753" spans="5:176" x14ac:dyDescent="0.2">
      <c r="E1753" s="69"/>
      <c r="FT1753" s="45"/>
    </row>
    <row r="1754" spans="5:176" x14ac:dyDescent="0.2">
      <c r="E1754" s="69"/>
      <c r="FT1754" s="45"/>
    </row>
    <row r="1755" spans="5:176" x14ac:dyDescent="0.2">
      <c r="E1755" s="69"/>
      <c r="FT1755" s="45"/>
    </row>
    <row r="1756" spans="5:176" x14ac:dyDescent="0.2">
      <c r="E1756" s="69"/>
      <c r="FT1756" s="45"/>
    </row>
    <row r="1757" spans="5:176" x14ac:dyDescent="0.2">
      <c r="E1757" s="69"/>
      <c r="FT1757" s="45"/>
    </row>
    <row r="1758" spans="5:176" x14ac:dyDescent="0.2">
      <c r="E1758" s="69"/>
      <c r="FT1758" s="45"/>
    </row>
    <row r="1759" spans="5:176" x14ac:dyDescent="0.2">
      <c r="E1759" s="69"/>
      <c r="FT1759" s="45"/>
    </row>
    <row r="1760" spans="5:176" x14ac:dyDescent="0.2">
      <c r="E1760" s="69"/>
      <c r="FT1760" s="45"/>
    </row>
    <row r="1761" spans="5:176" x14ac:dyDescent="0.2">
      <c r="E1761" s="69"/>
      <c r="FT1761" s="45"/>
    </row>
    <row r="1762" spans="5:176" x14ac:dyDescent="0.2">
      <c r="E1762" s="69"/>
      <c r="FT1762" s="45"/>
    </row>
    <row r="1763" spans="5:176" x14ac:dyDescent="0.2">
      <c r="E1763" s="69"/>
      <c r="FT1763" s="45"/>
    </row>
    <row r="1764" spans="5:176" x14ac:dyDescent="0.2">
      <c r="E1764" s="69"/>
      <c r="FT1764" s="45"/>
    </row>
    <row r="1765" spans="5:176" x14ac:dyDescent="0.2">
      <c r="E1765" s="69"/>
      <c r="FT1765" s="45"/>
    </row>
    <row r="1766" spans="5:176" x14ac:dyDescent="0.2">
      <c r="E1766" s="69"/>
      <c r="FT1766" s="45"/>
    </row>
    <row r="1767" spans="5:176" x14ac:dyDescent="0.2">
      <c r="E1767" s="69"/>
      <c r="FT1767" s="45"/>
    </row>
    <row r="1768" spans="5:176" x14ac:dyDescent="0.2">
      <c r="E1768" s="69"/>
      <c r="FT1768" s="45"/>
    </row>
    <row r="1769" spans="5:176" x14ac:dyDescent="0.2">
      <c r="E1769" s="69"/>
      <c r="FT1769" s="45"/>
    </row>
    <row r="1770" spans="5:176" x14ac:dyDescent="0.2">
      <c r="E1770" s="69"/>
      <c r="FT1770" s="45"/>
    </row>
    <row r="1771" spans="5:176" x14ac:dyDescent="0.2">
      <c r="E1771" s="69"/>
      <c r="FT1771" s="45"/>
    </row>
    <row r="1772" spans="5:176" x14ac:dyDescent="0.2">
      <c r="E1772" s="69"/>
      <c r="FT1772" s="45"/>
    </row>
    <row r="1773" spans="5:176" x14ac:dyDescent="0.2">
      <c r="E1773" s="69"/>
      <c r="FT1773" s="45"/>
    </row>
    <row r="1774" spans="5:176" x14ac:dyDescent="0.2">
      <c r="E1774" s="69"/>
      <c r="FT1774" s="45"/>
    </row>
    <row r="1775" spans="5:176" x14ac:dyDescent="0.2">
      <c r="E1775" s="69"/>
      <c r="FT1775" s="45"/>
    </row>
    <row r="1776" spans="5:176" x14ac:dyDescent="0.2">
      <c r="E1776" s="69"/>
      <c r="FT1776" s="45"/>
    </row>
    <row r="1777" spans="5:176" x14ac:dyDescent="0.2">
      <c r="E1777" s="69"/>
      <c r="FT1777" s="45"/>
    </row>
    <row r="1778" spans="5:176" x14ac:dyDescent="0.2">
      <c r="E1778" s="69"/>
      <c r="FT1778" s="45"/>
    </row>
    <row r="1779" spans="5:176" x14ac:dyDescent="0.2">
      <c r="E1779" s="69"/>
      <c r="FT1779" s="45"/>
    </row>
    <row r="1780" spans="5:176" x14ac:dyDescent="0.2">
      <c r="E1780" s="69"/>
      <c r="FT1780" s="45"/>
    </row>
    <row r="1781" spans="5:176" x14ac:dyDescent="0.2">
      <c r="E1781" s="69"/>
      <c r="FT1781" s="45"/>
    </row>
    <row r="1782" spans="5:176" x14ac:dyDescent="0.2">
      <c r="E1782" s="69"/>
      <c r="FT1782" s="45"/>
    </row>
    <row r="1783" spans="5:176" x14ac:dyDescent="0.2">
      <c r="E1783" s="69"/>
      <c r="FT1783" s="45"/>
    </row>
    <row r="1784" spans="5:176" x14ac:dyDescent="0.2">
      <c r="E1784" s="69"/>
      <c r="FT1784" s="45"/>
    </row>
    <row r="1785" spans="5:176" x14ac:dyDescent="0.2">
      <c r="E1785" s="69"/>
      <c r="FT1785" s="45"/>
    </row>
    <row r="1786" spans="5:176" x14ac:dyDescent="0.2">
      <c r="E1786" s="69"/>
      <c r="FT1786" s="45"/>
    </row>
    <row r="1787" spans="5:176" x14ac:dyDescent="0.2">
      <c r="E1787" s="69"/>
      <c r="FT1787" s="45"/>
    </row>
    <row r="1788" spans="5:176" x14ac:dyDescent="0.2">
      <c r="E1788" s="69"/>
      <c r="FT1788" s="45"/>
    </row>
    <row r="1789" spans="5:176" x14ac:dyDescent="0.2">
      <c r="E1789" s="69"/>
      <c r="FT1789" s="45"/>
    </row>
    <row r="1790" spans="5:176" x14ac:dyDescent="0.2">
      <c r="E1790" s="69"/>
      <c r="FT1790" s="45"/>
    </row>
    <row r="1791" spans="5:176" x14ac:dyDescent="0.2">
      <c r="E1791" s="69"/>
      <c r="FT1791" s="45"/>
    </row>
    <row r="1792" spans="5:176" x14ac:dyDescent="0.2">
      <c r="E1792" s="69"/>
      <c r="FT1792" s="45"/>
    </row>
    <row r="1793" spans="5:176" x14ac:dyDescent="0.2">
      <c r="E1793" s="69"/>
      <c r="FT1793" s="45"/>
    </row>
    <row r="1794" spans="5:176" x14ac:dyDescent="0.2">
      <c r="E1794" s="69"/>
      <c r="FT1794" s="45"/>
    </row>
    <row r="1795" spans="5:176" x14ac:dyDescent="0.2">
      <c r="E1795" s="69"/>
      <c r="FT1795" s="45"/>
    </row>
    <row r="1796" spans="5:176" x14ac:dyDescent="0.2">
      <c r="E1796" s="69"/>
      <c r="FT1796" s="45"/>
    </row>
    <row r="1797" spans="5:176" x14ac:dyDescent="0.2">
      <c r="E1797" s="69"/>
      <c r="FT1797" s="45"/>
    </row>
    <row r="1798" spans="5:176" x14ac:dyDescent="0.2">
      <c r="E1798" s="69"/>
      <c r="FT1798" s="45"/>
    </row>
    <row r="1799" spans="5:176" x14ac:dyDescent="0.2">
      <c r="E1799" s="69"/>
      <c r="EH1799" s="61"/>
      <c r="FT1799" s="45"/>
    </row>
    <row r="1800" spans="5:176" x14ac:dyDescent="0.2">
      <c r="E1800" s="69"/>
      <c r="FT1800" s="45"/>
    </row>
    <row r="1801" spans="5:176" x14ac:dyDescent="0.2">
      <c r="E1801" s="69"/>
      <c r="FT1801" s="45"/>
    </row>
    <row r="1802" spans="5:176" x14ac:dyDescent="0.2">
      <c r="E1802" s="69"/>
      <c r="FT1802" s="45"/>
    </row>
    <row r="1803" spans="5:176" x14ac:dyDescent="0.2">
      <c r="E1803" s="69"/>
      <c r="FT1803" s="45"/>
    </row>
    <row r="1804" spans="5:176" x14ac:dyDescent="0.2">
      <c r="E1804" s="69"/>
      <c r="FT1804" s="45"/>
    </row>
    <row r="1805" spans="5:176" x14ac:dyDescent="0.2">
      <c r="E1805" s="69"/>
      <c r="FT1805" s="45"/>
    </row>
    <row r="1806" spans="5:176" x14ac:dyDescent="0.2">
      <c r="E1806" s="69"/>
      <c r="FT1806" s="45"/>
    </row>
    <row r="1807" spans="5:176" x14ac:dyDescent="0.2">
      <c r="E1807" s="69"/>
      <c r="FT1807" s="45"/>
    </row>
    <row r="1808" spans="5:176" x14ac:dyDescent="0.2">
      <c r="E1808" s="69"/>
      <c r="FT1808" s="45"/>
    </row>
    <row r="1809" spans="5:176" x14ac:dyDescent="0.2">
      <c r="E1809" s="69"/>
      <c r="FT1809" s="45"/>
    </row>
    <row r="1810" spans="5:176" x14ac:dyDescent="0.2">
      <c r="E1810" s="69"/>
      <c r="FT1810" s="45"/>
    </row>
    <row r="1811" spans="5:176" x14ac:dyDescent="0.2">
      <c r="E1811" s="69"/>
      <c r="FT1811" s="45"/>
    </row>
    <row r="1812" spans="5:176" x14ac:dyDescent="0.2">
      <c r="E1812" s="69"/>
      <c r="FT1812" s="45"/>
    </row>
    <row r="1813" spans="5:176" x14ac:dyDescent="0.2">
      <c r="E1813" s="69"/>
      <c r="FT1813" s="45"/>
    </row>
    <row r="1814" spans="5:176" x14ac:dyDescent="0.2">
      <c r="E1814" s="69"/>
      <c r="FT1814" s="45"/>
    </row>
    <row r="1815" spans="5:176" x14ac:dyDescent="0.2">
      <c r="E1815" s="69"/>
      <c r="FT1815" s="45"/>
    </row>
    <row r="1816" spans="5:176" x14ac:dyDescent="0.2">
      <c r="E1816" s="69"/>
      <c r="FT1816" s="45"/>
    </row>
    <row r="1817" spans="5:176" x14ac:dyDescent="0.2">
      <c r="E1817" s="69"/>
      <c r="FT1817" s="45"/>
    </row>
    <row r="1818" spans="5:176" x14ac:dyDescent="0.2">
      <c r="E1818" s="69"/>
      <c r="FT1818" s="45"/>
    </row>
    <row r="1819" spans="5:176" x14ac:dyDescent="0.2">
      <c r="E1819" s="69"/>
      <c r="FT1819" s="45"/>
    </row>
    <row r="1820" spans="5:176" x14ac:dyDescent="0.2">
      <c r="E1820" s="69"/>
      <c r="FT1820" s="45"/>
    </row>
    <row r="1821" spans="5:176" x14ac:dyDescent="0.2">
      <c r="E1821" s="69"/>
      <c r="FT1821" s="45"/>
    </row>
    <row r="1822" spans="5:176" x14ac:dyDescent="0.2">
      <c r="E1822" s="69"/>
      <c r="FT1822" s="45"/>
    </row>
    <row r="1823" spans="5:176" x14ac:dyDescent="0.2">
      <c r="E1823" s="69"/>
      <c r="FT1823" s="45"/>
    </row>
    <row r="1824" spans="5:176" x14ac:dyDescent="0.2">
      <c r="E1824" s="69"/>
      <c r="FT1824" s="45"/>
    </row>
    <row r="1825" spans="5:176" x14ac:dyDescent="0.2">
      <c r="E1825" s="69"/>
      <c r="FT1825" s="45"/>
    </row>
    <row r="1826" spans="5:176" x14ac:dyDescent="0.2">
      <c r="E1826" s="69"/>
      <c r="FT1826" s="45"/>
    </row>
    <row r="1827" spans="5:176" x14ac:dyDescent="0.2">
      <c r="E1827" s="69"/>
      <c r="FT1827" s="45"/>
    </row>
    <row r="1828" spans="5:176" x14ac:dyDescent="0.2">
      <c r="E1828" s="69"/>
      <c r="FT1828" s="45"/>
    </row>
    <row r="1829" spans="5:176" x14ac:dyDescent="0.2">
      <c r="E1829" s="69"/>
      <c r="FT1829" s="45"/>
    </row>
    <row r="1830" spans="5:176" x14ac:dyDescent="0.2">
      <c r="E1830" s="69"/>
      <c r="FT1830" s="45"/>
    </row>
    <row r="1831" spans="5:176" x14ac:dyDescent="0.2">
      <c r="E1831" s="69"/>
      <c r="FT1831" s="45"/>
    </row>
    <row r="1832" spans="5:176" x14ac:dyDescent="0.2">
      <c r="E1832" s="69"/>
      <c r="FT1832" s="45"/>
    </row>
    <row r="1833" spans="5:176" x14ac:dyDescent="0.2">
      <c r="E1833" s="69"/>
      <c r="FT1833" s="45"/>
    </row>
    <row r="1834" spans="5:176" x14ac:dyDescent="0.2">
      <c r="E1834" s="69"/>
      <c r="FT1834" s="45"/>
    </row>
    <row r="1835" spans="5:176" x14ac:dyDescent="0.2">
      <c r="E1835" s="69"/>
      <c r="FT1835" s="45"/>
    </row>
    <row r="1836" spans="5:176" x14ac:dyDescent="0.2">
      <c r="E1836" s="69"/>
      <c r="FT1836" s="45"/>
    </row>
    <row r="1837" spans="5:176" x14ac:dyDescent="0.2">
      <c r="E1837" s="69"/>
      <c r="FT1837" s="45"/>
    </row>
    <row r="1838" spans="5:176" x14ac:dyDescent="0.2">
      <c r="E1838" s="69"/>
      <c r="FT1838" s="45"/>
    </row>
    <row r="1839" spans="5:176" x14ac:dyDescent="0.2">
      <c r="E1839" s="69"/>
      <c r="FT1839" s="45"/>
    </row>
    <row r="1840" spans="5:176" x14ac:dyDescent="0.2">
      <c r="E1840" s="69"/>
      <c r="FT1840" s="45"/>
    </row>
    <row r="1841" spans="5:176" x14ac:dyDescent="0.2">
      <c r="E1841" s="69"/>
      <c r="FT1841" s="45"/>
    </row>
    <row r="1842" spans="5:176" x14ac:dyDescent="0.2">
      <c r="E1842" s="69"/>
      <c r="FT1842" s="45"/>
    </row>
    <row r="1843" spans="5:176" x14ac:dyDescent="0.2">
      <c r="E1843" s="69"/>
      <c r="FT1843" s="45"/>
    </row>
    <row r="1844" spans="5:176" x14ac:dyDescent="0.2">
      <c r="E1844" s="69"/>
      <c r="FT1844" s="45"/>
    </row>
    <row r="1845" spans="5:176" x14ac:dyDescent="0.2">
      <c r="E1845" s="69"/>
      <c r="FT1845" s="45"/>
    </row>
    <row r="1846" spans="5:176" x14ac:dyDescent="0.2">
      <c r="E1846" s="69"/>
      <c r="FT1846" s="45"/>
    </row>
    <row r="1847" spans="5:176" x14ac:dyDescent="0.2">
      <c r="E1847" s="69"/>
      <c r="FT1847" s="45"/>
    </row>
    <row r="1848" spans="5:176" x14ac:dyDescent="0.2">
      <c r="E1848" s="69"/>
      <c r="FT1848" s="45"/>
    </row>
    <row r="1849" spans="5:176" x14ac:dyDescent="0.2">
      <c r="E1849" s="69"/>
      <c r="FT1849" s="45"/>
    </row>
    <row r="1850" spans="5:176" x14ac:dyDescent="0.2">
      <c r="E1850" s="69"/>
      <c r="FT1850" s="45"/>
    </row>
    <row r="1851" spans="5:176" x14ac:dyDescent="0.2">
      <c r="E1851" s="69"/>
      <c r="FT1851" s="45"/>
    </row>
    <row r="1852" spans="5:176" x14ac:dyDescent="0.2">
      <c r="E1852" s="69"/>
      <c r="FT1852" s="45"/>
    </row>
    <row r="1853" spans="5:176" x14ac:dyDescent="0.2">
      <c r="E1853" s="69"/>
      <c r="FT1853" s="45"/>
    </row>
    <row r="1854" spans="5:176" x14ac:dyDescent="0.2">
      <c r="E1854" s="69"/>
      <c r="FT1854" s="45"/>
    </row>
    <row r="1855" spans="5:176" x14ac:dyDescent="0.2">
      <c r="E1855" s="69"/>
      <c r="FT1855" s="45"/>
    </row>
    <row r="1856" spans="5:176" x14ac:dyDescent="0.2">
      <c r="E1856" s="69"/>
      <c r="FT1856" s="45"/>
    </row>
    <row r="1857" spans="5:176" x14ac:dyDescent="0.2">
      <c r="E1857" s="69"/>
      <c r="FT1857" s="45"/>
    </row>
    <row r="1858" spans="5:176" x14ac:dyDescent="0.2">
      <c r="E1858" s="69"/>
      <c r="FT1858" s="45"/>
    </row>
    <row r="1859" spans="5:176" x14ac:dyDescent="0.2">
      <c r="E1859" s="69"/>
      <c r="FT1859" s="45"/>
    </row>
    <row r="1860" spans="5:176" x14ac:dyDescent="0.2">
      <c r="E1860" s="69"/>
      <c r="FT1860" s="45"/>
    </row>
    <row r="1861" spans="5:176" x14ac:dyDescent="0.2">
      <c r="E1861" s="69"/>
      <c r="FT1861" s="45"/>
    </row>
    <row r="1862" spans="5:176" x14ac:dyDescent="0.2">
      <c r="E1862" s="69"/>
      <c r="FT1862" s="45"/>
    </row>
    <row r="1863" spans="5:176" x14ac:dyDescent="0.2">
      <c r="E1863" s="69"/>
      <c r="FT1863" s="45"/>
    </row>
    <row r="1864" spans="5:176" x14ac:dyDescent="0.2">
      <c r="E1864" s="69"/>
      <c r="FT1864" s="45"/>
    </row>
    <row r="1865" spans="5:176" x14ac:dyDescent="0.2">
      <c r="E1865" s="69"/>
      <c r="FT1865" s="45"/>
    </row>
    <row r="1866" spans="5:176" x14ac:dyDescent="0.2">
      <c r="E1866" s="69"/>
      <c r="FT1866" s="45"/>
    </row>
    <row r="1867" spans="5:176" x14ac:dyDescent="0.2">
      <c r="E1867" s="69"/>
      <c r="FT1867" s="45"/>
    </row>
    <row r="1868" spans="5:176" x14ac:dyDescent="0.2">
      <c r="E1868" s="69"/>
      <c r="FT1868" s="45"/>
    </row>
    <row r="1869" spans="5:176" x14ac:dyDescent="0.2">
      <c r="E1869" s="69"/>
      <c r="FT1869" s="45"/>
    </row>
    <row r="1870" spans="5:176" x14ac:dyDescent="0.2">
      <c r="E1870" s="69"/>
      <c r="FT1870" s="45"/>
    </row>
    <row r="1871" spans="5:176" x14ac:dyDescent="0.2">
      <c r="E1871" s="69"/>
      <c r="FT1871" s="45"/>
    </row>
    <row r="1872" spans="5:176" x14ac:dyDescent="0.2">
      <c r="E1872" s="69"/>
      <c r="FT1872" s="45"/>
    </row>
    <row r="1873" spans="5:176" x14ac:dyDescent="0.2">
      <c r="E1873" s="69"/>
      <c r="FT1873" s="45"/>
    </row>
    <row r="1874" spans="5:176" x14ac:dyDescent="0.2">
      <c r="E1874" s="69"/>
      <c r="FT1874" s="45"/>
    </row>
    <row r="1875" spans="5:176" x14ac:dyDescent="0.2">
      <c r="E1875" s="69"/>
      <c r="FT1875" s="45"/>
    </row>
    <row r="1876" spans="5:176" x14ac:dyDescent="0.2">
      <c r="E1876" s="69"/>
      <c r="FT1876" s="45"/>
    </row>
    <row r="1877" spans="5:176" x14ac:dyDescent="0.2">
      <c r="E1877" s="69"/>
      <c r="FT1877" s="45"/>
    </row>
    <row r="1878" spans="5:176" x14ac:dyDescent="0.2">
      <c r="E1878" s="69"/>
      <c r="FT1878" s="45"/>
    </row>
    <row r="1879" spans="5:176" x14ac:dyDescent="0.2">
      <c r="E1879" s="69"/>
      <c r="FT1879" s="45"/>
    </row>
    <row r="1880" spans="5:176" x14ac:dyDescent="0.2">
      <c r="E1880" s="69"/>
      <c r="FT1880" s="45"/>
    </row>
    <row r="1881" spans="5:176" x14ac:dyDescent="0.2">
      <c r="E1881" s="69"/>
      <c r="FT1881" s="45"/>
    </row>
    <row r="1882" spans="5:176" x14ac:dyDescent="0.2">
      <c r="E1882" s="69"/>
      <c r="FT1882" s="45"/>
    </row>
    <row r="1883" spans="5:176" x14ac:dyDescent="0.2">
      <c r="E1883" s="69"/>
      <c r="FT1883" s="45"/>
    </row>
    <row r="1884" spans="5:176" x14ac:dyDescent="0.2">
      <c r="E1884" s="69"/>
      <c r="FT1884" s="45"/>
    </row>
    <row r="1885" spans="5:176" x14ac:dyDescent="0.2">
      <c r="E1885" s="69"/>
      <c r="FT1885" s="45"/>
    </row>
    <row r="1886" spans="5:176" x14ac:dyDescent="0.2">
      <c r="E1886" s="69"/>
      <c r="FT1886" s="45"/>
    </row>
    <row r="1887" spans="5:176" x14ac:dyDescent="0.2">
      <c r="E1887" s="69"/>
      <c r="FT1887" s="45"/>
    </row>
    <row r="1888" spans="5:176" x14ac:dyDescent="0.2">
      <c r="E1888" s="69"/>
      <c r="FT1888" s="45"/>
    </row>
    <row r="1889" spans="5:176" x14ac:dyDescent="0.2">
      <c r="E1889" s="69"/>
      <c r="FT1889" s="45"/>
    </row>
    <row r="1890" spans="5:176" x14ac:dyDescent="0.2">
      <c r="E1890" s="69"/>
      <c r="FT1890" s="45"/>
    </row>
    <row r="1891" spans="5:176" x14ac:dyDescent="0.2">
      <c r="E1891" s="69"/>
      <c r="FT1891" s="45"/>
    </row>
    <row r="1892" spans="5:176" x14ac:dyDescent="0.2">
      <c r="E1892" s="69"/>
      <c r="FT1892" s="45"/>
    </row>
    <row r="1893" spans="5:176" x14ac:dyDescent="0.2">
      <c r="E1893" s="69"/>
      <c r="FT1893" s="45"/>
    </row>
    <row r="1894" spans="5:176" x14ac:dyDescent="0.2">
      <c r="E1894" s="69"/>
      <c r="FT1894" s="45"/>
    </row>
    <row r="1895" spans="5:176" x14ac:dyDescent="0.2">
      <c r="E1895" s="69"/>
      <c r="FT1895" s="45"/>
    </row>
    <row r="1896" spans="5:176" x14ac:dyDescent="0.2">
      <c r="E1896" s="69"/>
      <c r="FT1896" s="45"/>
    </row>
    <row r="1897" spans="5:176" x14ac:dyDescent="0.2">
      <c r="E1897" s="69"/>
      <c r="FT1897" s="45"/>
    </row>
    <row r="1898" spans="5:176" x14ac:dyDescent="0.2">
      <c r="E1898" s="69"/>
      <c r="FT1898" s="45"/>
    </row>
    <row r="1899" spans="5:176" x14ac:dyDescent="0.2">
      <c r="E1899" s="69"/>
      <c r="FT1899" s="45"/>
    </row>
    <row r="1900" spans="5:176" x14ac:dyDescent="0.2">
      <c r="E1900" s="69"/>
      <c r="FT1900" s="45"/>
    </row>
    <row r="1901" spans="5:176" x14ac:dyDescent="0.2">
      <c r="E1901" s="69"/>
      <c r="FT1901" s="45"/>
    </row>
    <row r="1902" spans="5:176" x14ac:dyDescent="0.2">
      <c r="E1902" s="69"/>
      <c r="FT1902" s="45"/>
    </row>
    <row r="1903" spans="5:176" x14ac:dyDescent="0.2">
      <c r="E1903" s="69"/>
      <c r="FT1903" s="45"/>
    </row>
    <row r="1904" spans="5:176" x14ac:dyDescent="0.2">
      <c r="E1904" s="69"/>
      <c r="FT1904" s="45"/>
    </row>
    <row r="1905" spans="5:176" x14ac:dyDescent="0.2">
      <c r="E1905" s="69"/>
      <c r="FT1905" s="45"/>
    </row>
    <row r="1906" spans="5:176" x14ac:dyDescent="0.2">
      <c r="E1906" s="69"/>
      <c r="FT1906" s="45"/>
    </row>
    <row r="1907" spans="5:176" x14ac:dyDescent="0.2">
      <c r="E1907" s="69"/>
      <c r="FT1907" s="45"/>
    </row>
    <row r="1908" spans="5:176" x14ac:dyDescent="0.2">
      <c r="E1908" s="69"/>
      <c r="FT1908" s="45"/>
    </row>
    <row r="1909" spans="5:176" x14ac:dyDescent="0.2">
      <c r="E1909" s="69"/>
      <c r="FT1909" s="45"/>
    </row>
    <row r="1910" spans="5:176" x14ac:dyDescent="0.2">
      <c r="E1910" s="69"/>
      <c r="FT1910" s="45"/>
    </row>
    <row r="1911" spans="5:176" x14ac:dyDescent="0.2">
      <c r="E1911" s="69"/>
      <c r="FT1911" s="45"/>
    </row>
    <row r="1912" spans="5:176" x14ac:dyDescent="0.2">
      <c r="E1912" s="69"/>
      <c r="FT1912" s="45"/>
    </row>
    <row r="1913" spans="5:176" x14ac:dyDescent="0.2">
      <c r="E1913" s="69"/>
      <c r="FT1913" s="45"/>
    </row>
    <row r="1914" spans="5:176" x14ac:dyDescent="0.2">
      <c r="E1914" s="69"/>
      <c r="FT1914" s="45"/>
    </row>
    <row r="1915" spans="5:176" x14ac:dyDescent="0.2">
      <c r="E1915" s="69"/>
      <c r="FT1915" s="45"/>
    </row>
    <row r="1916" spans="5:176" x14ac:dyDescent="0.2">
      <c r="E1916" s="69"/>
      <c r="FT1916" s="45"/>
    </row>
    <row r="1917" spans="5:176" x14ac:dyDescent="0.2">
      <c r="E1917" s="69"/>
      <c r="FT1917" s="45"/>
    </row>
    <row r="1918" spans="5:176" x14ac:dyDescent="0.2">
      <c r="E1918" s="69"/>
      <c r="FT1918" s="45"/>
    </row>
    <row r="1919" spans="5:176" x14ac:dyDescent="0.2">
      <c r="E1919" s="69"/>
      <c r="FT1919" s="45"/>
    </row>
    <row r="1920" spans="5:176" x14ac:dyDescent="0.2">
      <c r="E1920" s="69"/>
      <c r="FT1920" s="45"/>
    </row>
    <row r="1921" spans="5:176" x14ac:dyDescent="0.2">
      <c r="E1921" s="69"/>
      <c r="FT1921" s="45"/>
    </row>
    <row r="1922" spans="5:176" x14ac:dyDescent="0.2">
      <c r="E1922" s="69"/>
      <c r="FT1922" s="45"/>
    </row>
    <row r="1923" spans="5:176" x14ac:dyDescent="0.2">
      <c r="E1923" s="69"/>
      <c r="FT1923" s="45"/>
    </row>
    <row r="1924" spans="5:176" x14ac:dyDescent="0.2">
      <c r="E1924" s="69"/>
      <c r="FT1924" s="45"/>
    </row>
    <row r="1925" spans="5:176" x14ac:dyDescent="0.2">
      <c r="E1925" s="69"/>
      <c r="FT1925" s="45"/>
    </row>
    <row r="1926" spans="5:176" x14ac:dyDescent="0.2">
      <c r="E1926" s="69"/>
      <c r="FT1926" s="45"/>
    </row>
    <row r="1927" spans="5:176" x14ac:dyDescent="0.2">
      <c r="E1927" s="69"/>
      <c r="FT1927" s="45"/>
    </row>
    <row r="1928" spans="5:176" x14ac:dyDescent="0.2">
      <c r="E1928" s="69"/>
      <c r="FT1928" s="45"/>
    </row>
    <row r="1929" spans="5:176" x14ac:dyDescent="0.2">
      <c r="E1929" s="69"/>
      <c r="FT1929" s="45"/>
    </row>
    <row r="1930" spans="5:176" x14ac:dyDescent="0.2">
      <c r="E1930" s="69"/>
      <c r="FT1930" s="45"/>
    </row>
    <row r="1931" spans="5:176" x14ac:dyDescent="0.2">
      <c r="E1931" s="69"/>
      <c r="FT1931" s="45"/>
    </row>
    <row r="1932" spans="5:176" x14ac:dyDescent="0.2">
      <c r="E1932" s="69"/>
      <c r="FT1932" s="45"/>
    </row>
    <row r="1933" spans="5:176" x14ac:dyDescent="0.2">
      <c r="E1933" s="69"/>
      <c r="FT1933" s="45"/>
    </row>
    <row r="1934" spans="5:176" x14ac:dyDescent="0.2">
      <c r="E1934" s="69"/>
      <c r="FT1934" s="45"/>
    </row>
    <row r="1935" spans="5:176" x14ac:dyDescent="0.2">
      <c r="E1935" s="69"/>
      <c r="FT1935" s="45"/>
    </row>
    <row r="1936" spans="5:176" x14ac:dyDescent="0.2">
      <c r="E1936" s="69"/>
      <c r="FT1936" s="45"/>
    </row>
    <row r="1937" spans="5:176" x14ac:dyDescent="0.2">
      <c r="E1937" s="69"/>
      <c r="FT1937" s="45"/>
    </row>
    <row r="1938" spans="5:176" x14ac:dyDescent="0.2">
      <c r="E1938" s="69"/>
      <c r="FT1938" s="45"/>
    </row>
    <row r="1939" spans="5:176" x14ac:dyDescent="0.2">
      <c r="E1939" s="69"/>
      <c r="FT1939" s="45"/>
    </row>
    <row r="1940" spans="5:176" x14ac:dyDescent="0.2">
      <c r="E1940" s="69"/>
      <c r="FT1940" s="45"/>
    </row>
    <row r="1941" spans="5:176" x14ac:dyDescent="0.2">
      <c r="E1941" s="69"/>
      <c r="FT1941" s="45"/>
    </row>
    <row r="1942" spans="5:176" x14ac:dyDescent="0.2">
      <c r="E1942" s="69"/>
      <c r="FT1942" s="45"/>
    </row>
    <row r="1943" spans="5:176" x14ac:dyDescent="0.2">
      <c r="E1943" s="69"/>
      <c r="FT1943" s="45"/>
    </row>
    <row r="1944" spans="5:176" x14ac:dyDescent="0.2">
      <c r="E1944" s="69"/>
      <c r="FT1944" s="45"/>
    </row>
    <row r="1945" spans="5:176" x14ac:dyDescent="0.2">
      <c r="E1945" s="69"/>
      <c r="FT1945" s="45"/>
    </row>
    <row r="1946" spans="5:176" x14ac:dyDescent="0.2">
      <c r="E1946" s="69"/>
      <c r="FT1946" s="45"/>
    </row>
    <row r="1947" spans="5:176" x14ac:dyDescent="0.2">
      <c r="E1947" s="69"/>
      <c r="FT1947" s="45"/>
    </row>
    <row r="1948" spans="5:176" x14ac:dyDescent="0.2">
      <c r="E1948" s="69"/>
      <c r="FT1948" s="45"/>
    </row>
    <row r="1949" spans="5:176" x14ac:dyDescent="0.2">
      <c r="E1949" s="69"/>
      <c r="FT1949" s="45"/>
    </row>
    <row r="1950" spans="5:176" x14ac:dyDescent="0.2">
      <c r="E1950" s="69"/>
      <c r="FT1950" s="45"/>
    </row>
    <row r="1951" spans="5:176" x14ac:dyDescent="0.2">
      <c r="E1951" s="69"/>
      <c r="FT1951" s="45"/>
    </row>
    <row r="1952" spans="5:176" x14ac:dyDescent="0.2">
      <c r="E1952" s="69"/>
      <c r="FT1952" s="45"/>
    </row>
    <row r="1953" spans="5:176" x14ac:dyDescent="0.2">
      <c r="E1953" s="69"/>
      <c r="FT1953" s="45"/>
    </row>
    <row r="1954" spans="5:176" x14ac:dyDescent="0.2">
      <c r="E1954" s="69"/>
      <c r="FT1954" s="45"/>
    </row>
    <row r="1955" spans="5:176" x14ac:dyDescent="0.2">
      <c r="E1955" s="69"/>
      <c r="FT1955" s="45"/>
    </row>
    <row r="1956" spans="5:176" x14ac:dyDescent="0.2">
      <c r="E1956" s="69"/>
      <c r="FT1956" s="45"/>
    </row>
    <row r="1957" spans="5:176" x14ac:dyDescent="0.2">
      <c r="E1957" s="69"/>
      <c r="FT1957" s="45"/>
    </row>
    <row r="1958" spans="5:176" x14ac:dyDescent="0.2">
      <c r="E1958" s="69"/>
      <c r="FT1958" s="45"/>
    </row>
    <row r="1959" spans="5:176" x14ac:dyDescent="0.2">
      <c r="E1959" s="69"/>
      <c r="FT1959" s="45"/>
    </row>
    <row r="1960" spans="5:176" x14ac:dyDescent="0.2">
      <c r="E1960" s="69"/>
      <c r="FT1960" s="45"/>
    </row>
    <row r="1961" spans="5:176" x14ac:dyDescent="0.2">
      <c r="E1961" s="69"/>
      <c r="FT1961" s="45"/>
    </row>
    <row r="1962" spans="5:176" x14ac:dyDescent="0.2">
      <c r="E1962" s="69"/>
      <c r="FT1962" s="45"/>
    </row>
    <row r="1963" spans="5:176" x14ac:dyDescent="0.2">
      <c r="E1963" s="69"/>
      <c r="FT1963" s="45"/>
    </row>
    <row r="1964" spans="5:176" x14ac:dyDescent="0.2">
      <c r="E1964" s="69"/>
      <c r="FT1964" s="45"/>
    </row>
    <row r="1965" spans="5:176" x14ac:dyDescent="0.2">
      <c r="E1965" s="69"/>
      <c r="FT1965" s="45"/>
    </row>
    <row r="1966" spans="5:176" x14ac:dyDescent="0.2">
      <c r="E1966" s="69"/>
      <c r="FT1966" s="45"/>
    </row>
    <row r="1967" spans="5:176" x14ac:dyDescent="0.2">
      <c r="E1967" s="69"/>
      <c r="FT1967" s="45"/>
    </row>
    <row r="1968" spans="5:176" x14ac:dyDescent="0.2">
      <c r="E1968" s="69"/>
      <c r="FT1968" s="45"/>
    </row>
    <row r="1969" spans="5:176" x14ac:dyDescent="0.2">
      <c r="E1969" s="69"/>
      <c r="FT1969" s="45"/>
    </row>
    <row r="1970" spans="5:176" x14ac:dyDescent="0.2">
      <c r="E1970" s="69"/>
      <c r="FT1970" s="45"/>
    </row>
    <row r="1971" spans="5:176" x14ac:dyDescent="0.2">
      <c r="E1971" s="69"/>
      <c r="FT1971" s="45"/>
    </row>
    <row r="1972" spans="5:176" x14ac:dyDescent="0.2">
      <c r="E1972" s="69"/>
      <c r="FT1972" s="45"/>
    </row>
    <row r="1973" spans="5:176" x14ac:dyDescent="0.2">
      <c r="E1973" s="69"/>
      <c r="FT1973" s="45"/>
    </row>
    <row r="1974" spans="5:176" x14ac:dyDescent="0.2">
      <c r="E1974" s="69"/>
      <c r="FT1974" s="45"/>
    </row>
    <row r="1975" spans="5:176" x14ac:dyDescent="0.2">
      <c r="E1975" s="69"/>
      <c r="FT1975" s="45"/>
    </row>
    <row r="1976" spans="5:176" x14ac:dyDescent="0.2">
      <c r="E1976" s="69"/>
      <c r="FT1976" s="45"/>
    </row>
    <row r="1977" spans="5:176" x14ac:dyDescent="0.2">
      <c r="E1977" s="69"/>
      <c r="FT1977" s="45"/>
    </row>
    <row r="1978" spans="5:176" x14ac:dyDescent="0.2">
      <c r="E1978" s="69"/>
      <c r="FT1978" s="45"/>
    </row>
    <row r="1979" spans="5:176" x14ac:dyDescent="0.2">
      <c r="E1979" s="69"/>
      <c r="FT1979" s="45"/>
    </row>
    <row r="1980" spans="5:176" x14ac:dyDescent="0.2">
      <c r="E1980" s="69"/>
      <c r="FT1980" s="45"/>
    </row>
    <row r="1981" spans="5:176" x14ac:dyDescent="0.2">
      <c r="E1981" s="69"/>
      <c r="FT1981" s="45"/>
    </row>
    <row r="1982" spans="5:176" x14ac:dyDescent="0.2">
      <c r="E1982" s="69"/>
      <c r="FT1982" s="45"/>
    </row>
    <row r="1983" spans="5:176" x14ac:dyDescent="0.2">
      <c r="E1983" s="69"/>
      <c r="FT1983" s="45"/>
    </row>
    <row r="1984" spans="5:176" x14ac:dyDescent="0.2">
      <c r="E1984" s="69"/>
      <c r="FT1984" s="45"/>
    </row>
    <row r="1985" spans="5:176" x14ac:dyDescent="0.2">
      <c r="E1985" s="69"/>
      <c r="FT1985" s="45"/>
    </row>
    <row r="1986" spans="5:176" x14ac:dyDescent="0.2">
      <c r="E1986" s="69"/>
      <c r="FT1986" s="45"/>
    </row>
    <row r="1987" spans="5:176" x14ac:dyDescent="0.2">
      <c r="E1987" s="69"/>
      <c r="FT1987" s="45"/>
    </row>
    <row r="1988" spans="5:176" x14ac:dyDescent="0.2">
      <c r="E1988" s="69"/>
      <c r="FT1988" s="45"/>
    </row>
    <row r="1989" spans="5:176" x14ac:dyDescent="0.2">
      <c r="E1989" s="69"/>
      <c r="FT1989" s="45"/>
    </row>
    <row r="1990" spans="5:176" x14ac:dyDescent="0.2">
      <c r="E1990" s="69"/>
      <c r="FT1990" s="45"/>
    </row>
    <row r="1991" spans="5:176" x14ac:dyDescent="0.2">
      <c r="E1991" s="69"/>
      <c r="FT1991" s="45"/>
    </row>
    <row r="1992" spans="5:176" x14ac:dyDescent="0.2">
      <c r="E1992" s="69"/>
      <c r="FT1992" s="45"/>
    </row>
    <row r="1993" spans="5:176" x14ac:dyDescent="0.2">
      <c r="E1993" s="69"/>
      <c r="FT1993" s="45"/>
    </row>
    <row r="1994" spans="5:176" x14ac:dyDescent="0.2">
      <c r="E1994" s="69"/>
      <c r="FT1994" s="45"/>
    </row>
    <row r="1995" spans="5:176" x14ac:dyDescent="0.2">
      <c r="E1995" s="69"/>
      <c r="FT1995" s="45"/>
    </row>
    <row r="1996" spans="5:176" x14ac:dyDescent="0.2">
      <c r="E1996" s="69"/>
      <c r="FT1996" s="45"/>
    </row>
    <row r="1997" spans="5:176" x14ac:dyDescent="0.2">
      <c r="E1997" s="69"/>
      <c r="FT1997" s="45"/>
    </row>
    <row r="1998" spans="5:176" x14ac:dyDescent="0.2">
      <c r="E1998" s="69"/>
      <c r="FT1998" s="45"/>
    </row>
    <row r="1999" spans="5:176" x14ac:dyDescent="0.2">
      <c r="E1999" s="69"/>
      <c r="FT1999" s="45"/>
    </row>
    <row r="2000" spans="5:176" x14ac:dyDescent="0.2">
      <c r="E2000" s="69"/>
      <c r="FT2000" s="45"/>
    </row>
    <row r="2001" spans="5:176" x14ac:dyDescent="0.2">
      <c r="E2001" s="69"/>
      <c r="FT2001" s="45"/>
    </row>
    <row r="2002" spans="5:176" x14ac:dyDescent="0.2">
      <c r="E2002" s="69"/>
      <c r="FT2002" s="45"/>
    </row>
    <row r="2003" spans="5:176" x14ac:dyDescent="0.2">
      <c r="E2003" s="69"/>
      <c r="FT2003" s="45"/>
    </row>
    <row r="2004" spans="5:176" x14ac:dyDescent="0.2">
      <c r="E2004" s="69"/>
      <c r="FT2004" s="45"/>
    </row>
    <row r="2005" spans="5:176" x14ac:dyDescent="0.2">
      <c r="E2005" s="69"/>
      <c r="FT2005" s="45"/>
    </row>
    <row r="2006" spans="5:176" x14ac:dyDescent="0.2">
      <c r="E2006" s="69"/>
      <c r="FT2006" s="45"/>
    </row>
    <row r="2007" spans="5:176" x14ac:dyDescent="0.2">
      <c r="E2007" s="69"/>
      <c r="FT2007" s="45"/>
    </row>
    <row r="2008" spans="5:176" x14ac:dyDescent="0.2">
      <c r="E2008" s="69"/>
      <c r="FT2008" s="45"/>
    </row>
    <row r="2009" spans="5:176" x14ac:dyDescent="0.2">
      <c r="E2009" s="69"/>
      <c r="FT2009" s="45"/>
    </row>
    <row r="2010" spans="5:176" x14ac:dyDescent="0.2">
      <c r="E2010" s="69"/>
      <c r="FT2010" s="45"/>
    </row>
    <row r="2011" spans="5:176" x14ac:dyDescent="0.2">
      <c r="E2011" s="69"/>
      <c r="FT2011" s="45"/>
    </row>
    <row r="2012" spans="5:176" x14ac:dyDescent="0.2">
      <c r="E2012" s="69"/>
      <c r="FT2012" s="45"/>
    </row>
    <row r="2013" spans="5:176" x14ac:dyDescent="0.2">
      <c r="E2013" s="69"/>
      <c r="FT2013" s="45"/>
    </row>
    <row r="2014" spans="5:176" x14ac:dyDescent="0.2">
      <c r="E2014" s="69"/>
      <c r="FT2014" s="45"/>
    </row>
    <row r="2015" spans="5:176" x14ac:dyDescent="0.2">
      <c r="E2015" s="69"/>
      <c r="FT2015" s="45"/>
    </row>
    <row r="2016" spans="5:176" x14ac:dyDescent="0.2">
      <c r="E2016" s="69"/>
      <c r="FT2016" s="45"/>
    </row>
    <row r="2017" spans="5:176" x14ac:dyDescent="0.2">
      <c r="E2017" s="69"/>
      <c r="FT2017" s="45"/>
    </row>
    <row r="2018" spans="5:176" x14ac:dyDescent="0.2">
      <c r="E2018" s="69"/>
      <c r="FT2018" s="45"/>
    </row>
    <row r="2019" spans="5:176" x14ac:dyDescent="0.2">
      <c r="E2019" s="69"/>
      <c r="FT2019" s="45"/>
    </row>
    <row r="2020" spans="5:176" x14ac:dyDescent="0.2">
      <c r="E2020" s="69"/>
      <c r="FT2020" s="45"/>
    </row>
    <row r="2021" spans="5:176" x14ac:dyDescent="0.2">
      <c r="E2021" s="69"/>
      <c r="FT2021" s="45"/>
    </row>
    <row r="2022" spans="5:176" x14ac:dyDescent="0.2">
      <c r="E2022" s="69"/>
      <c r="FT2022" s="45"/>
    </row>
    <row r="2023" spans="5:176" x14ac:dyDescent="0.2">
      <c r="E2023" s="69"/>
      <c r="FT2023" s="45"/>
    </row>
    <row r="2024" spans="5:176" x14ac:dyDescent="0.2">
      <c r="E2024" s="69"/>
      <c r="FT2024" s="45"/>
    </row>
    <row r="2025" spans="5:176" x14ac:dyDescent="0.2">
      <c r="E2025" s="69"/>
      <c r="FT2025" s="45"/>
    </row>
    <row r="2026" spans="5:176" x14ac:dyDescent="0.2">
      <c r="E2026" s="69"/>
      <c r="FT2026" s="45"/>
    </row>
    <row r="2027" spans="5:176" x14ac:dyDescent="0.2">
      <c r="E2027" s="69"/>
      <c r="FT2027" s="45"/>
    </row>
    <row r="2028" spans="5:176" x14ac:dyDescent="0.2">
      <c r="E2028" s="69"/>
      <c r="FT2028" s="45"/>
    </row>
    <row r="2029" spans="5:176" x14ac:dyDescent="0.2">
      <c r="E2029" s="69"/>
      <c r="FT2029" s="45"/>
    </row>
    <row r="2030" spans="5:176" x14ac:dyDescent="0.2">
      <c r="E2030" s="69"/>
      <c r="FT2030" s="45"/>
    </row>
    <row r="2031" spans="5:176" x14ac:dyDescent="0.2">
      <c r="E2031" s="69"/>
      <c r="FT2031" s="45"/>
    </row>
    <row r="2032" spans="5:176" x14ac:dyDescent="0.2">
      <c r="E2032" s="69"/>
      <c r="FT2032" s="45"/>
    </row>
    <row r="2033" spans="5:176" x14ac:dyDescent="0.2">
      <c r="E2033" s="69"/>
      <c r="FT2033" s="45"/>
    </row>
    <row r="2034" spans="5:176" x14ac:dyDescent="0.2">
      <c r="E2034" s="69"/>
      <c r="FT2034" s="45"/>
    </row>
    <row r="2035" spans="5:176" x14ac:dyDescent="0.2">
      <c r="E2035" s="69"/>
      <c r="FT2035" s="45"/>
    </row>
    <row r="2036" spans="5:176" x14ac:dyDescent="0.2">
      <c r="E2036" s="69"/>
      <c r="FT2036" s="45"/>
    </row>
    <row r="2037" spans="5:176" x14ac:dyDescent="0.2">
      <c r="E2037" s="69"/>
      <c r="FT2037" s="45"/>
    </row>
    <row r="2038" spans="5:176" x14ac:dyDescent="0.2">
      <c r="E2038" s="69"/>
      <c r="FT2038" s="45"/>
    </row>
    <row r="2039" spans="5:176" x14ac:dyDescent="0.2">
      <c r="E2039" s="69"/>
      <c r="FT2039" s="45"/>
    </row>
    <row r="2040" spans="5:176" x14ac:dyDescent="0.2">
      <c r="E2040" s="69"/>
      <c r="FT2040" s="45"/>
    </row>
    <row r="2041" spans="5:176" x14ac:dyDescent="0.2">
      <c r="E2041" s="69"/>
      <c r="FT2041" s="45"/>
    </row>
    <row r="2042" spans="5:176" x14ac:dyDescent="0.2">
      <c r="E2042" s="69"/>
      <c r="FT2042" s="45"/>
    </row>
    <row r="2043" spans="5:176" x14ac:dyDescent="0.2">
      <c r="E2043" s="69"/>
      <c r="FT2043" s="45"/>
    </row>
    <row r="2044" spans="5:176" x14ac:dyDescent="0.2">
      <c r="E2044" s="69"/>
      <c r="FT2044" s="45"/>
    </row>
    <row r="2045" spans="5:176" x14ac:dyDescent="0.2">
      <c r="E2045" s="69"/>
      <c r="FT2045" s="45"/>
    </row>
    <row r="2046" spans="5:176" x14ac:dyDescent="0.2">
      <c r="E2046" s="69"/>
      <c r="FT2046" s="45"/>
    </row>
    <row r="2047" spans="5:176" x14ac:dyDescent="0.2">
      <c r="E2047" s="69"/>
      <c r="FT2047" s="45"/>
    </row>
    <row r="2048" spans="5:176" x14ac:dyDescent="0.2">
      <c r="E2048" s="69"/>
      <c r="FT2048" s="45"/>
    </row>
    <row r="2049" spans="5:176" x14ac:dyDescent="0.2">
      <c r="E2049" s="69"/>
      <c r="FT2049" s="45"/>
    </row>
    <row r="2050" spans="5:176" x14ac:dyDescent="0.2">
      <c r="E2050" s="69"/>
      <c r="FT2050" s="45"/>
    </row>
    <row r="2051" spans="5:176" x14ac:dyDescent="0.2">
      <c r="E2051" s="69"/>
      <c r="FT2051" s="45"/>
    </row>
    <row r="2052" spans="5:176" x14ac:dyDescent="0.2">
      <c r="E2052" s="69"/>
      <c r="FT2052" s="45"/>
    </row>
    <row r="2053" spans="5:176" x14ac:dyDescent="0.2">
      <c r="E2053" s="69"/>
      <c r="FT2053" s="45"/>
    </row>
    <row r="2054" spans="5:176" x14ac:dyDescent="0.2">
      <c r="E2054" s="69"/>
      <c r="FT2054" s="45"/>
    </row>
    <row r="2055" spans="5:176" x14ac:dyDescent="0.2">
      <c r="E2055" s="69"/>
      <c r="FT2055" s="45"/>
    </row>
    <row r="2056" spans="5:176" x14ac:dyDescent="0.2">
      <c r="E2056" s="69"/>
      <c r="FT2056" s="45"/>
    </row>
    <row r="2057" spans="5:176" x14ac:dyDescent="0.2">
      <c r="E2057" s="69"/>
      <c r="FT2057" s="45"/>
    </row>
    <row r="2058" spans="5:176" x14ac:dyDescent="0.2">
      <c r="E2058" s="69"/>
      <c r="FT2058" s="45"/>
    </row>
    <row r="2059" spans="5:176" x14ac:dyDescent="0.2">
      <c r="E2059" s="69"/>
      <c r="FT2059" s="45"/>
    </row>
    <row r="2060" spans="5:176" x14ac:dyDescent="0.2">
      <c r="E2060" s="69"/>
      <c r="FT2060" s="45"/>
    </row>
    <row r="2061" spans="5:176" x14ac:dyDescent="0.2">
      <c r="E2061" s="69"/>
      <c r="FT2061" s="45"/>
    </row>
    <row r="2062" spans="5:176" x14ac:dyDescent="0.2">
      <c r="E2062" s="69"/>
      <c r="FT2062" s="45"/>
    </row>
    <row r="2063" spans="5:176" x14ac:dyDescent="0.2">
      <c r="E2063" s="69"/>
      <c r="FT2063" s="45"/>
    </row>
    <row r="2064" spans="5:176" x14ac:dyDescent="0.2">
      <c r="E2064" s="69"/>
      <c r="FT2064" s="45"/>
    </row>
    <row r="2065" spans="5:176" x14ac:dyDescent="0.2">
      <c r="E2065" s="69"/>
      <c r="FT2065" s="45"/>
    </row>
    <row r="2066" spans="5:176" x14ac:dyDescent="0.2">
      <c r="E2066" s="69"/>
      <c r="FT2066" s="45"/>
    </row>
    <row r="2067" spans="5:176" x14ac:dyDescent="0.2">
      <c r="E2067" s="69"/>
      <c r="FT2067" s="45"/>
    </row>
    <row r="2068" spans="5:176" x14ac:dyDescent="0.2">
      <c r="E2068" s="69"/>
      <c r="FT2068" s="45"/>
    </row>
    <row r="2069" spans="5:176" x14ac:dyDescent="0.2">
      <c r="E2069" s="69"/>
      <c r="FT2069" s="45"/>
    </row>
    <row r="2070" spans="5:176" x14ac:dyDescent="0.2">
      <c r="E2070" s="69"/>
      <c r="FT2070" s="45"/>
    </row>
    <row r="2071" spans="5:176" x14ac:dyDescent="0.2">
      <c r="E2071" s="69"/>
      <c r="FT2071" s="45"/>
    </row>
    <row r="2072" spans="5:176" x14ac:dyDescent="0.2">
      <c r="E2072" s="69"/>
      <c r="FT2072" s="45"/>
    </row>
    <row r="2073" spans="5:176" x14ac:dyDescent="0.2">
      <c r="E2073" s="69"/>
      <c r="FT2073" s="45"/>
    </row>
    <row r="2074" spans="5:176" x14ac:dyDescent="0.2">
      <c r="E2074" s="69"/>
      <c r="FT2074" s="45"/>
    </row>
    <row r="2075" spans="5:176" x14ac:dyDescent="0.2">
      <c r="E2075" s="69"/>
      <c r="FT2075" s="45"/>
    </row>
    <row r="2076" spans="5:176" x14ac:dyDescent="0.2">
      <c r="E2076" s="69"/>
      <c r="FT2076" s="45"/>
    </row>
    <row r="2077" spans="5:176" x14ac:dyDescent="0.2">
      <c r="E2077" s="69"/>
      <c r="FT2077" s="45"/>
    </row>
    <row r="2078" spans="5:176" x14ac:dyDescent="0.2">
      <c r="E2078" s="69"/>
      <c r="FT2078" s="45"/>
    </row>
    <row r="2079" spans="5:176" x14ac:dyDescent="0.2">
      <c r="E2079" s="69"/>
      <c r="FT2079" s="45"/>
    </row>
    <row r="2080" spans="5:176" x14ac:dyDescent="0.2">
      <c r="E2080" s="69"/>
      <c r="FT2080" s="45"/>
    </row>
    <row r="2081" spans="5:176" x14ac:dyDescent="0.2">
      <c r="E2081" s="69"/>
      <c r="FT2081" s="45"/>
    </row>
    <row r="2082" spans="5:176" x14ac:dyDescent="0.2">
      <c r="E2082" s="69"/>
      <c r="FT2082" s="45"/>
    </row>
    <row r="2083" spans="5:176" x14ac:dyDescent="0.2">
      <c r="E2083" s="69"/>
      <c r="FT2083" s="45"/>
    </row>
    <row r="2084" spans="5:176" x14ac:dyDescent="0.2">
      <c r="E2084" s="69"/>
      <c r="FT2084" s="45"/>
    </row>
    <row r="2085" spans="5:176" x14ac:dyDescent="0.2">
      <c r="E2085" s="69"/>
      <c r="FT2085" s="45"/>
    </row>
    <row r="2086" spans="5:176" x14ac:dyDescent="0.2">
      <c r="E2086" s="69"/>
      <c r="FT2086" s="45"/>
    </row>
    <row r="2087" spans="5:176" x14ac:dyDescent="0.2">
      <c r="E2087" s="69"/>
      <c r="FT2087" s="45"/>
    </row>
    <row r="2088" spans="5:176" x14ac:dyDescent="0.2">
      <c r="E2088" s="69"/>
      <c r="FT2088" s="45"/>
    </row>
    <row r="2089" spans="5:176" x14ac:dyDescent="0.2">
      <c r="E2089" s="69"/>
      <c r="FT2089" s="45"/>
    </row>
    <row r="2090" spans="5:176" x14ac:dyDescent="0.2">
      <c r="E2090" s="69"/>
      <c r="FT2090" s="45"/>
    </row>
    <row r="2091" spans="5:176" x14ac:dyDescent="0.2">
      <c r="E2091" s="69"/>
      <c r="FT2091" s="45"/>
    </row>
    <row r="2092" spans="5:176" x14ac:dyDescent="0.2">
      <c r="E2092" s="69"/>
      <c r="FT2092" s="45"/>
    </row>
    <row r="2093" spans="5:176" x14ac:dyDescent="0.2">
      <c r="E2093" s="69"/>
      <c r="FT2093" s="45"/>
    </row>
    <row r="2094" spans="5:176" x14ac:dyDescent="0.2">
      <c r="E2094" s="69"/>
      <c r="FT2094" s="45"/>
    </row>
    <row r="2095" spans="5:176" x14ac:dyDescent="0.2">
      <c r="E2095" s="69"/>
      <c r="FT2095" s="45"/>
    </row>
    <row r="2096" spans="5:176" x14ac:dyDescent="0.2">
      <c r="E2096" s="69"/>
      <c r="FT2096" s="45"/>
    </row>
    <row r="2097" spans="5:176" x14ac:dyDescent="0.2">
      <c r="E2097" s="69"/>
      <c r="FT2097" s="45"/>
    </row>
    <row r="2098" spans="5:176" x14ac:dyDescent="0.2">
      <c r="E2098" s="69"/>
      <c r="FT2098" s="45"/>
    </row>
    <row r="2099" spans="5:176" x14ac:dyDescent="0.2">
      <c r="E2099" s="69"/>
      <c r="FT2099" s="45"/>
    </row>
    <row r="2100" spans="5:176" x14ac:dyDescent="0.2">
      <c r="E2100" s="69"/>
      <c r="FT2100" s="45"/>
    </row>
    <row r="2101" spans="5:176" x14ac:dyDescent="0.2">
      <c r="E2101" s="69"/>
      <c r="FT2101" s="45"/>
    </row>
    <row r="2102" spans="5:176" x14ac:dyDescent="0.2">
      <c r="E2102" s="69"/>
      <c r="FT2102" s="45"/>
    </row>
    <row r="2103" spans="5:176" x14ac:dyDescent="0.2">
      <c r="E2103" s="69"/>
      <c r="FT2103" s="45"/>
    </row>
    <row r="2104" spans="5:176" x14ac:dyDescent="0.2">
      <c r="E2104" s="69"/>
      <c r="FT2104" s="45"/>
    </row>
    <row r="2105" spans="5:176" x14ac:dyDescent="0.2">
      <c r="E2105" s="69"/>
      <c r="FT2105" s="45"/>
    </row>
    <row r="2106" spans="5:176" x14ac:dyDescent="0.2">
      <c r="E2106" s="69"/>
      <c r="FT2106" s="45"/>
    </row>
    <row r="2107" spans="5:176" x14ac:dyDescent="0.2">
      <c r="E2107" s="69"/>
      <c r="FT2107" s="45"/>
    </row>
    <row r="2108" spans="5:176" x14ac:dyDescent="0.2">
      <c r="E2108" s="69"/>
      <c r="FT2108" s="45"/>
    </row>
    <row r="2109" spans="5:176" x14ac:dyDescent="0.2">
      <c r="E2109" s="69"/>
      <c r="FT2109" s="45"/>
    </row>
    <row r="2110" spans="5:176" x14ac:dyDescent="0.2">
      <c r="E2110" s="69"/>
      <c r="FT2110" s="45"/>
    </row>
    <row r="2111" spans="5:176" x14ac:dyDescent="0.2">
      <c r="E2111" s="69"/>
      <c r="FT2111" s="45"/>
    </row>
    <row r="2112" spans="5:176" x14ac:dyDescent="0.2">
      <c r="E2112" s="69"/>
      <c r="FT2112" s="45"/>
    </row>
    <row r="2113" spans="5:176" x14ac:dyDescent="0.2">
      <c r="E2113" s="69"/>
      <c r="FT2113" s="45"/>
    </row>
    <row r="2114" spans="5:176" x14ac:dyDescent="0.2">
      <c r="E2114" s="69"/>
      <c r="FT2114" s="45"/>
    </row>
    <row r="2115" spans="5:176" x14ac:dyDescent="0.2">
      <c r="E2115" s="69"/>
      <c r="FT2115" s="45"/>
    </row>
    <row r="2116" spans="5:176" x14ac:dyDescent="0.2">
      <c r="E2116" s="69"/>
      <c r="FT2116" s="45"/>
    </row>
    <row r="2117" spans="5:176" x14ac:dyDescent="0.2">
      <c r="E2117" s="69"/>
      <c r="FT2117" s="45"/>
    </row>
    <row r="2118" spans="5:176" x14ac:dyDescent="0.2">
      <c r="E2118" s="69"/>
      <c r="FT2118" s="45"/>
    </row>
    <row r="2119" spans="5:176" x14ac:dyDescent="0.2">
      <c r="E2119" s="69"/>
      <c r="FT2119" s="45"/>
    </row>
    <row r="2120" spans="5:176" x14ac:dyDescent="0.2">
      <c r="E2120" s="69"/>
      <c r="FT2120" s="45"/>
    </row>
    <row r="2121" spans="5:176" x14ac:dyDescent="0.2">
      <c r="E2121" s="69"/>
      <c r="FT2121" s="45"/>
    </row>
    <row r="2122" spans="5:176" x14ac:dyDescent="0.2">
      <c r="E2122" s="69"/>
      <c r="FT2122" s="45"/>
    </row>
    <row r="2123" spans="5:176" x14ac:dyDescent="0.2">
      <c r="E2123" s="69"/>
      <c r="FT2123" s="45"/>
    </row>
    <row r="2124" spans="5:176" x14ac:dyDescent="0.2">
      <c r="E2124" s="69"/>
      <c r="FT2124" s="45"/>
    </row>
    <row r="2125" spans="5:176" x14ac:dyDescent="0.2">
      <c r="E2125" s="69"/>
      <c r="FT2125" s="45"/>
    </row>
    <row r="2126" spans="5:176" x14ac:dyDescent="0.2">
      <c r="E2126" s="69"/>
      <c r="FT2126" s="45"/>
    </row>
    <row r="2127" spans="5:176" x14ac:dyDescent="0.2">
      <c r="E2127" s="69"/>
      <c r="FT2127" s="45"/>
    </row>
    <row r="2128" spans="5:176" x14ac:dyDescent="0.2">
      <c r="E2128" s="69"/>
      <c r="FT2128" s="45"/>
    </row>
    <row r="2129" spans="5:176" x14ac:dyDescent="0.2">
      <c r="E2129" s="69"/>
      <c r="FT2129" s="45"/>
    </row>
    <row r="2130" spans="5:176" x14ac:dyDescent="0.2">
      <c r="E2130" s="69"/>
      <c r="FT2130" s="45"/>
    </row>
    <row r="2131" spans="5:176" x14ac:dyDescent="0.2">
      <c r="E2131" s="69"/>
      <c r="FT2131" s="45"/>
    </row>
    <row r="2132" spans="5:176" x14ac:dyDescent="0.2">
      <c r="E2132" s="69"/>
      <c r="FT2132" s="45"/>
    </row>
    <row r="2133" spans="5:176" x14ac:dyDescent="0.2">
      <c r="E2133" s="69"/>
      <c r="FT2133" s="45"/>
    </row>
    <row r="2134" spans="5:176" x14ac:dyDescent="0.2">
      <c r="E2134" s="69"/>
      <c r="FT2134" s="45"/>
    </row>
    <row r="2135" spans="5:176" x14ac:dyDescent="0.2">
      <c r="E2135" s="69"/>
      <c r="FT2135" s="45"/>
    </row>
    <row r="2136" spans="5:176" x14ac:dyDescent="0.2">
      <c r="E2136" s="69"/>
      <c r="FT2136" s="45"/>
    </row>
    <row r="2137" spans="5:176" x14ac:dyDescent="0.2">
      <c r="E2137" s="69"/>
      <c r="FT2137" s="45"/>
    </row>
    <row r="2138" spans="5:176" x14ac:dyDescent="0.2">
      <c r="E2138" s="69"/>
      <c r="FT2138" s="45"/>
    </row>
    <row r="2139" spans="5:176" x14ac:dyDescent="0.2">
      <c r="E2139" s="69"/>
      <c r="FT2139" s="45"/>
    </row>
    <row r="2140" spans="5:176" x14ac:dyDescent="0.2">
      <c r="E2140" s="69"/>
      <c r="FT2140" s="45"/>
    </row>
    <row r="2141" spans="5:176" x14ac:dyDescent="0.2">
      <c r="E2141" s="69"/>
      <c r="FT2141" s="45"/>
    </row>
    <row r="2142" spans="5:176" x14ac:dyDescent="0.2">
      <c r="E2142" s="69"/>
      <c r="FT2142" s="45"/>
    </row>
    <row r="2143" spans="5:176" x14ac:dyDescent="0.2">
      <c r="E2143" s="69"/>
      <c r="FT2143" s="45"/>
    </row>
    <row r="2144" spans="5:176" x14ac:dyDescent="0.2">
      <c r="E2144" s="69"/>
      <c r="FT2144" s="45"/>
    </row>
    <row r="2145" spans="5:176" x14ac:dyDescent="0.2">
      <c r="E2145" s="69"/>
      <c r="FT2145" s="45"/>
    </row>
    <row r="2146" spans="5:176" x14ac:dyDescent="0.2">
      <c r="E2146" s="69"/>
      <c r="FT2146" s="45"/>
    </row>
    <row r="2147" spans="5:176" x14ac:dyDescent="0.2">
      <c r="E2147" s="69"/>
      <c r="FT2147" s="45"/>
    </row>
    <row r="2148" spans="5:176" x14ac:dyDescent="0.2">
      <c r="E2148" s="69"/>
      <c r="FT2148" s="45"/>
    </row>
    <row r="2149" spans="5:176" x14ac:dyDescent="0.2">
      <c r="E2149" s="69"/>
      <c r="FT2149" s="45"/>
    </row>
    <row r="2150" spans="5:176" x14ac:dyDescent="0.2">
      <c r="E2150" s="69"/>
      <c r="FT2150" s="45"/>
    </row>
    <row r="2151" spans="5:176" x14ac:dyDescent="0.2">
      <c r="E2151" s="69"/>
      <c r="FT2151" s="45"/>
    </row>
    <row r="2152" spans="5:176" x14ac:dyDescent="0.2">
      <c r="E2152" s="69"/>
      <c r="FT2152" s="45"/>
    </row>
    <row r="2153" spans="5:176" x14ac:dyDescent="0.2">
      <c r="E2153" s="69"/>
      <c r="FT2153" s="45"/>
    </row>
    <row r="2154" spans="5:176" x14ac:dyDescent="0.2">
      <c r="E2154" s="69"/>
      <c r="FT2154" s="45"/>
    </row>
    <row r="2155" spans="5:176" x14ac:dyDescent="0.2">
      <c r="E2155" s="69"/>
      <c r="FT2155" s="45"/>
    </row>
    <row r="2156" spans="5:176" x14ac:dyDescent="0.2">
      <c r="E2156" s="69"/>
      <c r="FT2156" s="45"/>
    </row>
    <row r="2157" spans="5:176" x14ac:dyDescent="0.2">
      <c r="E2157" s="69"/>
      <c r="FT2157" s="45"/>
    </row>
    <row r="2158" spans="5:176" x14ac:dyDescent="0.2">
      <c r="E2158" s="69"/>
      <c r="FT2158" s="45"/>
    </row>
    <row r="2159" spans="5:176" x14ac:dyDescent="0.2">
      <c r="E2159" s="69"/>
      <c r="FT2159" s="45"/>
    </row>
    <row r="2160" spans="5:176" x14ac:dyDescent="0.2">
      <c r="E2160" s="69"/>
      <c r="FT2160" s="45"/>
    </row>
    <row r="2161" spans="5:176" x14ac:dyDescent="0.2">
      <c r="E2161" s="69"/>
      <c r="FT2161" s="45"/>
    </row>
    <row r="2162" spans="5:176" x14ac:dyDescent="0.2">
      <c r="E2162" s="69"/>
      <c r="FT2162" s="45"/>
    </row>
    <row r="2163" spans="5:176" x14ac:dyDescent="0.2">
      <c r="E2163" s="69"/>
      <c r="FT2163" s="45"/>
    </row>
    <row r="2164" spans="5:176" x14ac:dyDescent="0.2">
      <c r="E2164" s="69"/>
      <c r="FT2164" s="45"/>
    </row>
    <row r="2165" spans="5:176" x14ac:dyDescent="0.2">
      <c r="E2165" s="69"/>
      <c r="FT2165" s="45"/>
    </row>
    <row r="2166" spans="5:176" x14ac:dyDescent="0.2">
      <c r="E2166" s="69"/>
      <c r="FT2166" s="45"/>
    </row>
    <row r="2167" spans="5:176" x14ac:dyDescent="0.2">
      <c r="E2167" s="69"/>
      <c r="FT2167" s="45"/>
    </row>
    <row r="2168" spans="5:176" x14ac:dyDescent="0.2">
      <c r="E2168" s="69"/>
      <c r="FT2168" s="45"/>
    </row>
    <row r="2169" spans="5:176" x14ac:dyDescent="0.2">
      <c r="E2169" s="69"/>
      <c r="FT2169" s="45"/>
    </row>
    <row r="2170" spans="5:176" x14ac:dyDescent="0.2">
      <c r="E2170" s="69"/>
      <c r="FT2170" s="45"/>
    </row>
    <row r="2171" spans="5:176" x14ac:dyDescent="0.2">
      <c r="E2171" s="69"/>
      <c r="FT2171" s="45"/>
    </row>
    <row r="2172" spans="5:176" x14ac:dyDescent="0.2">
      <c r="E2172" s="69"/>
      <c r="FT2172" s="45"/>
    </row>
    <row r="2173" spans="5:176" x14ac:dyDescent="0.2">
      <c r="E2173" s="69"/>
      <c r="FT2173" s="45"/>
    </row>
    <row r="2174" spans="5:176" x14ac:dyDescent="0.2">
      <c r="E2174" s="69"/>
      <c r="FT2174" s="45"/>
    </row>
    <row r="2175" spans="5:176" x14ac:dyDescent="0.2">
      <c r="E2175" s="69"/>
      <c r="FT2175" s="45"/>
    </row>
    <row r="2176" spans="5:176" x14ac:dyDescent="0.2">
      <c r="E2176" s="69"/>
      <c r="FT2176" s="45"/>
    </row>
    <row r="2177" spans="5:176" x14ac:dyDescent="0.2">
      <c r="E2177" s="69"/>
      <c r="FT2177" s="45"/>
    </row>
    <row r="2178" spans="5:176" x14ac:dyDescent="0.2">
      <c r="E2178" s="69"/>
      <c r="FT2178" s="45"/>
    </row>
    <row r="2179" spans="5:176" x14ac:dyDescent="0.2">
      <c r="E2179" s="69"/>
      <c r="FT2179" s="45"/>
    </row>
    <row r="2180" spans="5:176" x14ac:dyDescent="0.2">
      <c r="E2180" s="69"/>
      <c r="FT2180" s="45"/>
    </row>
    <row r="2181" spans="5:176" x14ac:dyDescent="0.2">
      <c r="E2181" s="69"/>
      <c r="FT2181" s="45"/>
    </row>
    <row r="2182" spans="5:176" x14ac:dyDescent="0.2">
      <c r="E2182" s="69"/>
      <c r="FT2182" s="45"/>
    </row>
    <row r="2183" spans="5:176" x14ac:dyDescent="0.2">
      <c r="E2183" s="69"/>
      <c r="FT2183" s="45"/>
    </row>
    <row r="2184" spans="5:176" x14ac:dyDescent="0.2">
      <c r="E2184" s="69"/>
      <c r="FT2184" s="45"/>
    </row>
    <row r="2185" spans="5:176" x14ac:dyDescent="0.2">
      <c r="E2185" s="69"/>
      <c r="FT2185" s="45"/>
    </row>
    <row r="2186" spans="5:176" x14ac:dyDescent="0.2">
      <c r="E2186" s="69"/>
      <c r="FT2186" s="45"/>
    </row>
    <row r="2187" spans="5:176" x14ac:dyDescent="0.2">
      <c r="E2187" s="69"/>
      <c r="FT2187" s="45"/>
    </row>
    <row r="2188" spans="5:176" x14ac:dyDescent="0.2">
      <c r="E2188" s="69"/>
      <c r="FT2188" s="45"/>
    </row>
    <row r="2189" spans="5:176" x14ac:dyDescent="0.2">
      <c r="E2189" s="69"/>
      <c r="FT2189" s="45"/>
    </row>
    <row r="2190" spans="5:176" x14ac:dyDescent="0.2">
      <c r="E2190" s="69"/>
      <c r="FT2190" s="45"/>
    </row>
    <row r="2191" spans="5:176" x14ac:dyDescent="0.2">
      <c r="E2191" s="69"/>
      <c r="FT2191" s="45"/>
    </row>
    <row r="2192" spans="5:176" x14ac:dyDescent="0.2">
      <c r="E2192" s="69"/>
      <c r="FT2192" s="45"/>
    </row>
    <row r="2193" spans="5:176" x14ac:dyDescent="0.2">
      <c r="E2193" s="69"/>
      <c r="FT2193" s="45"/>
    </row>
    <row r="2194" spans="5:176" x14ac:dyDescent="0.2">
      <c r="E2194" s="69"/>
      <c r="FT2194" s="45"/>
    </row>
    <row r="2195" spans="5:176" x14ac:dyDescent="0.2">
      <c r="E2195" s="69"/>
      <c r="FT2195" s="45"/>
    </row>
    <row r="2196" spans="5:176" x14ac:dyDescent="0.2">
      <c r="E2196" s="69"/>
      <c r="FT2196" s="45"/>
    </row>
    <row r="2197" spans="5:176" x14ac:dyDescent="0.2">
      <c r="E2197" s="69"/>
      <c r="FT2197" s="45"/>
    </row>
    <row r="2198" spans="5:176" x14ac:dyDescent="0.2">
      <c r="E2198" s="69"/>
      <c r="FT2198" s="45"/>
    </row>
    <row r="2199" spans="5:176" x14ac:dyDescent="0.2">
      <c r="E2199" s="69"/>
      <c r="FT2199" s="45"/>
    </row>
    <row r="2200" spans="5:176" x14ac:dyDescent="0.2">
      <c r="E2200" s="69"/>
      <c r="FT2200" s="45"/>
    </row>
    <row r="2201" spans="5:176" x14ac:dyDescent="0.2">
      <c r="E2201" s="69"/>
      <c r="FT2201" s="45"/>
    </row>
    <row r="2202" spans="5:176" x14ac:dyDescent="0.2">
      <c r="E2202" s="69"/>
      <c r="FT2202" s="45"/>
    </row>
    <row r="2203" spans="5:176" x14ac:dyDescent="0.2">
      <c r="E2203" s="69"/>
      <c r="FT2203" s="45"/>
    </row>
    <row r="2204" spans="5:176" x14ac:dyDescent="0.2">
      <c r="E2204" s="69"/>
      <c r="FT2204" s="45"/>
    </row>
    <row r="2205" spans="5:176" x14ac:dyDescent="0.2">
      <c r="E2205" s="69"/>
      <c r="FT2205" s="45"/>
    </row>
    <row r="2206" spans="5:176" x14ac:dyDescent="0.2">
      <c r="E2206" s="69"/>
      <c r="FT2206" s="45"/>
    </row>
    <row r="2207" spans="5:176" x14ac:dyDescent="0.2">
      <c r="E2207" s="69"/>
      <c r="FT2207" s="45"/>
    </row>
    <row r="2208" spans="5:176" x14ac:dyDescent="0.2">
      <c r="E2208" s="69"/>
      <c r="FT2208" s="45"/>
    </row>
    <row r="2209" spans="5:176" x14ac:dyDescent="0.2">
      <c r="E2209" s="69"/>
      <c r="FT2209" s="45"/>
    </row>
    <row r="2210" spans="5:176" x14ac:dyDescent="0.2">
      <c r="E2210" s="69"/>
      <c r="FT2210" s="45"/>
    </row>
    <row r="2211" spans="5:176" x14ac:dyDescent="0.2">
      <c r="E2211" s="69"/>
      <c r="FT2211" s="45"/>
    </row>
    <row r="2212" spans="5:176" x14ac:dyDescent="0.2">
      <c r="E2212" s="69"/>
      <c r="FT2212" s="45"/>
    </row>
    <row r="2213" spans="5:176" x14ac:dyDescent="0.2">
      <c r="E2213" s="69"/>
      <c r="FT2213" s="45"/>
    </row>
    <row r="2214" spans="5:176" x14ac:dyDescent="0.2">
      <c r="E2214" s="69"/>
      <c r="FT2214" s="45"/>
    </row>
    <row r="2215" spans="5:176" x14ac:dyDescent="0.2">
      <c r="E2215" s="69"/>
      <c r="FT2215" s="45"/>
    </row>
    <row r="2216" spans="5:176" x14ac:dyDescent="0.2">
      <c r="E2216" s="69"/>
      <c r="FT2216" s="45"/>
    </row>
    <row r="2217" spans="5:176" x14ac:dyDescent="0.2">
      <c r="E2217" s="69"/>
      <c r="FT2217" s="45"/>
    </row>
    <row r="2218" spans="5:176" x14ac:dyDescent="0.2">
      <c r="E2218" s="69"/>
      <c r="FT2218" s="45"/>
    </row>
    <row r="2219" spans="5:176" x14ac:dyDescent="0.2">
      <c r="E2219" s="69"/>
      <c r="FT2219" s="45"/>
    </row>
    <row r="2220" spans="5:176" x14ac:dyDescent="0.2">
      <c r="E2220" s="69"/>
      <c r="FT2220" s="45"/>
    </row>
    <row r="2221" spans="5:176" x14ac:dyDescent="0.2">
      <c r="E2221" s="69"/>
      <c r="FT2221" s="45"/>
    </row>
    <row r="2222" spans="5:176" x14ac:dyDescent="0.2">
      <c r="E2222" s="69"/>
      <c r="FT2222" s="45"/>
    </row>
    <row r="2223" spans="5:176" x14ac:dyDescent="0.2">
      <c r="E2223" s="69"/>
      <c r="FT2223" s="45"/>
    </row>
    <row r="2224" spans="5:176" x14ac:dyDescent="0.2">
      <c r="E2224" s="69"/>
      <c r="FT2224" s="45"/>
    </row>
    <row r="2225" spans="5:176" x14ac:dyDescent="0.2">
      <c r="E2225" s="69"/>
      <c r="FT2225" s="45"/>
    </row>
    <row r="2226" spans="5:176" x14ac:dyDescent="0.2">
      <c r="E2226" s="69"/>
      <c r="FT2226" s="45"/>
    </row>
    <row r="2227" spans="5:176" x14ac:dyDescent="0.2">
      <c r="E2227" s="69"/>
      <c r="FT2227" s="45"/>
    </row>
    <row r="2228" spans="5:176" x14ac:dyDescent="0.2">
      <c r="E2228" s="69"/>
      <c r="FT2228" s="45"/>
    </row>
    <row r="2229" spans="5:176" x14ac:dyDescent="0.2">
      <c r="E2229" s="69"/>
      <c r="FT2229" s="45"/>
    </row>
    <row r="2230" spans="5:176" x14ac:dyDescent="0.2">
      <c r="E2230" s="69"/>
      <c r="FT2230" s="45"/>
    </row>
    <row r="2231" spans="5:176" x14ac:dyDescent="0.2">
      <c r="E2231" s="69"/>
      <c r="FT2231" s="45"/>
    </row>
    <row r="2232" spans="5:176" x14ac:dyDescent="0.2">
      <c r="E2232" s="69"/>
      <c r="FT2232" s="45"/>
    </row>
    <row r="2233" spans="5:176" x14ac:dyDescent="0.2">
      <c r="E2233" s="69"/>
      <c r="FT2233" s="45"/>
    </row>
    <row r="2234" spans="5:176" x14ac:dyDescent="0.2">
      <c r="E2234" s="69"/>
      <c r="FT2234" s="45"/>
    </row>
    <row r="2235" spans="5:176" x14ac:dyDescent="0.2">
      <c r="E2235" s="69"/>
      <c r="FT2235" s="45"/>
    </row>
    <row r="2236" spans="5:176" x14ac:dyDescent="0.2">
      <c r="E2236" s="69"/>
      <c r="FT2236" s="45"/>
    </row>
    <row r="2237" spans="5:176" x14ac:dyDescent="0.2">
      <c r="E2237" s="69"/>
      <c r="FT2237" s="45"/>
    </row>
    <row r="2238" spans="5:176" x14ac:dyDescent="0.2">
      <c r="E2238" s="69"/>
      <c r="FT2238" s="45"/>
    </row>
    <row r="2239" spans="5:176" x14ac:dyDescent="0.2">
      <c r="E2239" s="69"/>
      <c r="FT2239" s="45"/>
    </row>
    <row r="2240" spans="5:176" x14ac:dyDescent="0.2">
      <c r="E2240" s="69"/>
      <c r="FT2240" s="45"/>
    </row>
    <row r="2241" spans="5:176" x14ac:dyDescent="0.2">
      <c r="E2241" s="69"/>
      <c r="FT2241" s="45"/>
    </row>
    <row r="2242" spans="5:176" x14ac:dyDescent="0.2">
      <c r="E2242" s="69"/>
      <c r="FT2242" s="45"/>
    </row>
    <row r="2243" spans="5:176" x14ac:dyDescent="0.2">
      <c r="E2243" s="69"/>
      <c r="FT2243" s="45"/>
    </row>
    <row r="2244" spans="5:176" x14ac:dyDescent="0.2">
      <c r="E2244" s="69"/>
      <c r="FT2244" s="45"/>
    </row>
    <row r="2245" spans="5:176" x14ac:dyDescent="0.2">
      <c r="E2245" s="69"/>
      <c r="FT2245" s="45"/>
    </row>
    <row r="2246" spans="5:176" x14ac:dyDescent="0.2">
      <c r="E2246" s="69"/>
      <c r="FT2246" s="45"/>
    </row>
    <row r="2247" spans="5:176" x14ac:dyDescent="0.2">
      <c r="E2247" s="69"/>
      <c r="FT2247" s="45"/>
    </row>
    <row r="2248" spans="5:176" x14ac:dyDescent="0.2">
      <c r="E2248" s="69"/>
      <c r="FT2248" s="45"/>
    </row>
    <row r="2249" spans="5:176" x14ac:dyDescent="0.2">
      <c r="E2249" s="69"/>
      <c r="FT2249" s="45"/>
    </row>
    <row r="2250" spans="5:176" x14ac:dyDescent="0.2">
      <c r="E2250" s="69"/>
      <c r="FT2250" s="45"/>
    </row>
    <row r="2251" spans="5:176" x14ac:dyDescent="0.2">
      <c r="E2251" s="69"/>
      <c r="FT2251" s="45"/>
    </row>
    <row r="2252" spans="5:176" x14ac:dyDescent="0.2">
      <c r="E2252" s="69"/>
      <c r="FT2252" s="45"/>
    </row>
    <row r="2253" spans="5:176" x14ac:dyDescent="0.2">
      <c r="E2253" s="69"/>
      <c r="FT2253" s="45"/>
    </row>
    <row r="2254" spans="5:176" x14ac:dyDescent="0.2">
      <c r="E2254" s="69"/>
      <c r="FT2254" s="45"/>
    </row>
    <row r="2255" spans="5:176" x14ac:dyDescent="0.2">
      <c r="E2255" s="69"/>
      <c r="FT2255" s="45"/>
    </row>
    <row r="2256" spans="5:176" x14ac:dyDescent="0.2">
      <c r="E2256" s="69"/>
      <c r="FT2256" s="45"/>
    </row>
    <row r="2257" spans="5:176" x14ac:dyDescent="0.2">
      <c r="E2257" s="69"/>
      <c r="FT2257" s="45"/>
    </row>
    <row r="2258" spans="5:176" x14ac:dyDescent="0.2">
      <c r="E2258" s="69"/>
      <c r="FT2258" s="45"/>
    </row>
    <row r="2259" spans="5:176" x14ac:dyDescent="0.2">
      <c r="E2259" s="69"/>
      <c r="FT2259" s="45"/>
    </row>
    <row r="2260" spans="5:176" x14ac:dyDescent="0.2">
      <c r="E2260" s="69"/>
      <c r="FT2260" s="45"/>
    </row>
    <row r="2261" spans="5:176" x14ac:dyDescent="0.2">
      <c r="E2261" s="69"/>
      <c r="FT2261" s="45"/>
    </row>
    <row r="2262" spans="5:176" x14ac:dyDescent="0.2">
      <c r="E2262" s="69"/>
      <c r="FT2262" s="45"/>
    </row>
    <row r="2263" spans="5:176" x14ac:dyDescent="0.2">
      <c r="E2263" s="69"/>
      <c r="FT2263" s="45"/>
    </row>
    <row r="2264" spans="5:176" x14ac:dyDescent="0.2">
      <c r="E2264" s="69"/>
      <c r="FT2264" s="45"/>
    </row>
    <row r="2265" spans="5:176" x14ac:dyDescent="0.2">
      <c r="E2265" s="69"/>
      <c r="FT2265" s="45"/>
    </row>
    <row r="2266" spans="5:176" x14ac:dyDescent="0.2">
      <c r="E2266" s="69"/>
      <c r="FT2266" s="45"/>
    </row>
    <row r="2267" spans="5:176" x14ac:dyDescent="0.2">
      <c r="E2267" s="69"/>
      <c r="FT2267" s="45"/>
    </row>
    <row r="2268" spans="5:176" x14ac:dyDescent="0.2">
      <c r="E2268" s="69"/>
      <c r="FT2268" s="45"/>
    </row>
    <row r="2269" spans="5:176" x14ac:dyDescent="0.2">
      <c r="E2269" s="69"/>
      <c r="FT2269" s="45"/>
    </row>
    <row r="2270" spans="5:176" x14ac:dyDescent="0.2">
      <c r="E2270" s="69"/>
      <c r="FT2270" s="45"/>
    </row>
    <row r="2271" spans="5:176" x14ac:dyDescent="0.2">
      <c r="E2271" s="69"/>
      <c r="FT2271" s="45"/>
    </row>
    <row r="2272" spans="5:176" x14ac:dyDescent="0.2">
      <c r="E2272" s="69"/>
      <c r="FT2272" s="45"/>
    </row>
    <row r="2273" spans="5:176" x14ac:dyDescent="0.2">
      <c r="E2273" s="69"/>
      <c r="FT2273" s="45"/>
    </row>
    <row r="2274" spans="5:176" x14ac:dyDescent="0.2">
      <c r="E2274" s="69"/>
      <c r="FT2274" s="45"/>
    </row>
    <row r="2275" spans="5:176" x14ac:dyDescent="0.2">
      <c r="E2275" s="69"/>
      <c r="FT2275" s="45"/>
    </row>
    <row r="2276" spans="5:176" x14ac:dyDescent="0.2">
      <c r="E2276" s="69"/>
      <c r="FT2276" s="45"/>
    </row>
    <row r="2277" spans="5:176" x14ac:dyDescent="0.2">
      <c r="E2277" s="69"/>
      <c r="FT2277" s="45"/>
    </row>
    <row r="2278" spans="5:176" x14ac:dyDescent="0.2">
      <c r="E2278" s="69"/>
      <c r="FT2278" s="45"/>
    </row>
    <row r="2279" spans="5:176" x14ac:dyDescent="0.2">
      <c r="E2279" s="69"/>
      <c r="FT2279" s="45"/>
    </row>
    <row r="2280" spans="5:176" x14ac:dyDescent="0.2">
      <c r="E2280" s="69"/>
      <c r="FT2280" s="45"/>
    </row>
    <row r="2281" spans="5:176" x14ac:dyDescent="0.2">
      <c r="E2281" s="69"/>
      <c r="FT2281" s="45"/>
    </row>
    <row r="2282" spans="5:176" x14ac:dyDescent="0.2">
      <c r="E2282" s="69"/>
      <c r="FT2282" s="45"/>
    </row>
    <row r="2283" spans="5:176" x14ac:dyDescent="0.2">
      <c r="E2283" s="69"/>
      <c r="FT2283" s="45"/>
    </row>
    <row r="2284" spans="5:176" x14ac:dyDescent="0.2">
      <c r="E2284" s="69"/>
      <c r="FT2284" s="45"/>
    </row>
    <row r="2285" spans="5:176" x14ac:dyDescent="0.2">
      <c r="E2285" s="69"/>
      <c r="FT2285" s="45"/>
    </row>
    <row r="2286" spans="5:176" x14ac:dyDescent="0.2">
      <c r="E2286" s="69"/>
      <c r="FT2286" s="45"/>
    </row>
    <row r="2287" spans="5:176" x14ac:dyDescent="0.2">
      <c r="E2287" s="69"/>
      <c r="FT2287" s="45"/>
    </row>
    <row r="2288" spans="5:176" x14ac:dyDescent="0.2">
      <c r="E2288" s="69"/>
      <c r="FT2288" s="45"/>
    </row>
    <row r="2289" spans="5:176" x14ac:dyDescent="0.2">
      <c r="E2289" s="69"/>
      <c r="FT2289" s="45"/>
    </row>
    <row r="2290" spans="5:176" x14ac:dyDescent="0.2">
      <c r="E2290" s="69"/>
      <c r="FT2290" s="45"/>
    </row>
    <row r="2291" spans="5:176" x14ac:dyDescent="0.2">
      <c r="E2291" s="69"/>
      <c r="FT2291" s="45"/>
    </row>
    <row r="2292" spans="5:176" x14ac:dyDescent="0.2">
      <c r="E2292" s="69"/>
      <c r="FT2292" s="45"/>
    </row>
    <row r="2293" spans="5:176" x14ac:dyDescent="0.2">
      <c r="E2293" s="69"/>
      <c r="FT2293" s="45"/>
    </row>
    <row r="2294" spans="5:176" x14ac:dyDescent="0.2">
      <c r="E2294" s="69"/>
      <c r="FT2294" s="45"/>
    </row>
    <row r="2295" spans="5:176" x14ac:dyDescent="0.2">
      <c r="E2295" s="69"/>
      <c r="FT2295" s="45"/>
    </row>
    <row r="2296" spans="5:176" x14ac:dyDescent="0.2">
      <c r="E2296" s="69"/>
      <c r="FT2296" s="45"/>
    </row>
    <row r="2297" spans="5:176" x14ac:dyDescent="0.2">
      <c r="E2297" s="69"/>
      <c r="FT2297" s="45"/>
    </row>
    <row r="2298" spans="5:176" x14ac:dyDescent="0.2">
      <c r="E2298" s="69"/>
      <c r="FT2298" s="45"/>
    </row>
    <row r="2299" spans="5:176" x14ac:dyDescent="0.2">
      <c r="E2299" s="69"/>
      <c r="FT2299" s="45"/>
    </row>
    <row r="2300" spans="5:176" x14ac:dyDescent="0.2">
      <c r="E2300" s="69"/>
      <c r="FT2300" s="45"/>
    </row>
    <row r="2301" spans="5:176" x14ac:dyDescent="0.2">
      <c r="E2301" s="69"/>
      <c r="FT2301" s="45"/>
    </row>
    <row r="2302" spans="5:176" x14ac:dyDescent="0.2">
      <c r="E2302" s="69"/>
      <c r="FT2302" s="45"/>
    </row>
    <row r="2303" spans="5:176" x14ac:dyDescent="0.2">
      <c r="E2303" s="69"/>
      <c r="FT2303" s="45"/>
    </row>
    <row r="2304" spans="5:176" x14ac:dyDescent="0.2">
      <c r="E2304" s="69"/>
      <c r="FT2304" s="45"/>
    </row>
    <row r="2305" spans="5:176" x14ac:dyDescent="0.2">
      <c r="E2305" s="69"/>
      <c r="FT2305" s="45"/>
    </row>
    <row r="2306" spans="5:176" x14ac:dyDescent="0.2">
      <c r="E2306" s="69"/>
      <c r="FT2306" s="45"/>
    </row>
    <row r="2307" spans="5:176" x14ac:dyDescent="0.2">
      <c r="E2307" s="69"/>
      <c r="FT2307" s="45"/>
    </row>
    <row r="2308" spans="5:176" x14ac:dyDescent="0.2">
      <c r="E2308" s="69"/>
      <c r="FT2308" s="45"/>
    </row>
    <row r="2309" spans="5:176" x14ac:dyDescent="0.2">
      <c r="E2309" s="69"/>
      <c r="FT2309" s="45"/>
    </row>
    <row r="2310" spans="5:176" x14ac:dyDescent="0.2">
      <c r="E2310" s="69"/>
      <c r="FT2310" s="45"/>
    </row>
    <row r="2311" spans="5:176" x14ac:dyDescent="0.2">
      <c r="E2311" s="69"/>
      <c r="FT2311" s="45"/>
    </row>
    <row r="2312" spans="5:176" x14ac:dyDescent="0.2">
      <c r="E2312" s="69"/>
      <c r="FT2312" s="45"/>
    </row>
    <row r="2313" spans="5:176" x14ac:dyDescent="0.2">
      <c r="E2313" s="69"/>
      <c r="FT2313" s="45"/>
    </row>
    <row r="2314" spans="5:176" x14ac:dyDescent="0.2">
      <c r="E2314" s="69"/>
      <c r="FT2314" s="45"/>
    </row>
    <row r="2315" spans="5:176" x14ac:dyDescent="0.2">
      <c r="E2315" s="69"/>
      <c r="FT2315" s="45"/>
    </row>
    <row r="2316" spans="5:176" x14ac:dyDescent="0.2">
      <c r="E2316" s="69"/>
      <c r="FT2316" s="45"/>
    </row>
    <row r="2317" spans="5:176" x14ac:dyDescent="0.2">
      <c r="E2317" s="69"/>
      <c r="FT2317" s="45"/>
    </row>
    <row r="2318" spans="5:176" x14ac:dyDescent="0.2">
      <c r="E2318" s="69"/>
      <c r="FT2318" s="45"/>
    </row>
    <row r="2319" spans="5:176" x14ac:dyDescent="0.2">
      <c r="E2319" s="69"/>
      <c r="FT2319" s="45"/>
    </row>
    <row r="2320" spans="5:176" x14ac:dyDescent="0.2">
      <c r="E2320" s="69"/>
      <c r="FT2320" s="45"/>
    </row>
    <row r="2321" spans="5:176" x14ac:dyDescent="0.2">
      <c r="E2321" s="69"/>
      <c r="FT2321" s="45"/>
    </row>
    <row r="2322" spans="5:176" x14ac:dyDescent="0.2">
      <c r="E2322" s="69"/>
      <c r="FT2322" s="45"/>
    </row>
    <row r="2323" spans="5:176" x14ac:dyDescent="0.2">
      <c r="E2323" s="69"/>
      <c r="FT2323" s="45"/>
    </row>
    <row r="2324" spans="5:176" x14ac:dyDescent="0.2">
      <c r="E2324" s="69"/>
      <c r="FT2324" s="45"/>
    </row>
    <row r="2325" spans="5:176" x14ac:dyDescent="0.2">
      <c r="E2325" s="69"/>
      <c r="FT2325" s="45"/>
    </row>
    <row r="2326" spans="5:176" x14ac:dyDescent="0.2">
      <c r="E2326" s="69"/>
      <c r="FT2326" s="45"/>
    </row>
    <row r="2327" spans="5:176" x14ac:dyDescent="0.2">
      <c r="E2327" s="69"/>
      <c r="FT2327" s="45"/>
    </row>
    <row r="2328" spans="5:176" x14ac:dyDescent="0.2">
      <c r="E2328" s="69"/>
      <c r="FT2328" s="45"/>
    </row>
    <row r="2329" spans="5:176" x14ac:dyDescent="0.2">
      <c r="E2329" s="69"/>
      <c r="FT2329" s="45"/>
    </row>
    <row r="2330" spans="5:176" x14ac:dyDescent="0.2">
      <c r="E2330" s="69"/>
      <c r="FT2330" s="45"/>
    </row>
    <row r="2331" spans="5:176" x14ac:dyDescent="0.2">
      <c r="E2331" s="69"/>
      <c r="FT2331" s="45"/>
    </row>
    <row r="2332" spans="5:176" x14ac:dyDescent="0.2">
      <c r="E2332" s="69"/>
      <c r="FT2332" s="45"/>
    </row>
    <row r="2333" spans="5:176" x14ac:dyDescent="0.2">
      <c r="E2333" s="69"/>
      <c r="FT2333" s="45"/>
    </row>
    <row r="2334" spans="5:176" x14ac:dyDescent="0.2">
      <c r="E2334" s="69"/>
      <c r="FT2334" s="45"/>
    </row>
    <row r="2335" spans="5:176" x14ac:dyDescent="0.2">
      <c r="E2335" s="69"/>
      <c r="FT2335" s="45"/>
    </row>
    <row r="2336" spans="5:176" x14ac:dyDescent="0.2">
      <c r="E2336" s="69"/>
      <c r="FT2336" s="45"/>
    </row>
    <row r="2337" spans="5:176" x14ac:dyDescent="0.2">
      <c r="E2337" s="69"/>
      <c r="FT2337" s="45"/>
    </row>
    <row r="2338" spans="5:176" x14ac:dyDescent="0.2">
      <c r="E2338" s="69"/>
      <c r="FT2338" s="45"/>
    </row>
    <row r="2339" spans="5:176" x14ac:dyDescent="0.2">
      <c r="E2339" s="69"/>
      <c r="FT2339" s="45"/>
    </row>
    <row r="2340" spans="5:176" x14ac:dyDescent="0.2">
      <c r="E2340" s="69"/>
      <c r="FT2340" s="45"/>
    </row>
    <row r="2341" spans="5:176" x14ac:dyDescent="0.2">
      <c r="E2341" s="69"/>
      <c r="FT2341" s="45"/>
    </row>
    <row r="2342" spans="5:176" x14ac:dyDescent="0.2">
      <c r="E2342" s="69"/>
      <c r="FT2342" s="45"/>
    </row>
    <row r="2343" spans="5:176" x14ac:dyDescent="0.2">
      <c r="E2343" s="69"/>
      <c r="FT2343" s="45"/>
    </row>
    <row r="2344" spans="5:176" x14ac:dyDescent="0.2">
      <c r="E2344" s="69"/>
      <c r="FT2344" s="45"/>
    </row>
    <row r="2345" spans="5:176" x14ac:dyDescent="0.2">
      <c r="E2345" s="69"/>
      <c r="FT2345" s="45"/>
    </row>
    <row r="2346" spans="5:176" x14ac:dyDescent="0.2">
      <c r="E2346" s="69"/>
      <c r="FT2346" s="45"/>
    </row>
    <row r="2347" spans="5:176" x14ac:dyDescent="0.2">
      <c r="E2347" s="69"/>
      <c r="FT2347" s="45"/>
    </row>
    <row r="2348" spans="5:176" x14ac:dyDescent="0.2">
      <c r="E2348" s="69"/>
      <c r="FT2348" s="45"/>
    </row>
    <row r="2349" spans="5:176" x14ac:dyDescent="0.2">
      <c r="E2349" s="69"/>
      <c r="FT2349" s="45"/>
    </row>
    <row r="2350" spans="5:176" x14ac:dyDescent="0.2">
      <c r="E2350" s="69"/>
      <c r="FT2350" s="45"/>
    </row>
    <row r="2351" spans="5:176" x14ac:dyDescent="0.2">
      <c r="E2351" s="69"/>
      <c r="FT2351" s="45"/>
    </row>
    <row r="2352" spans="5:176" x14ac:dyDescent="0.2">
      <c r="E2352" s="69"/>
      <c r="FT2352" s="45"/>
    </row>
    <row r="2353" spans="5:176" x14ac:dyDescent="0.2">
      <c r="E2353" s="69"/>
      <c r="FT2353" s="45"/>
    </row>
    <row r="2354" spans="5:176" x14ac:dyDescent="0.2">
      <c r="E2354" s="69"/>
      <c r="FT2354" s="45"/>
    </row>
    <row r="2355" spans="5:176" x14ac:dyDescent="0.2">
      <c r="E2355" s="69"/>
      <c r="FT2355" s="45"/>
    </row>
    <row r="2356" spans="5:176" x14ac:dyDescent="0.2">
      <c r="E2356" s="69"/>
      <c r="FT2356" s="45"/>
    </row>
    <row r="2357" spans="5:176" x14ac:dyDescent="0.2">
      <c r="E2357" s="69"/>
      <c r="FT2357" s="45"/>
    </row>
    <row r="2358" spans="5:176" x14ac:dyDescent="0.2">
      <c r="E2358" s="69"/>
      <c r="FT2358" s="45"/>
    </row>
    <row r="2359" spans="5:176" x14ac:dyDescent="0.2">
      <c r="E2359" s="69"/>
      <c r="FT2359" s="45"/>
    </row>
    <row r="2360" spans="5:176" x14ac:dyDescent="0.2">
      <c r="E2360" s="69"/>
      <c r="FT2360" s="45"/>
    </row>
    <row r="2361" spans="5:176" x14ac:dyDescent="0.2">
      <c r="E2361" s="69"/>
      <c r="FT2361" s="45"/>
    </row>
    <row r="2362" spans="5:176" x14ac:dyDescent="0.2">
      <c r="E2362" s="69"/>
      <c r="FT2362" s="45"/>
    </row>
    <row r="2363" spans="5:176" x14ac:dyDescent="0.2">
      <c r="E2363" s="69"/>
      <c r="FT2363" s="45"/>
    </row>
    <row r="2364" spans="5:176" x14ac:dyDescent="0.2">
      <c r="E2364" s="69"/>
      <c r="FT2364" s="45"/>
    </row>
    <row r="2365" spans="5:176" x14ac:dyDescent="0.2">
      <c r="E2365" s="69"/>
      <c r="FT2365" s="45"/>
    </row>
    <row r="2366" spans="5:176" x14ac:dyDescent="0.2">
      <c r="E2366" s="69"/>
      <c r="FT2366" s="45"/>
    </row>
    <row r="2367" spans="5:176" x14ac:dyDescent="0.2">
      <c r="E2367" s="69"/>
      <c r="FT2367" s="45"/>
    </row>
    <row r="2368" spans="5:176" x14ac:dyDescent="0.2">
      <c r="E2368" s="69"/>
      <c r="FT2368" s="45"/>
    </row>
    <row r="2369" spans="5:176" x14ac:dyDescent="0.2">
      <c r="E2369" s="69"/>
      <c r="FT2369" s="45"/>
    </row>
    <row r="2370" spans="5:176" x14ac:dyDescent="0.2">
      <c r="E2370" s="69"/>
      <c r="FT2370" s="45"/>
    </row>
    <row r="2371" spans="5:176" x14ac:dyDescent="0.2">
      <c r="E2371" s="69"/>
      <c r="FT2371" s="45"/>
    </row>
    <row r="2372" spans="5:176" x14ac:dyDescent="0.2">
      <c r="E2372" s="69"/>
      <c r="FT2372" s="45"/>
    </row>
    <row r="2373" spans="5:176" x14ac:dyDescent="0.2">
      <c r="E2373" s="69"/>
      <c r="FT2373" s="45"/>
    </row>
    <row r="2374" spans="5:176" x14ac:dyDescent="0.2">
      <c r="E2374" s="69"/>
      <c r="FT2374" s="45"/>
    </row>
    <row r="2375" spans="5:176" x14ac:dyDescent="0.2">
      <c r="E2375" s="69"/>
      <c r="FT2375" s="45"/>
    </row>
    <row r="2376" spans="5:176" x14ac:dyDescent="0.2">
      <c r="E2376" s="69"/>
      <c r="FT2376" s="45"/>
    </row>
    <row r="2377" spans="5:176" x14ac:dyDescent="0.2">
      <c r="E2377" s="69"/>
      <c r="FT2377" s="45"/>
    </row>
    <row r="2378" spans="5:176" x14ac:dyDescent="0.2">
      <c r="E2378" s="69"/>
      <c r="FT2378" s="45"/>
    </row>
    <row r="2379" spans="5:176" x14ac:dyDescent="0.2">
      <c r="E2379" s="69"/>
      <c r="FT2379" s="45"/>
    </row>
    <row r="2380" spans="5:176" x14ac:dyDescent="0.2">
      <c r="E2380" s="69"/>
      <c r="FT2380" s="45"/>
    </row>
    <row r="2381" spans="5:176" x14ac:dyDescent="0.2">
      <c r="E2381" s="69"/>
      <c r="FT2381" s="45"/>
    </row>
    <row r="2382" spans="5:176" x14ac:dyDescent="0.2">
      <c r="E2382" s="69"/>
      <c r="FT2382" s="45"/>
    </row>
    <row r="2383" spans="5:176" x14ac:dyDescent="0.2">
      <c r="E2383" s="69"/>
      <c r="FT2383" s="45"/>
    </row>
    <row r="2384" spans="5:176" x14ac:dyDescent="0.2">
      <c r="E2384" s="69"/>
      <c r="FT2384" s="45"/>
    </row>
    <row r="2385" spans="5:176" x14ac:dyDescent="0.2">
      <c r="E2385" s="69"/>
      <c r="FT2385" s="45"/>
    </row>
    <row r="2386" spans="5:176" x14ac:dyDescent="0.2">
      <c r="E2386" s="69"/>
      <c r="FT2386" s="45"/>
    </row>
    <row r="2387" spans="5:176" x14ac:dyDescent="0.2">
      <c r="E2387" s="69"/>
      <c r="FT2387" s="45"/>
    </row>
    <row r="2388" spans="5:176" x14ac:dyDescent="0.2">
      <c r="E2388" s="69"/>
      <c r="FT2388" s="45"/>
    </row>
    <row r="2389" spans="5:176" x14ac:dyDescent="0.2">
      <c r="E2389" s="69"/>
      <c r="FT2389" s="45"/>
    </row>
    <row r="2390" spans="5:176" x14ac:dyDescent="0.2">
      <c r="E2390" s="69"/>
      <c r="FT2390" s="45"/>
    </row>
    <row r="2391" spans="5:176" x14ac:dyDescent="0.2">
      <c r="E2391" s="69"/>
      <c r="FT2391" s="45"/>
    </row>
    <row r="2392" spans="5:176" x14ac:dyDescent="0.2">
      <c r="E2392" s="69"/>
      <c r="FT2392" s="45"/>
    </row>
    <row r="2393" spans="5:176" x14ac:dyDescent="0.2">
      <c r="E2393" s="69"/>
      <c r="FT2393" s="45"/>
    </row>
    <row r="2394" spans="5:176" x14ac:dyDescent="0.2">
      <c r="E2394" s="69"/>
      <c r="FT2394" s="45"/>
    </row>
    <row r="2395" spans="5:176" x14ac:dyDescent="0.2">
      <c r="E2395" s="69"/>
      <c r="FT2395" s="45"/>
    </row>
    <row r="2396" spans="5:176" x14ac:dyDescent="0.2">
      <c r="E2396" s="69"/>
      <c r="FT2396" s="45"/>
    </row>
    <row r="2397" spans="5:176" x14ac:dyDescent="0.2">
      <c r="E2397" s="69"/>
      <c r="FT2397" s="45"/>
    </row>
    <row r="2398" spans="5:176" x14ac:dyDescent="0.2">
      <c r="E2398" s="69"/>
      <c r="FT2398" s="45"/>
    </row>
    <row r="2399" spans="5:176" x14ac:dyDescent="0.2">
      <c r="E2399" s="69"/>
      <c r="FT2399" s="45"/>
    </row>
    <row r="2400" spans="5:176" x14ac:dyDescent="0.2">
      <c r="E2400" s="69"/>
      <c r="FT2400" s="45"/>
    </row>
    <row r="2401" spans="5:176" x14ac:dyDescent="0.2">
      <c r="E2401" s="69"/>
      <c r="FT2401" s="45"/>
    </row>
    <row r="2402" spans="5:176" x14ac:dyDescent="0.2">
      <c r="E2402" s="69"/>
      <c r="FT2402" s="45"/>
    </row>
    <row r="2403" spans="5:176" x14ac:dyDescent="0.2">
      <c r="E2403" s="69"/>
      <c r="FT2403" s="45"/>
    </row>
    <row r="2404" spans="5:176" x14ac:dyDescent="0.2">
      <c r="E2404" s="69"/>
      <c r="FT2404" s="45"/>
    </row>
    <row r="2405" spans="5:176" x14ac:dyDescent="0.2">
      <c r="E2405" s="69"/>
      <c r="FT2405" s="45"/>
    </row>
    <row r="2406" spans="5:176" x14ac:dyDescent="0.2">
      <c r="E2406" s="69"/>
      <c r="FT2406" s="45"/>
    </row>
    <row r="2407" spans="5:176" x14ac:dyDescent="0.2">
      <c r="E2407" s="69"/>
      <c r="FT2407" s="45"/>
    </row>
    <row r="2408" spans="5:176" x14ac:dyDescent="0.2">
      <c r="E2408" s="69"/>
      <c r="FT2408" s="45"/>
    </row>
    <row r="2409" spans="5:176" x14ac:dyDescent="0.2">
      <c r="E2409" s="69"/>
      <c r="FT2409" s="45"/>
    </row>
    <row r="2410" spans="5:176" x14ac:dyDescent="0.2">
      <c r="E2410" s="69"/>
      <c r="FT2410" s="45"/>
    </row>
    <row r="2411" spans="5:176" x14ac:dyDescent="0.2">
      <c r="E2411" s="69"/>
      <c r="FT2411" s="45"/>
    </row>
    <row r="2412" spans="5:176" x14ac:dyDescent="0.2">
      <c r="E2412" s="69"/>
      <c r="FT2412" s="45"/>
    </row>
    <row r="2413" spans="5:176" x14ac:dyDescent="0.2">
      <c r="E2413" s="69"/>
      <c r="FT2413" s="45"/>
    </row>
    <row r="2414" spans="5:176" x14ac:dyDescent="0.2">
      <c r="E2414" s="69"/>
      <c r="FT2414" s="45"/>
    </row>
    <row r="2415" spans="5:176" x14ac:dyDescent="0.2">
      <c r="E2415" s="69"/>
      <c r="FT2415" s="45"/>
    </row>
    <row r="2416" spans="5:176" x14ac:dyDescent="0.2">
      <c r="E2416" s="69"/>
      <c r="FT2416" s="45"/>
    </row>
    <row r="2417" spans="5:176" x14ac:dyDescent="0.2">
      <c r="E2417" s="69"/>
      <c r="FT2417" s="45"/>
    </row>
    <row r="2418" spans="5:176" x14ac:dyDescent="0.2">
      <c r="E2418" s="69"/>
      <c r="FT2418" s="45"/>
    </row>
    <row r="2419" spans="5:176" x14ac:dyDescent="0.2">
      <c r="E2419" s="69"/>
      <c r="FT2419" s="45"/>
    </row>
    <row r="2420" spans="5:176" x14ac:dyDescent="0.2">
      <c r="E2420" s="69"/>
      <c r="FT2420" s="45"/>
    </row>
    <row r="2421" spans="5:176" x14ac:dyDescent="0.2">
      <c r="E2421" s="69"/>
      <c r="FT2421" s="45"/>
    </row>
    <row r="2422" spans="5:176" x14ac:dyDescent="0.2">
      <c r="E2422" s="69"/>
      <c r="FT2422" s="45"/>
    </row>
    <row r="2423" spans="5:176" x14ac:dyDescent="0.2">
      <c r="E2423" s="69"/>
      <c r="FT2423" s="45"/>
    </row>
    <row r="2424" spans="5:176" x14ac:dyDescent="0.2">
      <c r="E2424" s="69"/>
      <c r="FT2424" s="45"/>
    </row>
    <row r="2425" spans="5:176" x14ac:dyDescent="0.2">
      <c r="E2425" s="69"/>
      <c r="FT2425" s="45"/>
    </row>
    <row r="2426" spans="5:176" x14ac:dyDescent="0.2">
      <c r="E2426" s="69"/>
      <c r="FT2426" s="45"/>
    </row>
    <row r="2427" spans="5:176" x14ac:dyDescent="0.2">
      <c r="E2427" s="69"/>
      <c r="FT2427" s="45"/>
    </row>
    <row r="2428" spans="5:176" x14ac:dyDescent="0.2">
      <c r="E2428" s="69"/>
      <c r="FT2428" s="45"/>
    </row>
    <row r="2429" spans="5:176" x14ac:dyDescent="0.2">
      <c r="E2429" s="69"/>
      <c r="FT2429" s="45"/>
    </row>
    <row r="2430" spans="5:176" x14ac:dyDescent="0.2">
      <c r="E2430" s="69"/>
      <c r="FT2430" s="45"/>
    </row>
    <row r="2431" spans="5:176" x14ac:dyDescent="0.2">
      <c r="E2431" s="69"/>
      <c r="FT2431" s="45"/>
    </row>
    <row r="2432" spans="5:176" x14ac:dyDescent="0.2">
      <c r="E2432" s="69"/>
      <c r="FT2432" s="45"/>
    </row>
    <row r="2433" spans="5:176" x14ac:dyDescent="0.2">
      <c r="E2433" s="69"/>
      <c r="FT2433" s="45"/>
    </row>
    <row r="2434" spans="5:176" x14ac:dyDescent="0.2">
      <c r="E2434" s="69"/>
      <c r="FT2434" s="45"/>
    </row>
    <row r="2435" spans="5:176" x14ac:dyDescent="0.2">
      <c r="E2435" s="69"/>
      <c r="FT2435" s="45"/>
    </row>
    <row r="2436" spans="5:176" x14ac:dyDescent="0.2">
      <c r="E2436" s="69"/>
      <c r="FT2436" s="45"/>
    </row>
    <row r="2437" spans="5:176" x14ac:dyDescent="0.2">
      <c r="E2437" s="69"/>
      <c r="FT2437" s="45"/>
    </row>
    <row r="2438" spans="5:176" x14ac:dyDescent="0.2">
      <c r="E2438" s="69"/>
      <c r="FT2438" s="45"/>
    </row>
    <row r="2439" spans="5:176" x14ac:dyDescent="0.2">
      <c r="E2439" s="69"/>
      <c r="FT2439" s="45"/>
    </row>
    <row r="2440" spans="5:176" x14ac:dyDescent="0.2">
      <c r="E2440" s="69"/>
      <c r="FT2440" s="45"/>
    </row>
    <row r="2441" spans="5:176" x14ac:dyDescent="0.2">
      <c r="E2441" s="69"/>
      <c r="FT2441" s="45"/>
    </row>
    <row r="2442" spans="5:176" x14ac:dyDescent="0.2">
      <c r="E2442" s="69"/>
      <c r="FT2442" s="45"/>
    </row>
    <row r="2443" spans="5:176" x14ac:dyDescent="0.2">
      <c r="E2443" s="69"/>
      <c r="FT2443" s="45"/>
    </row>
    <row r="2444" spans="5:176" x14ac:dyDescent="0.2">
      <c r="E2444" s="69"/>
      <c r="FT2444" s="45"/>
    </row>
    <row r="2445" spans="5:176" x14ac:dyDescent="0.2">
      <c r="E2445" s="69"/>
      <c r="FT2445" s="45"/>
    </row>
    <row r="2446" spans="5:176" x14ac:dyDescent="0.2">
      <c r="E2446" s="69"/>
      <c r="FT2446" s="45"/>
    </row>
    <row r="2447" spans="5:176" x14ac:dyDescent="0.2">
      <c r="E2447" s="69"/>
      <c r="FT2447" s="45"/>
    </row>
    <row r="2448" spans="5:176" x14ac:dyDescent="0.2">
      <c r="E2448" s="69"/>
      <c r="FT2448" s="45"/>
    </row>
    <row r="2449" spans="5:176" x14ac:dyDescent="0.2">
      <c r="E2449" s="69"/>
      <c r="FT2449" s="45"/>
    </row>
    <row r="2450" spans="5:176" x14ac:dyDescent="0.2">
      <c r="E2450" s="69"/>
      <c r="FT2450" s="45"/>
    </row>
    <row r="2451" spans="5:176" x14ac:dyDescent="0.2">
      <c r="E2451" s="69"/>
      <c r="FT2451" s="45"/>
    </row>
    <row r="2452" spans="5:176" x14ac:dyDescent="0.2">
      <c r="E2452" s="69"/>
      <c r="FT2452" s="45"/>
    </row>
    <row r="2453" spans="5:176" x14ac:dyDescent="0.2">
      <c r="E2453" s="69"/>
      <c r="FT2453" s="45"/>
    </row>
    <row r="2454" spans="5:176" x14ac:dyDescent="0.2">
      <c r="E2454" s="69"/>
      <c r="FT2454" s="45"/>
    </row>
    <row r="2455" spans="5:176" x14ac:dyDescent="0.2">
      <c r="E2455" s="69"/>
      <c r="FT2455" s="45"/>
    </row>
    <row r="2456" spans="5:176" x14ac:dyDescent="0.2">
      <c r="E2456" s="69"/>
      <c r="FT2456" s="45"/>
    </row>
    <row r="2457" spans="5:176" x14ac:dyDescent="0.2">
      <c r="E2457" s="69"/>
      <c r="FT2457" s="45"/>
    </row>
    <row r="2458" spans="5:176" x14ac:dyDescent="0.2">
      <c r="E2458" s="69"/>
      <c r="FT2458" s="45"/>
    </row>
    <row r="2459" spans="5:176" x14ac:dyDescent="0.2">
      <c r="E2459" s="69"/>
      <c r="FT2459" s="45"/>
    </row>
    <row r="2460" spans="5:176" x14ac:dyDescent="0.2">
      <c r="E2460" s="69"/>
      <c r="FT2460" s="45"/>
    </row>
    <row r="2461" spans="5:176" x14ac:dyDescent="0.2">
      <c r="E2461" s="69"/>
      <c r="FT2461" s="45"/>
    </row>
    <row r="2462" spans="5:176" x14ac:dyDescent="0.2">
      <c r="E2462" s="69"/>
      <c r="FT2462" s="45"/>
    </row>
    <row r="2463" spans="5:176" x14ac:dyDescent="0.2">
      <c r="E2463" s="69"/>
      <c r="FT2463" s="45"/>
    </row>
    <row r="2464" spans="5:176" x14ac:dyDescent="0.2">
      <c r="E2464" s="69"/>
      <c r="FT2464" s="45"/>
    </row>
    <row r="2465" spans="5:176" x14ac:dyDescent="0.2">
      <c r="E2465" s="69"/>
      <c r="FT2465" s="45"/>
    </row>
    <row r="2466" spans="5:176" x14ac:dyDescent="0.2">
      <c r="E2466" s="69"/>
      <c r="FT2466" s="45"/>
    </row>
    <row r="2467" spans="5:176" x14ac:dyDescent="0.2">
      <c r="E2467" s="69"/>
      <c r="FT2467" s="45"/>
    </row>
    <row r="2468" spans="5:176" x14ac:dyDescent="0.2">
      <c r="E2468" s="69"/>
      <c r="FT2468" s="45"/>
    </row>
    <row r="2469" spans="5:176" x14ac:dyDescent="0.2">
      <c r="E2469" s="69"/>
      <c r="FT2469" s="45"/>
    </row>
    <row r="2470" spans="5:176" x14ac:dyDescent="0.2">
      <c r="E2470" s="69"/>
      <c r="FT2470" s="45"/>
    </row>
    <row r="2471" spans="5:176" x14ac:dyDescent="0.2">
      <c r="E2471" s="69"/>
      <c r="FT2471" s="45"/>
    </row>
    <row r="2472" spans="5:176" x14ac:dyDescent="0.2">
      <c r="E2472" s="69"/>
      <c r="FT2472" s="45"/>
    </row>
    <row r="2473" spans="5:176" x14ac:dyDescent="0.2">
      <c r="E2473" s="69"/>
      <c r="FT2473" s="45"/>
    </row>
    <row r="2474" spans="5:176" x14ac:dyDescent="0.2">
      <c r="E2474" s="69"/>
      <c r="FT2474" s="45"/>
    </row>
    <row r="2475" spans="5:176" x14ac:dyDescent="0.2">
      <c r="E2475" s="69"/>
      <c r="FT2475" s="45"/>
    </row>
    <row r="2476" spans="5:176" x14ac:dyDescent="0.2">
      <c r="E2476" s="69"/>
      <c r="FT2476" s="45"/>
    </row>
    <row r="2477" spans="5:176" x14ac:dyDescent="0.2">
      <c r="E2477" s="69"/>
      <c r="FT2477" s="45"/>
    </row>
    <row r="2478" spans="5:176" x14ac:dyDescent="0.2">
      <c r="E2478" s="69"/>
      <c r="FT2478" s="45"/>
    </row>
    <row r="2479" spans="5:176" x14ac:dyDescent="0.2">
      <c r="E2479" s="69"/>
      <c r="FT2479" s="45"/>
    </row>
    <row r="2480" spans="5:176" x14ac:dyDescent="0.2">
      <c r="E2480" s="69"/>
      <c r="FT2480" s="45"/>
    </row>
    <row r="2481" spans="5:176" x14ac:dyDescent="0.2">
      <c r="E2481" s="69"/>
      <c r="FT2481" s="45"/>
    </row>
    <row r="2482" spans="5:176" x14ac:dyDescent="0.2">
      <c r="E2482" s="69"/>
      <c r="FT2482" s="45"/>
    </row>
    <row r="2483" spans="5:176" x14ac:dyDescent="0.2">
      <c r="E2483" s="69"/>
      <c r="FT2483" s="45"/>
    </row>
    <row r="2484" spans="5:176" x14ac:dyDescent="0.2">
      <c r="E2484" s="69"/>
      <c r="FT2484" s="45"/>
    </row>
    <row r="2485" spans="5:176" x14ac:dyDescent="0.2">
      <c r="E2485" s="69"/>
      <c r="FT2485" s="45"/>
    </row>
    <row r="2486" spans="5:176" x14ac:dyDescent="0.2">
      <c r="E2486" s="69"/>
      <c r="FT2486" s="45"/>
    </row>
    <row r="2487" spans="5:176" x14ac:dyDescent="0.2">
      <c r="E2487" s="69"/>
      <c r="FT2487" s="45"/>
    </row>
    <row r="2488" spans="5:176" x14ac:dyDescent="0.2">
      <c r="E2488" s="69"/>
      <c r="FT2488" s="45"/>
    </row>
    <row r="2489" spans="5:176" x14ac:dyDescent="0.2">
      <c r="E2489" s="69"/>
      <c r="FT2489" s="45"/>
    </row>
    <row r="2490" spans="5:176" x14ac:dyDescent="0.2">
      <c r="E2490" s="69"/>
      <c r="FT2490" s="45"/>
    </row>
    <row r="2491" spans="5:176" x14ac:dyDescent="0.2">
      <c r="E2491" s="69"/>
      <c r="FT2491" s="45"/>
    </row>
    <row r="2492" spans="5:176" x14ac:dyDescent="0.2">
      <c r="E2492" s="69"/>
      <c r="FT2492" s="45"/>
    </row>
    <row r="2493" spans="5:176" x14ac:dyDescent="0.2">
      <c r="E2493" s="69"/>
      <c r="FT2493" s="45"/>
    </row>
    <row r="2494" spans="5:176" x14ac:dyDescent="0.2">
      <c r="E2494" s="69"/>
      <c r="FT2494" s="45"/>
    </row>
    <row r="2495" spans="5:176" x14ac:dyDescent="0.2">
      <c r="E2495" s="69"/>
      <c r="FT2495" s="45"/>
    </row>
    <row r="2496" spans="5:176" x14ac:dyDescent="0.2">
      <c r="E2496" s="69"/>
      <c r="FT2496" s="45"/>
    </row>
    <row r="2497" spans="5:176" x14ac:dyDescent="0.2">
      <c r="E2497" s="69"/>
      <c r="FT2497" s="45"/>
    </row>
    <row r="2498" spans="5:176" x14ac:dyDescent="0.2">
      <c r="E2498" s="69"/>
      <c r="FT2498" s="45"/>
    </row>
    <row r="2499" spans="5:176" x14ac:dyDescent="0.2">
      <c r="E2499" s="69"/>
      <c r="FT2499" s="45"/>
    </row>
    <row r="2500" spans="5:176" x14ac:dyDescent="0.2">
      <c r="E2500" s="69"/>
      <c r="FT2500" s="45"/>
    </row>
    <row r="2501" spans="5:176" x14ac:dyDescent="0.2">
      <c r="E2501" s="69"/>
      <c r="FT2501" s="45"/>
    </row>
    <row r="2502" spans="5:176" x14ac:dyDescent="0.2">
      <c r="E2502" s="69"/>
      <c r="FT2502" s="45"/>
    </row>
    <row r="2503" spans="5:176" x14ac:dyDescent="0.2">
      <c r="E2503" s="69"/>
      <c r="FT2503" s="45"/>
    </row>
    <row r="2504" spans="5:176" x14ac:dyDescent="0.2">
      <c r="E2504" s="69"/>
      <c r="FT2504" s="45"/>
    </row>
    <row r="2505" spans="5:176" x14ac:dyDescent="0.2">
      <c r="E2505" s="69"/>
      <c r="FT2505" s="45"/>
    </row>
    <row r="2506" spans="5:176" x14ac:dyDescent="0.2">
      <c r="E2506" s="69"/>
      <c r="FT2506" s="45"/>
    </row>
    <row r="2507" spans="5:176" x14ac:dyDescent="0.2">
      <c r="E2507" s="69"/>
      <c r="FT2507" s="45"/>
    </row>
    <row r="2508" spans="5:176" x14ac:dyDescent="0.2">
      <c r="E2508" s="69"/>
      <c r="FT2508" s="45"/>
    </row>
    <row r="2509" spans="5:176" x14ac:dyDescent="0.2">
      <c r="E2509" s="69"/>
      <c r="FT2509" s="45"/>
    </row>
    <row r="2510" spans="5:176" x14ac:dyDescent="0.2">
      <c r="E2510" s="69"/>
      <c r="FT2510" s="45"/>
    </row>
    <row r="2511" spans="5:176" x14ac:dyDescent="0.2">
      <c r="E2511" s="69"/>
      <c r="FT2511" s="45"/>
    </row>
    <row r="2512" spans="5:176" x14ac:dyDescent="0.2">
      <c r="E2512" s="69"/>
      <c r="FT2512" s="45"/>
    </row>
    <row r="2513" spans="5:176" x14ac:dyDescent="0.2">
      <c r="E2513" s="69"/>
      <c r="FT2513" s="45"/>
    </row>
    <row r="2514" spans="5:176" x14ac:dyDescent="0.2">
      <c r="E2514" s="69"/>
      <c r="FT2514" s="45"/>
    </row>
    <row r="2515" spans="5:176" x14ac:dyDescent="0.2">
      <c r="E2515" s="69"/>
      <c r="FT2515" s="45"/>
    </row>
    <row r="2516" spans="5:176" x14ac:dyDescent="0.2">
      <c r="E2516" s="69"/>
      <c r="FT2516" s="45"/>
    </row>
    <row r="2517" spans="5:176" x14ac:dyDescent="0.2">
      <c r="E2517" s="69"/>
      <c r="FT2517" s="45"/>
    </row>
    <row r="2518" spans="5:176" x14ac:dyDescent="0.2">
      <c r="E2518" s="69"/>
      <c r="FT2518" s="45"/>
    </row>
    <row r="2519" spans="5:176" x14ac:dyDescent="0.2">
      <c r="E2519" s="69"/>
      <c r="FT2519" s="45"/>
    </row>
    <row r="2520" spans="5:176" x14ac:dyDescent="0.2">
      <c r="E2520" s="69"/>
      <c r="FT2520" s="45"/>
    </row>
    <row r="2521" spans="5:176" x14ac:dyDescent="0.2">
      <c r="E2521" s="69"/>
      <c r="FT2521" s="45"/>
    </row>
    <row r="2522" spans="5:176" x14ac:dyDescent="0.2">
      <c r="E2522" s="69"/>
      <c r="FT2522" s="45"/>
    </row>
    <row r="2523" spans="5:176" x14ac:dyDescent="0.2">
      <c r="E2523" s="69"/>
      <c r="FT2523" s="45"/>
    </row>
    <row r="2524" spans="5:176" x14ac:dyDescent="0.2">
      <c r="E2524" s="69"/>
      <c r="FT2524" s="45"/>
    </row>
    <row r="2525" spans="5:176" x14ac:dyDescent="0.2">
      <c r="E2525" s="69"/>
      <c r="FT2525" s="45"/>
    </row>
    <row r="2526" spans="5:176" x14ac:dyDescent="0.2">
      <c r="E2526" s="69"/>
      <c r="FT2526" s="45"/>
    </row>
    <row r="2527" spans="5:176" x14ac:dyDescent="0.2">
      <c r="E2527" s="69"/>
      <c r="FT2527" s="45"/>
    </row>
    <row r="2528" spans="5:176" x14ac:dyDescent="0.2">
      <c r="E2528" s="69"/>
      <c r="FT2528" s="45"/>
    </row>
    <row r="2529" spans="5:176" x14ac:dyDescent="0.2">
      <c r="E2529" s="69"/>
      <c r="FT2529" s="45"/>
    </row>
    <row r="2530" spans="5:176" x14ac:dyDescent="0.2">
      <c r="E2530" s="69"/>
      <c r="FT2530" s="45"/>
    </row>
    <row r="2531" spans="5:176" x14ac:dyDescent="0.2">
      <c r="E2531" s="69"/>
      <c r="FT2531" s="45"/>
    </row>
    <row r="2532" spans="5:176" x14ac:dyDescent="0.2">
      <c r="E2532" s="69"/>
      <c r="FT2532" s="45"/>
    </row>
    <row r="2533" spans="5:176" x14ac:dyDescent="0.2">
      <c r="E2533" s="69"/>
      <c r="FT2533" s="45"/>
    </row>
    <row r="2534" spans="5:176" x14ac:dyDescent="0.2">
      <c r="E2534" s="69"/>
      <c r="FT2534" s="45"/>
    </row>
    <row r="2535" spans="5:176" x14ac:dyDescent="0.2">
      <c r="E2535" s="69"/>
      <c r="FT2535" s="45"/>
    </row>
    <row r="2536" spans="5:176" x14ac:dyDescent="0.2">
      <c r="E2536" s="69"/>
      <c r="FT2536" s="45"/>
    </row>
    <row r="2537" spans="5:176" x14ac:dyDescent="0.2">
      <c r="E2537" s="69"/>
      <c r="FT2537" s="45"/>
    </row>
    <row r="2538" spans="5:176" x14ac:dyDescent="0.2">
      <c r="E2538" s="69"/>
      <c r="FT2538" s="45"/>
    </row>
    <row r="2539" spans="5:176" x14ac:dyDescent="0.2">
      <c r="E2539" s="69"/>
      <c r="FT2539" s="45"/>
    </row>
    <row r="2540" spans="5:176" x14ac:dyDescent="0.2">
      <c r="E2540" s="69"/>
      <c r="FT2540" s="45"/>
    </row>
    <row r="2541" spans="5:176" x14ac:dyDescent="0.2">
      <c r="E2541" s="69"/>
      <c r="FT2541" s="45"/>
    </row>
    <row r="2542" spans="5:176" x14ac:dyDescent="0.2">
      <c r="E2542" s="69"/>
      <c r="FT2542" s="45"/>
    </row>
    <row r="2543" spans="5:176" x14ac:dyDescent="0.2">
      <c r="E2543" s="69"/>
      <c r="FT2543" s="45"/>
    </row>
    <row r="2544" spans="5:176" x14ac:dyDescent="0.2">
      <c r="E2544" s="69"/>
      <c r="FT2544" s="45"/>
    </row>
    <row r="2545" spans="5:176" x14ac:dyDescent="0.2">
      <c r="E2545" s="69"/>
      <c r="FT2545" s="45"/>
    </row>
    <row r="2546" spans="5:176" x14ac:dyDescent="0.2">
      <c r="E2546" s="69"/>
      <c r="FT2546" s="45"/>
    </row>
    <row r="2547" spans="5:176" x14ac:dyDescent="0.2">
      <c r="E2547" s="69"/>
      <c r="FT2547" s="45"/>
    </row>
    <row r="2548" spans="5:176" x14ac:dyDescent="0.2">
      <c r="E2548" s="69"/>
      <c r="FT2548" s="45"/>
    </row>
    <row r="2549" spans="5:176" x14ac:dyDescent="0.2">
      <c r="E2549" s="69"/>
      <c r="FT2549" s="45"/>
    </row>
    <row r="2550" spans="5:176" x14ac:dyDescent="0.2">
      <c r="E2550" s="69"/>
      <c r="FT2550" s="45"/>
    </row>
    <row r="2551" spans="5:176" x14ac:dyDescent="0.2">
      <c r="E2551" s="69"/>
      <c r="FT2551" s="45"/>
    </row>
    <row r="2552" spans="5:176" x14ac:dyDescent="0.2">
      <c r="E2552" s="69"/>
      <c r="FT2552" s="45"/>
    </row>
    <row r="2553" spans="5:176" x14ac:dyDescent="0.2">
      <c r="E2553" s="69"/>
      <c r="FT2553" s="45"/>
    </row>
    <row r="2554" spans="5:176" x14ac:dyDescent="0.2">
      <c r="E2554" s="69"/>
      <c r="FT2554" s="45"/>
    </row>
    <row r="2555" spans="5:176" x14ac:dyDescent="0.2">
      <c r="E2555" s="69"/>
      <c r="FT2555" s="45"/>
    </row>
    <row r="2556" spans="5:176" x14ac:dyDescent="0.2">
      <c r="E2556" s="69"/>
      <c r="FT2556" s="45"/>
    </row>
    <row r="2557" spans="5:176" x14ac:dyDescent="0.2">
      <c r="E2557" s="69"/>
      <c r="FT2557" s="45"/>
    </row>
    <row r="2558" spans="5:176" x14ac:dyDescent="0.2">
      <c r="E2558" s="69"/>
      <c r="FT2558" s="45"/>
    </row>
    <row r="2559" spans="5:176" x14ac:dyDescent="0.2">
      <c r="E2559" s="69"/>
      <c r="FT2559" s="45"/>
    </row>
    <row r="2560" spans="5:176" x14ac:dyDescent="0.2">
      <c r="E2560" s="69"/>
      <c r="FT2560" s="45"/>
    </row>
    <row r="2561" spans="5:176" x14ac:dyDescent="0.2">
      <c r="E2561" s="69"/>
      <c r="FT2561" s="45"/>
    </row>
    <row r="2562" spans="5:176" x14ac:dyDescent="0.2">
      <c r="E2562" s="69"/>
      <c r="FT2562" s="45"/>
    </row>
    <row r="2563" spans="5:176" x14ac:dyDescent="0.2">
      <c r="E2563" s="69"/>
      <c r="FT2563" s="45"/>
    </row>
    <row r="2564" spans="5:176" x14ac:dyDescent="0.2">
      <c r="E2564" s="69"/>
      <c r="FT2564" s="45"/>
    </row>
    <row r="2565" spans="5:176" x14ac:dyDescent="0.2">
      <c r="E2565" s="69"/>
      <c r="FT2565" s="45"/>
    </row>
    <row r="2566" spans="5:176" x14ac:dyDescent="0.2">
      <c r="E2566" s="69"/>
      <c r="FT2566" s="45"/>
    </row>
    <row r="2567" spans="5:176" x14ac:dyDescent="0.2">
      <c r="E2567" s="69"/>
      <c r="FT2567" s="45"/>
    </row>
    <row r="2568" spans="5:176" x14ac:dyDescent="0.2">
      <c r="E2568" s="69"/>
      <c r="FT2568" s="45"/>
    </row>
    <row r="2569" spans="5:176" x14ac:dyDescent="0.2">
      <c r="E2569" s="69"/>
      <c r="FT2569" s="45"/>
    </row>
    <row r="2570" spans="5:176" x14ac:dyDescent="0.2">
      <c r="E2570" s="69"/>
      <c r="FT2570" s="45"/>
    </row>
    <row r="2571" spans="5:176" x14ac:dyDescent="0.2">
      <c r="E2571" s="69"/>
      <c r="FT2571" s="45"/>
    </row>
    <row r="2572" spans="5:176" x14ac:dyDescent="0.2">
      <c r="E2572" s="69"/>
      <c r="FT2572" s="45"/>
    </row>
    <row r="2573" spans="5:176" x14ac:dyDescent="0.2">
      <c r="E2573" s="69"/>
      <c r="FT2573" s="45"/>
    </row>
    <row r="2574" spans="5:176" x14ac:dyDescent="0.2">
      <c r="E2574" s="69"/>
      <c r="FT2574" s="45"/>
    </row>
    <row r="2575" spans="5:176" x14ac:dyDescent="0.2">
      <c r="E2575" s="69"/>
      <c r="FT2575" s="45"/>
    </row>
    <row r="2576" spans="5:176" x14ac:dyDescent="0.2">
      <c r="E2576" s="69"/>
      <c r="FT2576" s="45"/>
    </row>
    <row r="2577" spans="5:176" x14ac:dyDescent="0.2">
      <c r="E2577" s="69"/>
      <c r="FT2577" s="45"/>
    </row>
    <row r="2578" spans="5:176" x14ac:dyDescent="0.2">
      <c r="E2578" s="69"/>
      <c r="FT2578" s="45"/>
    </row>
    <row r="2579" spans="5:176" x14ac:dyDescent="0.2">
      <c r="E2579" s="69"/>
      <c r="FT2579" s="45"/>
    </row>
    <row r="2580" spans="5:176" x14ac:dyDescent="0.2">
      <c r="E2580" s="69"/>
      <c r="FT2580" s="45"/>
    </row>
    <row r="2581" spans="5:176" x14ac:dyDescent="0.2">
      <c r="E2581" s="69"/>
      <c r="FT2581" s="45"/>
    </row>
    <row r="2582" spans="5:176" x14ac:dyDescent="0.2">
      <c r="E2582" s="69"/>
      <c r="FT2582" s="45"/>
    </row>
    <row r="2583" spans="5:176" x14ac:dyDescent="0.2">
      <c r="E2583" s="69"/>
      <c r="FT2583" s="45"/>
    </row>
    <row r="2584" spans="5:176" x14ac:dyDescent="0.2">
      <c r="E2584" s="69"/>
      <c r="FT2584" s="45"/>
    </row>
    <row r="2585" spans="5:176" x14ac:dyDescent="0.2">
      <c r="E2585" s="69"/>
      <c r="FT2585" s="45"/>
    </row>
    <row r="2586" spans="5:176" x14ac:dyDescent="0.2">
      <c r="E2586" s="69"/>
      <c r="FT2586" s="45"/>
    </row>
    <row r="2587" spans="5:176" x14ac:dyDescent="0.2">
      <c r="E2587" s="69"/>
      <c r="FT2587" s="45"/>
    </row>
    <row r="2588" spans="5:176" x14ac:dyDescent="0.2">
      <c r="E2588" s="69"/>
      <c r="FT2588" s="45"/>
    </row>
    <row r="2589" spans="5:176" x14ac:dyDescent="0.2">
      <c r="E2589" s="69"/>
      <c r="FT2589" s="45"/>
    </row>
    <row r="2590" spans="5:176" x14ac:dyDescent="0.2">
      <c r="E2590" s="69"/>
      <c r="FT2590" s="45"/>
    </row>
    <row r="2591" spans="5:176" x14ac:dyDescent="0.2">
      <c r="E2591" s="69"/>
      <c r="FT2591" s="45"/>
    </row>
    <row r="2592" spans="5:176" x14ac:dyDescent="0.2">
      <c r="E2592" s="69"/>
      <c r="FT2592" s="45"/>
    </row>
    <row r="2593" spans="5:176" x14ac:dyDescent="0.2">
      <c r="E2593" s="69"/>
      <c r="FT2593" s="45"/>
    </row>
    <row r="2594" spans="5:176" x14ac:dyDescent="0.2">
      <c r="E2594" s="69"/>
      <c r="FT2594" s="45"/>
    </row>
    <row r="2595" spans="5:176" x14ac:dyDescent="0.2">
      <c r="E2595" s="69"/>
      <c r="FT2595" s="45"/>
    </row>
    <row r="2596" spans="5:176" x14ac:dyDescent="0.2">
      <c r="E2596" s="69"/>
      <c r="FT2596" s="45"/>
    </row>
    <row r="2597" spans="5:176" x14ac:dyDescent="0.2">
      <c r="E2597" s="69"/>
      <c r="FT2597" s="45"/>
    </row>
    <row r="2598" spans="5:176" x14ac:dyDescent="0.2">
      <c r="E2598" s="69"/>
      <c r="FT2598" s="45"/>
    </row>
    <row r="2599" spans="5:176" x14ac:dyDescent="0.2">
      <c r="E2599" s="69"/>
      <c r="FT2599" s="45"/>
    </row>
    <row r="2600" spans="5:176" x14ac:dyDescent="0.2">
      <c r="E2600" s="69"/>
      <c r="FT2600" s="45"/>
    </row>
    <row r="2601" spans="5:176" x14ac:dyDescent="0.2">
      <c r="E2601" s="69"/>
      <c r="FT2601" s="45"/>
    </row>
    <row r="2602" spans="5:176" x14ac:dyDescent="0.2">
      <c r="E2602" s="69"/>
      <c r="FT2602" s="45"/>
    </row>
    <row r="2603" spans="5:176" x14ac:dyDescent="0.2">
      <c r="E2603" s="69"/>
      <c r="FT2603" s="45"/>
    </row>
    <row r="2604" spans="5:176" x14ac:dyDescent="0.2">
      <c r="E2604" s="69"/>
      <c r="FT2604" s="45"/>
    </row>
    <row r="2605" spans="5:176" x14ac:dyDescent="0.2">
      <c r="E2605" s="69"/>
      <c r="FT2605" s="45"/>
    </row>
    <row r="2606" spans="5:176" x14ac:dyDescent="0.2">
      <c r="E2606" s="69"/>
      <c r="FT2606" s="45"/>
    </row>
    <row r="2607" spans="5:176" x14ac:dyDescent="0.2">
      <c r="E2607" s="69"/>
      <c r="FT2607" s="45"/>
    </row>
    <row r="2608" spans="5:176" x14ac:dyDescent="0.2">
      <c r="E2608" s="69"/>
      <c r="FT2608" s="45"/>
    </row>
    <row r="2609" spans="5:176" x14ac:dyDescent="0.2">
      <c r="E2609" s="69"/>
      <c r="FT2609" s="45"/>
    </row>
    <row r="2610" spans="5:176" x14ac:dyDescent="0.2">
      <c r="E2610" s="69"/>
      <c r="FT2610" s="45"/>
    </row>
    <row r="2611" spans="5:176" x14ac:dyDescent="0.2">
      <c r="E2611" s="69"/>
      <c r="FT2611" s="45"/>
    </row>
    <row r="2612" spans="5:176" x14ac:dyDescent="0.2">
      <c r="E2612" s="69"/>
      <c r="FT2612" s="45"/>
    </row>
    <row r="2613" spans="5:176" x14ac:dyDescent="0.2">
      <c r="E2613" s="69"/>
      <c r="FT2613" s="45"/>
    </row>
    <row r="2614" spans="5:176" x14ac:dyDescent="0.2">
      <c r="E2614" s="69"/>
      <c r="FT2614" s="45"/>
    </row>
    <row r="2615" spans="5:176" x14ac:dyDescent="0.2">
      <c r="E2615" s="69"/>
      <c r="FT2615" s="45"/>
    </row>
    <row r="2616" spans="5:176" x14ac:dyDescent="0.2">
      <c r="E2616" s="69"/>
      <c r="FT2616" s="45"/>
    </row>
    <row r="2617" spans="5:176" x14ac:dyDescent="0.2">
      <c r="E2617" s="69"/>
      <c r="FT2617" s="45"/>
    </row>
    <row r="2618" spans="5:176" x14ac:dyDescent="0.2">
      <c r="E2618" s="69"/>
      <c r="FT2618" s="45"/>
    </row>
    <row r="2619" spans="5:176" x14ac:dyDescent="0.2">
      <c r="E2619" s="69"/>
      <c r="FT2619" s="45"/>
    </row>
    <row r="2620" spans="5:176" x14ac:dyDescent="0.2">
      <c r="E2620" s="69"/>
      <c r="FT2620" s="45"/>
    </row>
    <row r="2621" spans="5:176" x14ac:dyDescent="0.2">
      <c r="E2621" s="69"/>
      <c r="FT2621" s="45"/>
    </row>
    <row r="2622" spans="5:176" x14ac:dyDescent="0.2">
      <c r="E2622" s="69"/>
      <c r="FT2622" s="45"/>
    </row>
    <row r="2623" spans="5:176" x14ac:dyDescent="0.2">
      <c r="E2623" s="69"/>
      <c r="FT2623" s="45"/>
    </row>
    <row r="2624" spans="5:176" x14ac:dyDescent="0.2">
      <c r="E2624" s="69"/>
      <c r="FT2624" s="45"/>
    </row>
    <row r="2625" spans="5:176" x14ac:dyDescent="0.2">
      <c r="E2625" s="69"/>
      <c r="FT2625" s="45"/>
    </row>
    <row r="2626" spans="5:176" x14ac:dyDescent="0.2">
      <c r="E2626" s="69"/>
      <c r="FT2626" s="45"/>
    </row>
    <row r="2627" spans="5:176" x14ac:dyDescent="0.2">
      <c r="E2627" s="69"/>
      <c r="FT2627" s="45"/>
    </row>
    <row r="2628" spans="5:176" x14ac:dyDescent="0.2">
      <c r="E2628" s="69"/>
      <c r="FT2628" s="45"/>
    </row>
    <row r="2629" spans="5:176" x14ac:dyDescent="0.2">
      <c r="E2629" s="69"/>
      <c r="FT2629" s="45"/>
    </row>
    <row r="2630" spans="5:176" x14ac:dyDescent="0.2">
      <c r="E2630" s="69"/>
      <c r="FT2630" s="45"/>
    </row>
    <row r="2631" spans="5:176" x14ac:dyDescent="0.2">
      <c r="E2631" s="69"/>
      <c r="FT2631" s="45"/>
    </row>
    <row r="2632" spans="5:176" x14ac:dyDescent="0.2">
      <c r="E2632" s="69"/>
      <c r="FT2632" s="45"/>
    </row>
    <row r="2633" spans="5:176" x14ac:dyDescent="0.2">
      <c r="E2633" s="69"/>
      <c r="FT2633" s="45"/>
    </row>
    <row r="2634" spans="5:176" x14ac:dyDescent="0.2">
      <c r="E2634" s="69"/>
      <c r="FT2634" s="45"/>
    </row>
    <row r="2635" spans="5:176" x14ac:dyDescent="0.2">
      <c r="E2635" s="69"/>
      <c r="FT2635" s="45"/>
    </row>
    <row r="2636" spans="5:176" x14ac:dyDescent="0.2">
      <c r="E2636" s="69"/>
      <c r="FT2636" s="45"/>
    </row>
    <row r="2637" spans="5:176" x14ac:dyDescent="0.2">
      <c r="E2637" s="69"/>
      <c r="FT2637" s="45"/>
    </row>
    <row r="2638" spans="5:176" x14ac:dyDescent="0.2">
      <c r="E2638" s="69"/>
      <c r="FT2638" s="45"/>
    </row>
    <row r="2639" spans="5:176" x14ac:dyDescent="0.2">
      <c r="E2639" s="69"/>
      <c r="FT2639" s="45"/>
    </row>
    <row r="2640" spans="5:176" x14ac:dyDescent="0.2">
      <c r="E2640" s="69"/>
      <c r="FT2640" s="45"/>
    </row>
    <row r="2641" spans="5:176" x14ac:dyDescent="0.2">
      <c r="E2641" s="69"/>
      <c r="FT2641" s="45"/>
    </row>
    <row r="2642" spans="5:176" x14ac:dyDescent="0.2">
      <c r="E2642" s="69"/>
      <c r="FT2642" s="45"/>
    </row>
    <row r="2643" spans="5:176" x14ac:dyDescent="0.2">
      <c r="E2643" s="69"/>
      <c r="FT2643" s="45"/>
    </row>
    <row r="2644" spans="5:176" x14ac:dyDescent="0.2">
      <c r="E2644" s="69"/>
      <c r="FT2644" s="45"/>
    </row>
    <row r="2645" spans="5:176" x14ac:dyDescent="0.2">
      <c r="E2645" s="69"/>
      <c r="FT2645" s="45"/>
    </row>
    <row r="2646" spans="5:176" x14ac:dyDescent="0.2">
      <c r="E2646" s="69"/>
      <c r="FT2646" s="45"/>
    </row>
    <row r="2647" spans="5:176" x14ac:dyDescent="0.2">
      <c r="E2647" s="69"/>
      <c r="FT2647" s="45"/>
    </row>
    <row r="2648" spans="5:176" x14ac:dyDescent="0.2">
      <c r="E2648" s="69"/>
      <c r="FT2648" s="45"/>
    </row>
    <row r="2649" spans="5:176" x14ac:dyDescent="0.2">
      <c r="E2649" s="69"/>
      <c r="FT2649" s="45"/>
    </row>
    <row r="2650" spans="5:176" x14ac:dyDescent="0.2">
      <c r="E2650" s="69"/>
      <c r="FT2650" s="45"/>
    </row>
    <row r="2651" spans="5:176" x14ac:dyDescent="0.2">
      <c r="E2651" s="69"/>
      <c r="FT2651" s="45"/>
    </row>
    <row r="2652" spans="5:176" x14ac:dyDescent="0.2">
      <c r="E2652" s="69"/>
      <c r="FT2652" s="45"/>
    </row>
    <row r="2653" spans="5:176" x14ac:dyDescent="0.2">
      <c r="E2653" s="69"/>
      <c r="FT2653" s="45"/>
    </row>
    <row r="2654" spans="5:176" x14ac:dyDescent="0.2">
      <c r="E2654" s="69"/>
      <c r="FT2654" s="45"/>
    </row>
    <row r="2655" spans="5:176" x14ac:dyDescent="0.2">
      <c r="E2655" s="69"/>
      <c r="FT2655" s="45"/>
    </row>
    <row r="2656" spans="5:176" x14ac:dyDescent="0.2">
      <c r="E2656" s="69"/>
      <c r="FT2656" s="45"/>
    </row>
    <row r="2657" spans="5:176" x14ac:dyDescent="0.2">
      <c r="E2657" s="69"/>
      <c r="FT2657" s="45"/>
    </row>
    <row r="2658" spans="5:176" x14ac:dyDescent="0.2">
      <c r="E2658" s="69"/>
      <c r="FT2658" s="45"/>
    </row>
    <row r="2659" spans="5:176" x14ac:dyDescent="0.2">
      <c r="E2659" s="69"/>
      <c r="FT2659" s="45"/>
    </row>
    <row r="2660" spans="5:176" x14ac:dyDescent="0.2">
      <c r="E2660" s="69"/>
      <c r="FT2660" s="45"/>
    </row>
    <row r="2661" spans="5:176" x14ac:dyDescent="0.2">
      <c r="E2661" s="69"/>
      <c r="FT2661" s="45"/>
    </row>
    <row r="2662" spans="5:176" x14ac:dyDescent="0.2">
      <c r="E2662" s="69"/>
      <c r="FT2662" s="45"/>
    </row>
    <row r="2663" spans="5:176" x14ac:dyDescent="0.2">
      <c r="E2663" s="69"/>
      <c r="FT2663" s="45"/>
    </row>
    <row r="2664" spans="5:176" x14ac:dyDescent="0.2">
      <c r="E2664" s="69"/>
      <c r="FT2664" s="45"/>
    </row>
    <row r="2665" spans="5:176" x14ac:dyDescent="0.2">
      <c r="E2665" s="69"/>
      <c r="FT2665" s="45"/>
    </row>
    <row r="2666" spans="5:176" x14ac:dyDescent="0.2">
      <c r="E2666" s="69"/>
      <c r="FT2666" s="45"/>
    </row>
    <row r="2667" spans="5:176" x14ac:dyDescent="0.2">
      <c r="E2667" s="69"/>
      <c r="FT2667" s="45"/>
    </row>
    <row r="2668" spans="5:176" x14ac:dyDescent="0.2">
      <c r="E2668" s="69"/>
      <c r="FT2668" s="45"/>
    </row>
    <row r="2669" spans="5:176" x14ac:dyDescent="0.2">
      <c r="E2669" s="69"/>
      <c r="FT2669" s="45"/>
    </row>
    <row r="2670" spans="5:176" x14ac:dyDescent="0.2">
      <c r="E2670" s="69"/>
      <c r="FT2670" s="45"/>
    </row>
    <row r="2671" spans="5:176" x14ac:dyDescent="0.2">
      <c r="E2671" s="69"/>
      <c r="FT2671" s="45"/>
    </row>
    <row r="2672" spans="5:176" x14ac:dyDescent="0.2">
      <c r="E2672" s="69"/>
      <c r="FT2672" s="45"/>
    </row>
    <row r="2673" spans="5:176" x14ac:dyDescent="0.2">
      <c r="E2673" s="69"/>
      <c r="FT2673" s="45"/>
    </row>
    <row r="2674" spans="5:176" x14ac:dyDescent="0.2">
      <c r="E2674" s="69"/>
      <c r="FT2674" s="45"/>
    </row>
    <row r="2675" spans="5:176" x14ac:dyDescent="0.2">
      <c r="E2675" s="69"/>
      <c r="FT2675" s="45"/>
    </row>
    <row r="2676" spans="5:176" x14ac:dyDescent="0.2">
      <c r="E2676" s="69"/>
      <c r="FT2676" s="45"/>
    </row>
    <row r="2677" spans="5:176" x14ac:dyDescent="0.2">
      <c r="E2677" s="69"/>
      <c r="FT2677" s="45"/>
    </row>
    <row r="2678" spans="5:176" x14ac:dyDescent="0.2">
      <c r="E2678" s="69"/>
      <c r="FT2678" s="45"/>
    </row>
    <row r="2679" spans="5:176" x14ac:dyDescent="0.2">
      <c r="E2679" s="69"/>
      <c r="FT2679" s="45"/>
    </row>
    <row r="2680" spans="5:176" x14ac:dyDescent="0.2">
      <c r="E2680" s="69"/>
      <c r="FT2680" s="45"/>
    </row>
    <row r="2681" spans="5:176" x14ac:dyDescent="0.2">
      <c r="E2681" s="69"/>
      <c r="FT2681" s="45"/>
    </row>
    <row r="2682" spans="5:176" x14ac:dyDescent="0.2">
      <c r="E2682" s="69"/>
      <c r="FT2682" s="45"/>
    </row>
    <row r="2683" spans="5:176" x14ac:dyDescent="0.2">
      <c r="E2683" s="69"/>
      <c r="FT2683" s="45"/>
    </row>
    <row r="2684" spans="5:176" x14ac:dyDescent="0.2">
      <c r="E2684" s="69"/>
      <c r="FT2684" s="45"/>
    </row>
    <row r="2685" spans="5:176" x14ac:dyDescent="0.2">
      <c r="E2685" s="69"/>
      <c r="FT2685" s="45"/>
    </row>
    <row r="2686" spans="5:176" x14ac:dyDescent="0.2">
      <c r="E2686" s="69"/>
      <c r="FT2686" s="45"/>
    </row>
    <row r="2687" spans="5:176" x14ac:dyDescent="0.2">
      <c r="E2687" s="69"/>
      <c r="FT2687" s="45"/>
    </row>
    <row r="2688" spans="5:176" x14ac:dyDescent="0.2">
      <c r="E2688" s="69"/>
      <c r="FT2688" s="45"/>
    </row>
    <row r="2689" spans="5:176" x14ac:dyDescent="0.2">
      <c r="E2689" s="69"/>
      <c r="FT2689" s="45"/>
    </row>
    <row r="2690" spans="5:176" x14ac:dyDescent="0.2">
      <c r="E2690" s="69"/>
      <c r="FT2690" s="45"/>
    </row>
    <row r="2691" spans="5:176" x14ac:dyDescent="0.2">
      <c r="E2691" s="69"/>
      <c r="FT2691" s="45"/>
    </row>
    <row r="2692" spans="5:176" x14ac:dyDescent="0.2">
      <c r="E2692" s="69"/>
      <c r="FT2692" s="45"/>
    </row>
    <row r="2693" spans="5:176" x14ac:dyDescent="0.2">
      <c r="E2693" s="69"/>
      <c r="FT2693" s="45"/>
    </row>
    <row r="2694" spans="5:176" x14ac:dyDescent="0.2">
      <c r="E2694" s="69"/>
      <c r="FT2694" s="45"/>
    </row>
    <row r="2695" spans="5:176" x14ac:dyDescent="0.2">
      <c r="E2695" s="69"/>
      <c r="FT2695" s="45"/>
    </row>
    <row r="2696" spans="5:176" x14ac:dyDescent="0.2">
      <c r="E2696" s="69"/>
      <c r="FT2696" s="45"/>
    </row>
    <row r="2697" spans="5:176" x14ac:dyDescent="0.2">
      <c r="E2697" s="69"/>
      <c r="FT2697" s="45"/>
    </row>
    <row r="2698" spans="5:176" x14ac:dyDescent="0.2">
      <c r="E2698" s="69"/>
      <c r="FT2698" s="45"/>
    </row>
    <row r="2699" spans="5:176" x14ac:dyDescent="0.2">
      <c r="E2699" s="69"/>
      <c r="FT2699" s="45"/>
    </row>
    <row r="2700" spans="5:176" x14ac:dyDescent="0.2">
      <c r="E2700" s="69"/>
      <c r="FT2700" s="45"/>
    </row>
    <row r="2701" spans="5:176" x14ac:dyDescent="0.2">
      <c r="E2701" s="69"/>
      <c r="FT2701" s="45"/>
    </row>
    <row r="2702" spans="5:176" x14ac:dyDescent="0.2">
      <c r="E2702" s="69"/>
      <c r="FT2702" s="45"/>
    </row>
    <row r="2703" spans="5:176" x14ac:dyDescent="0.2">
      <c r="E2703" s="69"/>
      <c r="FT2703" s="45"/>
    </row>
    <row r="2704" spans="5:176" x14ac:dyDescent="0.2">
      <c r="E2704" s="69"/>
      <c r="FT2704" s="45"/>
    </row>
    <row r="2705" spans="5:176" x14ac:dyDescent="0.2">
      <c r="E2705" s="69"/>
      <c r="FT2705" s="45"/>
    </row>
    <row r="2706" spans="5:176" x14ac:dyDescent="0.2">
      <c r="E2706" s="69"/>
      <c r="FT2706" s="45"/>
    </row>
    <row r="2707" spans="5:176" x14ac:dyDescent="0.2">
      <c r="E2707" s="69"/>
      <c r="FT2707" s="45"/>
    </row>
    <row r="2708" spans="5:176" x14ac:dyDescent="0.2">
      <c r="E2708" s="69"/>
      <c r="FT2708" s="45"/>
    </row>
    <row r="2709" spans="5:176" x14ac:dyDescent="0.2">
      <c r="E2709" s="69"/>
      <c r="FT2709" s="45"/>
    </row>
    <row r="2710" spans="5:176" x14ac:dyDescent="0.2">
      <c r="E2710" s="69"/>
      <c r="FT2710" s="45"/>
    </row>
    <row r="2711" spans="5:176" x14ac:dyDescent="0.2">
      <c r="E2711" s="69"/>
      <c r="FT2711" s="45"/>
    </row>
    <row r="2712" spans="5:176" x14ac:dyDescent="0.2">
      <c r="E2712" s="69"/>
      <c r="FT2712" s="45"/>
    </row>
    <row r="2713" spans="5:176" x14ac:dyDescent="0.2">
      <c r="E2713" s="69"/>
      <c r="FT2713" s="45"/>
    </row>
    <row r="2714" spans="5:176" x14ac:dyDescent="0.2">
      <c r="E2714" s="69"/>
      <c r="FT2714" s="45"/>
    </row>
    <row r="2715" spans="5:176" x14ac:dyDescent="0.2">
      <c r="E2715" s="69"/>
      <c r="FT2715" s="45"/>
    </row>
    <row r="2716" spans="5:176" x14ac:dyDescent="0.2">
      <c r="E2716" s="69"/>
      <c r="FT2716" s="45"/>
    </row>
    <row r="2717" spans="5:176" x14ac:dyDescent="0.2">
      <c r="E2717" s="69"/>
      <c r="FT2717" s="45"/>
    </row>
    <row r="2718" spans="5:176" x14ac:dyDescent="0.2">
      <c r="E2718" s="69"/>
      <c r="FT2718" s="45"/>
    </row>
    <row r="2719" spans="5:176" x14ac:dyDescent="0.2">
      <c r="E2719" s="69"/>
      <c r="FT2719" s="45"/>
    </row>
    <row r="2720" spans="5:176" x14ac:dyDescent="0.2">
      <c r="E2720" s="69"/>
      <c r="FT2720" s="45"/>
    </row>
    <row r="2721" spans="5:176" x14ac:dyDescent="0.2">
      <c r="E2721" s="69"/>
      <c r="FT2721" s="45"/>
    </row>
    <row r="2722" spans="5:176" x14ac:dyDescent="0.2">
      <c r="E2722" s="69"/>
      <c r="FT2722" s="45"/>
    </row>
    <row r="2723" spans="5:176" x14ac:dyDescent="0.2">
      <c r="E2723" s="69"/>
      <c r="FT2723" s="45"/>
    </row>
    <row r="2724" spans="5:176" x14ac:dyDescent="0.2">
      <c r="E2724" s="69"/>
      <c r="FT2724" s="45"/>
    </row>
    <row r="2725" spans="5:176" x14ac:dyDescent="0.2">
      <c r="E2725" s="69"/>
      <c r="FT2725" s="45"/>
    </row>
    <row r="2726" spans="5:176" x14ac:dyDescent="0.2">
      <c r="E2726" s="69"/>
      <c r="FT2726" s="45"/>
    </row>
    <row r="2727" spans="5:176" x14ac:dyDescent="0.2">
      <c r="E2727" s="69"/>
      <c r="FT2727" s="45"/>
    </row>
    <row r="2728" spans="5:176" x14ac:dyDescent="0.2">
      <c r="E2728" s="69"/>
      <c r="FT2728" s="45"/>
    </row>
    <row r="2729" spans="5:176" x14ac:dyDescent="0.2">
      <c r="E2729" s="69"/>
      <c r="FT2729" s="45"/>
    </row>
    <row r="2730" spans="5:176" x14ac:dyDescent="0.2">
      <c r="E2730" s="69"/>
      <c r="FT2730" s="45"/>
    </row>
    <row r="2731" spans="5:176" x14ac:dyDescent="0.2">
      <c r="E2731" s="69"/>
      <c r="FT2731" s="45"/>
    </row>
    <row r="2732" spans="5:176" x14ac:dyDescent="0.2">
      <c r="E2732" s="69"/>
      <c r="FT2732" s="45"/>
    </row>
    <row r="2733" spans="5:176" x14ac:dyDescent="0.2">
      <c r="E2733" s="69"/>
      <c r="FT2733" s="45"/>
    </row>
    <row r="2734" spans="5:176" x14ac:dyDescent="0.2">
      <c r="E2734" s="69"/>
      <c r="FT2734" s="45"/>
    </row>
    <row r="2735" spans="5:176" x14ac:dyDescent="0.2">
      <c r="E2735" s="69"/>
      <c r="FT2735" s="45"/>
    </row>
    <row r="2736" spans="5:176" x14ac:dyDescent="0.2">
      <c r="E2736" s="69"/>
      <c r="FT2736" s="45"/>
    </row>
    <row r="2737" spans="5:176" x14ac:dyDescent="0.2">
      <c r="E2737" s="69"/>
      <c r="FT2737" s="45"/>
    </row>
    <row r="2738" spans="5:176" x14ac:dyDescent="0.2">
      <c r="E2738" s="69"/>
      <c r="FT2738" s="45"/>
    </row>
    <row r="2739" spans="5:176" x14ac:dyDescent="0.2">
      <c r="E2739" s="69"/>
      <c r="FT2739" s="45"/>
    </row>
    <row r="2740" spans="5:176" x14ac:dyDescent="0.2">
      <c r="E2740" s="69"/>
      <c r="FT2740" s="45"/>
    </row>
    <row r="2741" spans="5:176" x14ac:dyDescent="0.2">
      <c r="E2741" s="69"/>
      <c r="FT2741" s="45"/>
    </row>
    <row r="2742" spans="5:176" x14ac:dyDescent="0.2">
      <c r="E2742" s="69"/>
      <c r="FT2742" s="45"/>
    </row>
    <row r="2743" spans="5:176" x14ac:dyDescent="0.2">
      <c r="E2743" s="69"/>
      <c r="FT2743" s="45"/>
    </row>
    <row r="2744" spans="5:176" x14ac:dyDescent="0.2">
      <c r="E2744" s="69"/>
      <c r="FT2744" s="45"/>
    </row>
    <row r="2745" spans="5:176" x14ac:dyDescent="0.2">
      <c r="E2745" s="69"/>
      <c r="FT2745" s="45"/>
    </row>
    <row r="2746" spans="5:176" x14ac:dyDescent="0.2">
      <c r="E2746" s="69"/>
      <c r="FT2746" s="45"/>
    </row>
    <row r="2747" spans="5:176" x14ac:dyDescent="0.2">
      <c r="E2747" s="69"/>
      <c r="FT2747" s="45"/>
    </row>
    <row r="2748" spans="5:176" x14ac:dyDescent="0.2">
      <c r="E2748" s="69"/>
      <c r="FT2748" s="45"/>
    </row>
    <row r="2749" spans="5:176" x14ac:dyDescent="0.2">
      <c r="E2749" s="69"/>
      <c r="FT2749" s="45"/>
    </row>
    <row r="2750" spans="5:176" x14ac:dyDescent="0.2">
      <c r="E2750" s="69"/>
      <c r="FT2750" s="45"/>
    </row>
    <row r="2751" spans="5:176" x14ac:dyDescent="0.2">
      <c r="E2751" s="69"/>
      <c r="FT2751" s="45"/>
    </row>
    <row r="2752" spans="5:176" x14ac:dyDescent="0.2">
      <c r="E2752" s="69"/>
      <c r="FT2752" s="45"/>
    </row>
    <row r="2753" spans="5:176" x14ac:dyDescent="0.2">
      <c r="E2753" s="69"/>
      <c r="FT2753" s="45"/>
    </row>
    <row r="2754" spans="5:176" x14ac:dyDescent="0.2">
      <c r="E2754" s="69"/>
      <c r="FT2754" s="45"/>
    </row>
    <row r="2755" spans="5:176" x14ac:dyDescent="0.2">
      <c r="E2755" s="69"/>
      <c r="FT2755" s="45"/>
    </row>
    <row r="2756" spans="5:176" x14ac:dyDescent="0.2">
      <c r="E2756" s="69"/>
      <c r="FT2756" s="45"/>
    </row>
    <row r="2757" spans="5:176" x14ac:dyDescent="0.2">
      <c r="E2757" s="69"/>
      <c r="FT2757" s="45"/>
    </row>
    <row r="2758" spans="5:176" x14ac:dyDescent="0.2">
      <c r="E2758" s="69"/>
      <c r="FT2758" s="45"/>
    </row>
    <row r="2759" spans="5:176" x14ac:dyDescent="0.2">
      <c r="E2759" s="69"/>
      <c r="FT2759" s="45"/>
    </row>
    <row r="2760" spans="5:176" x14ac:dyDescent="0.2">
      <c r="E2760" s="69"/>
      <c r="FT2760" s="45"/>
    </row>
    <row r="2761" spans="5:176" x14ac:dyDescent="0.2">
      <c r="E2761" s="69"/>
      <c r="FT2761" s="45"/>
    </row>
    <row r="2762" spans="5:176" x14ac:dyDescent="0.2">
      <c r="E2762" s="69"/>
      <c r="FT2762" s="45"/>
    </row>
    <row r="2763" spans="5:176" x14ac:dyDescent="0.2">
      <c r="E2763" s="69"/>
      <c r="FT2763" s="45"/>
    </row>
    <row r="2764" spans="5:176" x14ac:dyDescent="0.2">
      <c r="E2764" s="69"/>
      <c r="FT2764" s="45"/>
    </row>
    <row r="2765" spans="5:176" x14ac:dyDescent="0.2">
      <c r="E2765" s="69"/>
      <c r="FT2765" s="45"/>
    </row>
    <row r="2766" spans="5:176" x14ac:dyDescent="0.2">
      <c r="E2766" s="69"/>
      <c r="FT2766" s="45"/>
    </row>
    <row r="2767" spans="5:176" x14ac:dyDescent="0.2">
      <c r="E2767" s="69"/>
      <c r="FT2767" s="45"/>
    </row>
    <row r="2768" spans="5:176" x14ac:dyDescent="0.2">
      <c r="E2768" s="69"/>
      <c r="FT2768" s="45"/>
    </row>
    <row r="2769" spans="5:176" x14ac:dyDescent="0.2">
      <c r="E2769" s="69"/>
      <c r="FT2769" s="45"/>
    </row>
    <row r="2770" spans="5:176" x14ac:dyDescent="0.2">
      <c r="E2770" s="69"/>
      <c r="FT2770" s="45"/>
    </row>
    <row r="2771" spans="5:176" x14ac:dyDescent="0.2">
      <c r="E2771" s="69"/>
      <c r="FT2771" s="45"/>
    </row>
    <row r="2772" spans="5:176" x14ac:dyDescent="0.2">
      <c r="E2772" s="69"/>
      <c r="FT2772" s="45"/>
    </row>
    <row r="2773" spans="5:176" x14ac:dyDescent="0.2">
      <c r="E2773" s="69"/>
      <c r="FT2773" s="45"/>
    </row>
    <row r="2774" spans="5:176" x14ac:dyDescent="0.2">
      <c r="E2774" s="69"/>
      <c r="FT2774" s="45"/>
    </row>
    <row r="2775" spans="5:176" x14ac:dyDescent="0.2">
      <c r="E2775" s="69"/>
      <c r="FT2775" s="45"/>
    </row>
    <row r="2776" spans="5:176" x14ac:dyDescent="0.2">
      <c r="E2776" s="69"/>
      <c r="FT2776" s="45"/>
    </row>
    <row r="2777" spans="5:176" x14ac:dyDescent="0.2">
      <c r="E2777" s="69"/>
      <c r="FT2777" s="45"/>
    </row>
    <row r="2778" spans="5:176" x14ac:dyDescent="0.2">
      <c r="E2778" s="69"/>
      <c r="FT2778" s="45"/>
    </row>
    <row r="2779" spans="5:176" x14ac:dyDescent="0.2">
      <c r="E2779" s="69"/>
      <c r="FT2779" s="45"/>
    </row>
    <row r="2780" spans="5:176" x14ac:dyDescent="0.2">
      <c r="E2780" s="69"/>
      <c r="FT2780" s="45"/>
    </row>
    <row r="2781" spans="5:176" x14ac:dyDescent="0.2">
      <c r="E2781" s="69"/>
      <c r="FT2781" s="45"/>
    </row>
    <row r="2782" spans="5:176" x14ac:dyDescent="0.2">
      <c r="E2782" s="69"/>
      <c r="FT2782" s="45"/>
    </row>
    <row r="2783" spans="5:176" x14ac:dyDescent="0.2">
      <c r="E2783" s="69"/>
      <c r="FT2783" s="45"/>
    </row>
    <row r="2784" spans="5:176" x14ac:dyDescent="0.2">
      <c r="E2784" s="69"/>
      <c r="FT2784" s="45"/>
    </row>
    <row r="2785" spans="5:176" x14ac:dyDescent="0.2">
      <c r="E2785" s="69"/>
      <c r="FT2785" s="45"/>
    </row>
    <row r="2786" spans="5:176" x14ac:dyDescent="0.2">
      <c r="E2786" s="69"/>
      <c r="FT2786" s="45"/>
    </row>
    <row r="2787" spans="5:176" x14ac:dyDescent="0.2">
      <c r="E2787" s="69"/>
      <c r="FT2787" s="45"/>
    </row>
    <row r="2788" spans="5:176" x14ac:dyDescent="0.2">
      <c r="E2788" s="69"/>
      <c r="FT2788" s="45"/>
    </row>
    <row r="2789" spans="5:176" x14ac:dyDescent="0.2">
      <c r="E2789" s="69"/>
      <c r="FT2789" s="45"/>
    </row>
    <row r="2790" spans="5:176" x14ac:dyDescent="0.2">
      <c r="E2790" s="69"/>
      <c r="FT2790" s="45"/>
    </row>
    <row r="2791" spans="5:176" x14ac:dyDescent="0.2">
      <c r="E2791" s="69"/>
      <c r="FT2791" s="45"/>
    </row>
    <row r="2792" spans="5:176" x14ac:dyDescent="0.2">
      <c r="E2792" s="69"/>
      <c r="FT2792" s="45"/>
    </row>
    <row r="2793" spans="5:176" x14ac:dyDescent="0.2">
      <c r="E2793" s="69"/>
      <c r="FT2793" s="45"/>
    </row>
    <row r="2794" spans="5:176" x14ac:dyDescent="0.2">
      <c r="E2794" s="69"/>
      <c r="FT2794" s="45"/>
    </row>
    <row r="2795" spans="5:176" x14ac:dyDescent="0.2">
      <c r="E2795" s="69"/>
      <c r="FT2795" s="45"/>
    </row>
    <row r="2796" spans="5:176" x14ac:dyDescent="0.2">
      <c r="E2796" s="69"/>
      <c r="FT2796" s="45"/>
    </row>
    <row r="2797" spans="5:176" x14ac:dyDescent="0.2">
      <c r="E2797" s="69"/>
      <c r="FT2797" s="45"/>
    </row>
    <row r="2798" spans="5:176" x14ac:dyDescent="0.2">
      <c r="E2798" s="69"/>
      <c r="FT2798" s="45"/>
    </row>
    <row r="2799" spans="5:176" x14ac:dyDescent="0.2">
      <c r="E2799" s="69"/>
      <c r="FT2799" s="45"/>
    </row>
    <row r="2800" spans="5:176" x14ac:dyDescent="0.2">
      <c r="E2800" s="69"/>
      <c r="FT2800" s="45"/>
    </row>
    <row r="2801" spans="5:176" x14ac:dyDescent="0.2">
      <c r="E2801" s="69"/>
      <c r="FT2801" s="45"/>
    </row>
    <row r="2802" spans="5:176" x14ac:dyDescent="0.2">
      <c r="E2802" s="69"/>
      <c r="FT2802" s="45"/>
    </row>
    <row r="2803" spans="5:176" x14ac:dyDescent="0.2">
      <c r="E2803" s="69"/>
      <c r="FT2803" s="45"/>
    </row>
    <row r="2804" spans="5:176" x14ac:dyDescent="0.2">
      <c r="E2804" s="69"/>
      <c r="FT2804" s="45"/>
    </row>
    <row r="2805" spans="5:176" x14ac:dyDescent="0.2">
      <c r="E2805" s="69"/>
      <c r="FT2805" s="45"/>
    </row>
    <row r="2806" spans="5:176" x14ac:dyDescent="0.2">
      <c r="E2806" s="69"/>
      <c r="FT2806" s="45"/>
    </row>
    <row r="2807" spans="5:176" x14ac:dyDescent="0.2">
      <c r="E2807" s="69"/>
      <c r="FT2807" s="45"/>
    </row>
    <row r="2808" spans="5:176" x14ac:dyDescent="0.2">
      <c r="E2808" s="69"/>
      <c r="FT2808" s="45"/>
    </row>
    <row r="2809" spans="5:176" x14ac:dyDescent="0.2">
      <c r="E2809" s="69"/>
      <c r="FT2809" s="45"/>
    </row>
    <row r="2810" spans="5:176" x14ac:dyDescent="0.2">
      <c r="E2810" s="69"/>
      <c r="FT2810" s="45"/>
    </row>
    <row r="2811" spans="5:176" x14ac:dyDescent="0.2">
      <c r="E2811" s="69"/>
      <c r="FT2811" s="45"/>
    </row>
    <row r="2812" spans="5:176" x14ac:dyDescent="0.2">
      <c r="E2812" s="69"/>
      <c r="FT2812" s="45"/>
    </row>
    <row r="2813" spans="5:176" x14ac:dyDescent="0.2">
      <c r="E2813" s="69"/>
      <c r="FT2813" s="45"/>
    </row>
    <row r="2814" spans="5:176" x14ac:dyDescent="0.2">
      <c r="E2814" s="69"/>
      <c r="FT2814" s="45"/>
    </row>
    <row r="2815" spans="5:176" x14ac:dyDescent="0.2">
      <c r="E2815" s="69"/>
      <c r="FT2815" s="45"/>
    </row>
    <row r="2816" spans="5:176" x14ac:dyDescent="0.2">
      <c r="E2816" s="69"/>
      <c r="FT2816" s="45"/>
    </row>
    <row r="2817" spans="5:176" x14ac:dyDescent="0.2">
      <c r="E2817" s="69"/>
      <c r="FT2817" s="45"/>
    </row>
    <row r="2818" spans="5:176" x14ac:dyDescent="0.2">
      <c r="E2818" s="69"/>
      <c r="FT2818" s="45"/>
    </row>
    <row r="2819" spans="5:176" x14ac:dyDescent="0.2">
      <c r="E2819" s="69"/>
      <c r="FT2819" s="45"/>
    </row>
    <row r="2820" spans="5:176" x14ac:dyDescent="0.2">
      <c r="E2820" s="69"/>
      <c r="FT2820" s="45"/>
    </row>
    <row r="2821" spans="5:176" x14ac:dyDescent="0.2">
      <c r="E2821" s="69"/>
      <c r="FT2821" s="45"/>
    </row>
    <row r="2822" spans="5:176" x14ac:dyDescent="0.2">
      <c r="E2822" s="69"/>
      <c r="FT2822" s="45"/>
    </row>
    <row r="2823" spans="5:176" x14ac:dyDescent="0.2">
      <c r="E2823" s="69"/>
      <c r="FT2823" s="45"/>
    </row>
    <row r="2824" spans="5:176" x14ac:dyDescent="0.2">
      <c r="E2824" s="69"/>
      <c r="FT2824" s="45"/>
    </row>
    <row r="2825" spans="5:176" x14ac:dyDescent="0.2">
      <c r="E2825" s="69"/>
      <c r="FT2825" s="45"/>
    </row>
    <row r="2826" spans="5:176" x14ac:dyDescent="0.2">
      <c r="E2826" s="69"/>
      <c r="FT2826" s="45"/>
    </row>
    <row r="2827" spans="5:176" x14ac:dyDescent="0.2">
      <c r="E2827" s="69"/>
      <c r="FT2827" s="45"/>
    </row>
    <row r="2828" spans="5:176" x14ac:dyDescent="0.2">
      <c r="E2828" s="69"/>
      <c r="FT2828" s="45"/>
    </row>
    <row r="2829" spans="5:176" x14ac:dyDescent="0.2">
      <c r="E2829" s="69"/>
      <c r="FT2829" s="45"/>
    </row>
    <row r="2830" spans="5:176" x14ac:dyDescent="0.2">
      <c r="E2830" s="69"/>
      <c r="FT2830" s="45"/>
    </row>
    <row r="2831" spans="5:176" x14ac:dyDescent="0.2">
      <c r="E2831" s="69"/>
      <c r="FT2831" s="45"/>
    </row>
    <row r="2832" spans="5:176" x14ac:dyDescent="0.2">
      <c r="E2832" s="69"/>
      <c r="FT2832" s="45"/>
    </row>
    <row r="2833" spans="5:176" x14ac:dyDescent="0.2">
      <c r="E2833" s="69"/>
      <c r="FT2833" s="45"/>
    </row>
    <row r="2834" spans="5:176" x14ac:dyDescent="0.2">
      <c r="E2834" s="69"/>
      <c r="FT2834" s="45"/>
    </row>
    <row r="2835" spans="5:176" x14ac:dyDescent="0.2">
      <c r="E2835" s="69"/>
      <c r="FT2835" s="45"/>
    </row>
    <row r="2836" spans="5:176" x14ac:dyDescent="0.2">
      <c r="E2836" s="69"/>
      <c r="FT2836" s="45"/>
    </row>
    <row r="2837" spans="5:176" x14ac:dyDescent="0.2">
      <c r="E2837" s="69"/>
      <c r="FT2837" s="45"/>
    </row>
    <row r="2838" spans="5:176" x14ac:dyDescent="0.2">
      <c r="E2838" s="69"/>
      <c r="FT2838" s="45"/>
    </row>
    <row r="2839" spans="5:176" x14ac:dyDescent="0.2">
      <c r="E2839" s="69"/>
      <c r="FT2839" s="45"/>
    </row>
    <row r="2840" spans="5:176" x14ac:dyDescent="0.2">
      <c r="E2840" s="69"/>
      <c r="FT2840" s="45"/>
    </row>
    <row r="2841" spans="5:176" x14ac:dyDescent="0.2">
      <c r="E2841" s="69"/>
      <c r="FT2841" s="45"/>
    </row>
    <row r="2842" spans="5:176" x14ac:dyDescent="0.2">
      <c r="E2842" s="69"/>
      <c r="FT2842" s="45"/>
    </row>
    <row r="2843" spans="5:176" x14ac:dyDescent="0.2">
      <c r="E2843" s="69"/>
      <c r="FT2843" s="45"/>
    </row>
    <row r="2844" spans="5:176" x14ac:dyDescent="0.2">
      <c r="E2844" s="69"/>
      <c r="FT2844" s="45"/>
    </row>
    <row r="2845" spans="5:176" x14ac:dyDescent="0.2">
      <c r="E2845" s="69"/>
      <c r="FT2845" s="45"/>
    </row>
    <row r="2846" spans="5:176" x14ac:dyDescent="0.2">
      <c r="E2846" s="69"/>
      <c r="FT2846" s="45"/>
    </row>
    <row r="2847" spans="5:176" x14ac:dyDescent="0.2">
      <c r="E2847" s="69"/>
      <c r="FT2847" s="45"/>
    </row>
    <row r="2848" spans="5:176" x14ac:dyDescent="0.2">
      <c r="E2848" s="69"/>
      <c r="FT2848" s="45"/>
    </row>
    <row r="2849" spans="5:176" x14ac:dyDescent="0.2">
      <c r="E2849" s="69"/>
      <c r="FT2849" s="45"/>
    </row>
    <row r="2850" spans="5:176" x14ac:dyDescent="0.2">
      <c r="E2850" s="69"/>
      <c r="FT2850" s="45"/>
    </row>
    <row r="2851" spans="5:176" x14ac:dyDescent="0.2">
      <c r="E2851" s="69"/>
      <c r="FT2851" s="45"/>
    </row>
    <row r="2852" spans="5:176" x14ac:dyDescent="0.2">
      <c r="E2852" s="69"/>
      <c r="FT2852" s="45"/>
    </row>
    <row r="2853" spans="5:176" x14ac:dyDescent="0.2">
      <c r="E2853" s="69"/>
      <c r="FT2853" s="45"/>
    </row>
    <row r="2854" spans="5:176" x14ac:dyDescent="0.2">
      <c r="E2854" s="69"/>
      <c r="FT2854" s="45"/>
    </row>
    <row r="2855" spans="5:176" x14ac:dyDescent="0.2">
      <c r="E2855" s="69"/>
      <c r="FT2855" s="45"/>
    </row>
    <row r="2856" spans="5:176" x14ac:dyDescent="0.2">
      <c r="E2856" s="69"/>
      <c r="FT2856" s="45"/>
    </row>
    <row r="2857" spans="5:176" x14ac:dyDescent="0.2">
      <c r="E2857" s="69"/>
      <c r="FT2857" s="45"/>
    </row>
    <row r="2858" spans="5:176" x14ac:dyDescent="0.2">
      <c r="E2858" s="69"/>
      <c r="FT2858" s="45"/>
    </row>
    <row r="2859" spans="5:176" x14ac:dyDescent="0.2">
      <c r="E2859" s="69"/>
      <c r="FT2859" s="45"/>
    </row>
    <row r="2860" spans="5:176" x14ac:dyDescent="0.2">
      <c r="E2860" s="69"/>
      <c r="FT2860" s="45"/>
    </row>
    <row r="2861" spans="5:176" x14ac:dyDescent="0.2">
      <c r="E2861" s="69"/>
      <c r="FT2861" s="45"/>
    </row>
    <row r="2862" spans="5:176" x14ac:dyDescent="0.2">
      <c r="E2862" s="69"/>
      <c r="FT2862" s="45"/>
    </row>
    <row r="2863" spans="5:176" x14ac:dyDescent="0.2">
      <c r="E2863" s="69"/>
      <c r="FT2863" s="45"/>
    </row>
    <row r="2864" spans="5:176" x14ac:dyDescent="0.2">
      <c r="E2864" s="69"/>
      <c r="FT2864" s="45"/>
    </row>
    <row r="2865" spans="5:176" x14ac:dyDescent="0.2">
      <c r="E2865" s="69"/>
      <c r="FT2865" s="45"/>
    </row>
    <row r="2866" spans="5:176" x14ac:dyDescent="0.2">
      <c r="E2866" s="69"/>
      <c r="FT2866" s="45"/>
    </row>
    <row r="2867" spans="5:176" x14ac:dyDescent="0.2">
      <c r="E2867" s="69"/>
      <c r="FT2867" s="45"/>
    </row>
    <row r="2868" spans="5:176" x14ac:dyDescent="0.2">
      <c r="E2868" s="69"/>
      <c r="FT2868" s="45"/>
    </row>
    <row r="2869" spans="5:176" x14ac:dyDescent="0.2">
      <c r="E2869" s="69"/>
      <c r="FT2869" s="45"/>
    </row>
    <row r="2870" spans="5:176" x14ac:dyDescent="0.2">
      <c r="E2870" s="69"/>
      <c r="FT2870" s="45"/>
    </row>
    <row r="2871" spans="5:176" x14ac:dyDescent="0.2">
      <c r="E2871" s="69"/>
      <c r="FT2871" s="45"/>
    </row>
    <row r="2872" spans="5:176" x14ac:dyDescent="0.2">
      <c r="E2872" s="69"/>
      <c r="FT2872" s="45"/>
    </row>
    <row r="2873" spans="5:176" x14ac:dyDescent="0.2">
      <c r="E2873" s="69"/>
      <c r="FT2873" s="45"/>
    </row>
    <row r="2874" spans="5:176" x14ac:dyDescent="0.2">
      <c r="E2874" s="69"/>
      <c r="FT2874" s="45"/>
    </row>
    <row r="2875" spans="5:176" x14ac:dyDescent="0.2">
      <c r="E2875" s="69"/>
      <c r="FT2875" s="45"/>
    </row>
    <row r="2876" spans="5:176" x14ac:dyDescent="0.2">
      <c r="E2876" s="69"/>
      <c r="FT2876" s="45"/>
    </row>
    <row r="2877" spans="5:176" x14ac:dyDescent="0.2">
      <c r="E2877" s="69"/>
      <c r="FT2877" s="45"/>
    </row>
    <row r="2878" spans="5:176" x14ac:dyDescent="0.2">
      <c r="E2878" s="69"/>
      <c r="FT2878" s="45"/>
    </row>
    <row r="2879" spans="5:176" x14ac:dyDescent="0.2">
      <c r="E2879" s="69"/>
      <c r="FT2879" s="45"/>
    </row>
    <row r="2880" spans="5:176" x14ac:dyDescent="0.2">
      <c r="E2880" s="69"/>
      <c r="FT2880" s="45"/>
    </row>
    <row r="2881" spans="5:176" x14ac:dyDescent="0.2">
      <c r="E2881" s="69"/>
      <c r="FT2881" s="45"/>
    </row>
    <row r="2882" spans="5:176" x14ac:dyDescent="0.2">
      <c r="E2882" s="69"/>
      <c r="FT2882" s="45"/>
    </row>
    <row r="2883" spans="5:176" x14ac:dyDescent="0.2">
      <c r="E2883" s="69"/>
      <c r="FT2883" s="45"/>
    </row>
    <row r="2884" spans="5:176" x14ac:dyDescent="0.2">
      <c r="E2884" s="69"/>
      <c r="FT2884" s="45"/>
    </row>
    <row r="2885" spans="5:176" x14ac:dyDescent="0.2">
      <c r="E2885" s="69"/>
      <c r="FT2885" s="45"/>
    </row>
    <row r="2886" spans="5:176" x14ac:dyDescent="0.2">
      <c r="E2886" s="69"/>
      <c r="FT2886" s="45"/>
    </row>
    <row r="2887" spans="5:176" x14ac:dyDescent="0.2">
      <c r="E2887" s="69"/>
      <c r="FT2887" s="45"/>
    </row>
    <row r="2888" spans="5:176" x14ac:dyDescent="0.2">
      <c r="E2888" s="69"/>
      <c r="FT2888" s="45"/>
    </row>
    <row r="2889" spans="5:176" x14ac:dyDescent="0.2">
      <c r="E2889" s="69"/>
      <c r="FT2889" s="45"/>
    </row>
    <row r="2890" spans="5:176" x14ac:dyDescent="0.2">
      <c r="E2890" s="69"/>
      <c r="FT2890" s="45"/>
    </row>
    <row r="2891" spans="5:176" x14ac:dyDescent="0.2">
      <c r="E2891" s="69"/>
      <c r="FT2891" s="45"/>
    </row>
    <row r="2892" spans="5:176" x14ac:dyDescent="0.2">
      <c r="E2892" s="69"/>
      <c r="FT2892" s="45"/>
    </row>
    <row r="2893" spans="5:176" x14ac:dyDescent="0.2">
      <c r="E2893" s="69"/>
      <c r="FT2893" s="45"/>
    </row>
    <row r="2894" spans="5:176" x14ac:dyDescent="0.2">
      <c r="E2894" s="69"/>
      <c r="FT2894" s="45"/>
    </row>
    <row r="2895" spans="5:176" x14ac:dyDescent="0.2">
      <c r="E2895" s="69"/>
      <c r="FT2895" s="45"/>
    </row>
    <row r="2896" spans="5:176" x14ac:dyDescent="0.2">
      <c r="E2896" s="69"/>
      <c r="FT2896" s="45"/>
    </row>
    <row r="2897" spans="5:176" x14ac:dyDescent="0.2">
      <c r="E2897" s="69"/>
      <c r="FT2897" s="45"/>
    </row>
    <row r="2898" spans="5:176" x14ac:dyDescent="0.2">
      <c r="E2898" s="69"/>
      <c r="FT2898" s="45"/>
    </row>
    <row r="2899" spans="5:176" x14ac:dyDescent="0.2">
      <c r="E2899" s="69"/>
      <c r="FT2899" s="45"/>
    </row>
    <row r="2900" spans="5:176" x14ac:dyDescent="0.2">
      <c r="E2900" s="69"/>
      <c r="FT2900" s="45"/>
    </row>
    <row r="2901" spans="5:176" x14ac:dyDescent="0.2">
      <c r="E2901" s="69"/>
      <c r="FT2901" s="45"/>
    </row>
    <row r="2902" spans="5:176" x14ac:dyDescent="0.2">
      <c r="E2902" s="69"/>
      <c r="FT2902" s="45"/>
    </row>
    <row r="2903" spans="5:176" x14ac:dyDescent="0.2">
      <c r="E2903" s="69"/>
      <c r="FT2903" s="45"/>
    </row>
    <row r="2904" spans="5:176" x14ac:dyDescent="0.2">
      <c r="E2904" s="69"/>
      <c r="FT2904" s="45"/>
    </row>
    <row r="2905" spans="5:176" x14ac:dyDescent="0.2">
      <c r="E2905" s="69"/>
      <c r="FT2905" s="45"/>
    </row>
    <row r="2906" spans="5:176" x14ac:dyDescent="0.2">
      <c r="E2906" s="69"/>
      <c r="FT2906" s="45"/>
    </row>
    <row r="2907" spans="5:176" x14ac:dyDescent="0.2">
      <c r="E2907" s="69"/>
      <c r="FT2907" s="45"/>
    </row>
    <row r="2908" spans="5:176" x14ac:dyDescent="0.2">
      <c r="E2908" s="69"/>
      <c r="FT2908" s="45"/>
    </row>
    <row r="2909" spans="5:176" x14ac:dyDescent="0.2">
      <c r="E2909" s="69"/>
      <c r="FT2909" s="45"/>
    </row>
    <row r="2910" spans="5:176" x14ac:dyDescent="0.2">
      <c r="E2910" s="69"/>
      <c r="FT2910" s="45"/>
    </row>
    <row r="2911" spans="5:176" x14ac:dyDescent="0.2">
      <c r="E2911" s="69"/>
      <c r="FT2911" s="45"/>
    </row>
    <row r="2912" spans="5:176" x14ac:dyDescent="0.2">
      <c r="E2912" s="69"/>
      <c r="FT2912" s="45"/>
    </row>
    <row r="2913" spans="5:176" x14ac:dyDescent="0.2">
      <c r="E2913" s="69"/>
      <c r="FT2913" s="45"/>
    </row>
    <row r="2914" spans="5:176" x14ac:dyDescent="0.2">
      <c r="E2914" s="69"/>
      <c r="FT2914" s="45"/>
    </row>
    <row r="2915" spans="5:176" x14ac:dyDescent="0.2">
      <c r="E2915" s="69"/>
      <c r="FT2915" s="45"/>
    </row>
    <row r="2916" spans="5:176" x14ac:dyDescent="0.2">
      <c r="E2916" s="69"/>
      <c r="FT2916" s="45"/>
    </row>
    <row r="2917" spans="5:176" x14ac:dyDescent="0.2">
      <c r="E2917" s="69"/>
      <c r="FT2917" s="45"/>
    </row>
    <row r="2918" spans="5:176" x14ac:dyDescent="0.2">
      <c r="E2918" s="69"/>
      <c r="FT2918" s="45"/>
    </row>
    <row r="2919" spans="5:176" x14ac:dyDescent="0.2">
      <c r="E2919" s="69"/>
      <c r="FT2919" s="45"/>
    </row>
    <row r="2920" spans="5:176" x14ac:dyDescent="0.2">
      <c r="E2920" s="69"/>
      <c r="FT2920" s="45"/>
    </row>
    <row r="2921" spans="5:176" x14ac:dyDescent="0.2">
      <c r="E2921" s="69"/>
      <c r="FT2921" s="45"/>
    </row>
    <row r="2922" spans="5:176" x14ac:dyDescent="0.2">
      <c r="E2922" s="69"/>
      <c r="FT2922" s="45"/>
    </row>
    <row r="2923" spans="5:176" x14ac:dyDescent="0.2">
      <c r="E2923" s="69"/>
      <c r="FT2923" s="45"/>
    </row>
    <row r="2924" spans="5:176" x14ac:dyDescent="0.2">
      <c r="E2924" s="69"/>
      <c r="FT2924" s="45"/>
    </row>
    <row r="2925" spans="5:176" x14ac:dyDescent="0.2">
      <c r="E2925" s="69"/>
      <c r="FT2925" s="45"/>
    </row>
    <row r="2926" spans="5:176" x14ac:dyDescent="0.2">
      <c r="E2926" s="69"/>
      <c r="FT2926" s="45"/>
    </row>
    <row r="2927" spans="5:176" x14ac:dyDescent="0.2">
      <c r="E2927" s="69"/>
      <c r="FT2927" s="45"/>
    </row>
    <row r="2928" spans="5:176" x14ac:dyDescent="0.2">
      <c r="E2928" s="69"/>
      <c r="FT2928" s="45"/>
    </row>
    <row r="2929" spans="5:176" x14ac:dyDescent="0.2">
      <c r="E2929" s="69"/>
      <c r="FT2929" s="45"/>
    </row>
    <row r="2930" spans="5:176" x14ac:dyDescent="0.2">
      <c r="E2930" s="69"/>
      <c r="FT2930" s="45"/>
    </row>
    <row r="2931" spans="5:176" x14ac:dyDescent="0.2">
      <c r="E2931" s="69"/>
      <c r="FT2931" s="45"/>
    </row>
    <row r="2932" spans="5:176" x14ac:dyDescent="0.2">
      <c r="E2932" s="69"/>
      <c r="FT2932" s="45"/>
    </row>
    <row r="2933" spans="5:176" x14ac:dyDescent="0.2">
      <c r="E2933" s="69"/>
      <c r="FT2933" s="45"/>
    </row>
    <row r="2934" spans="5:176" x14ac:dyDescent="0.2">
      <c r="E2934" s="69"/>
      <c r="FT2934" s="45"/>
    </row>
    <row r="2935" spans="5:176" x14ac:dyDescent="0.2">
      <c r="E2935" s="69"/>
      <c r="FT2935" s="45"/>
    </row>
    <row r="2936" spans="5:176" x14ac:dyDescent="0.2">
      <c r="E2936" s="69"/>
      <c r="FT2936" s="45"/>
    </row>
    <row r="2937" spans="5:176" x14ac:dyDescent="0.2">
      <c r="E2937" s="69"/>
      <c r="FT2937" s="45"/>
    </row>
    <row r="2938" spans="5:176" x14ac:dyDescent="0.2">
      <c r="E2938" s="69"/>
      <c r="FT2938" s="45"/>
    </row>
    <row r="2939" spans="5:176" x14ac:dyDescent="0.2">
      <c r="E2939" s="69"/>
      <c r="FT2939" s="45"/>
    </row>
    <row r="2940" spans="5:176" x14ac:dyDescent="0.2">
      <c r="E2940" s="69"/>
      <c r="FT2940" s="45"/>
    </row>
    <row r="2941" spans="5:176" x14ac:dyDescent="0.2">
      <c r="E2941" s="69"/>
      <c r="FT2941" s="45"/>
    </row>
    <row r="2942" spans="5:176" x14ac:dyDescent="0.2">
      <c r="E2942" s="69"/>
      <c r="FT2942" s="45"/>
    </row>
    <row r="2943" spans="5:176" x14ac:dyDescent="0.2">
      <c r="E2943" s="69"/>
      <c r="FT2943" s="45"/>
    </row>
    <row r="2944" spans="5:176" x14ac:dyDescent="0.2">
      <c r="E2944" s="69"/>
      <c r="FT2944" s="45"/>
    </row>
    <row r="2945" spans="5:176" x14ac:dyDescent="0.2">
      <c r="E2945" s="69"/>
      <c r="FT2945" s="45"/>
    </row>
    <row r="2946" spans="5:176" x14ac:dyDescent="0.2">
      <c r="E2946" s="69"/>
      <c r="FT2946" s="45"/>
    </row>
    <row r="2947" spans="5:176" x14ac:dyDescent="0.2">
      <c r="E2947" s="69"/>
      <c r="FT2947" s="45"/>
    </row>
    <row r="2948" spans="5:176" x14ac:dyDescent="0.2">
      <c r="E2948" s="69"/>
      <c r="FT2948" s="45"/>
    </row>
    <row r="2949" spans="5:176" x14ac:dyDescent="0.2">
      <c r="E2949" s="69"/>
      <c r="FT2949" s="45"/>
    </row>
    <row r="2950" spans="5:176" x14ac:dyDescent="0.2">
      <c r="E2950" s="69"/>
      <c r="FT2950" s="45"/>
    </row>
    <row r="2951" spans="5:176" x14ac:dyDescent="0.2">
      <c r="E2951" s="69"/>
      <c r="FT2951" s="45"/>
    </row>
    <row r="2952" spans="5:176" x14ac:dyDescent="0.2">
      <c r="E2952" s="69"/>
      <c r="FT2952" s="45"/>
    </row>
    <row r="2953" spans="5:176" x14ac:dyDescent="0.2">
      <c r="E2953" s="69"/>
      <c r="FT2953" s="45"/>
    </row>
    <row r="2954" spans="5:176" x14ac:dyDescent="0.2">
      <c r="E2954" s="69"/>
      <c r="FT2954" s="45"/>
    </row>
    <row r="2955" spans="5:176" x14ac:dyDescent="0.2">
      <c r="E2955" s="69"/>
      <c r="FT2955" s="45"/>
    </row>
    <row r="2956" spans="5:176" x14ac:dyDescent="0.2">
      <c r="E2956" s="69"/>
      <c r="FT2956" s="45"/>
    </row>
    <row r="2957" spans="5:176" x14ac:dyDescent="0.2">
      <c r="E2957" s="69"/>
      <c r="FT2957" s="45"/>
    </row>
    <row r="2958" spans="5:176" x14ac:dyDescent="0.2">
      <c r="E2958" s="69"/>
      <c r="FT2958" s="45"/>
    </row>
    <row r="2959" spans="5:176" x14ac:dyDescent="0.2">
      <c r="E2959" s="69"/>
      <c r="FT2959" s="45"/>
    </row>
    <row r="2960" spans="5:176" x14ac:dyDescent="0.2">
      <c r="E2960" s="69"/>
      <c r="FT2960" s="45"/>
    </row>
    <row r="2961" spans="5:176" x14ac:dyDescent="0.2">
      <c r="E2961" s="69"/>
      <c r="FT2961" s="45"/>
    </row>
    <row r="2962" spans="5:176" x14ac:dyDescent="0.2">
      <c r="E2962" s="69"/>
      <c r="FT2962" s="45"/>
    </row>
    <row r="2963" spans="5:176" x14ac:dyDescent="0.2">
      <c r="E2963" s="69"/>
      <c r="FT2963" s="45"/>
    </row>
    <row r="2964" spans="5:176" x14ac:dyDescent="0.2">
      <c r="E2964" s="69"/>
      <c r="FT2964" s="45"/>
    </row>
    <row r="2965" spans="5:176" x14ac:dyDescent="0.2">
      <c r="E2965" s="69"/>
      <c r="FT2965" s="45"/>
    </row>
    <row r="2966" spans="5:176" x14ac:dyDescent="0.2">
      <c r="E2966" s="69"/>
      <c r="FT2966" s="45"/>
    </row>
    <row r="2967" spans="5:176" x14ac:dyDescent="0.2">
      <c r="E2967" s="69"/>
      <c r="FT2967" s="45"/>
    </row>
    <row r="2968" spans="5:176" x14ac:dyDescent="0.2">
      <c r="E2968" s="69"/>
      <c r="FT2968" s="45"/>
    </row>
    <row r="2969" spans="5:176" x14ac:dyDescent="0.2">
      <c r="E2969" s="69"/>
      <c r="FT2969" s="45"/>
    </row>
    <row r="2970" spans="5:176" x14ac:dyDescent="0.2">
      <c r="E2970" s="69"/>
      <c r="FT2970" s="45"/>
    </row>
    <row r="2971" spans="5:176" x14ac:dyDescent="0.2">
      <c r="E2971" s="69"/>
      <c r="FT2971" s="45"/>
    </row>
    <row r="2972" spans="5:176" x14ac:dyDescent="0.2">
      <c r="E2972" s="69"/>
      <c r="FT2972" s="45"/>
    </row>
    <row r="2973" spans="5:176" x14ac:dyDescent="0.2">
      <c r="E2973" s="69"/>
      <c r="FT2973" s="45"/>
    </row>
    <row r="2974" spans="5:176" x14ac:dyDescent="0.2">
      <c r="E2974" s="69"/>
      <c r="FT2974" s="45"/>
    </row>
    <row r="2975" spans="5:176" x14ac:dyDescent="0.2">
      <c r="E2975" s="69"/>
      <c r="FT2975" s="45"/>
    </row>
    <row r="2976" spans="5:176" x14ac:dyDescent="0.2">
      <c r="E2976" s="69"/>
      <c r="FT2976" s="45"/>
    </row>
    <row r="2977" spans="5:176" x14ac:dyDescent="0.2">
      <c r="E2977" s="69"/>
      <c r="FT2977" s="45"/>
    </row>
    <row r="2978" spans="5:176" x14ac:dyDescent="0.2">
      <c r="E2978" s="69"/>
      <c r="FT2978" s="45"/>
    </row>
    <row r="2979" spans="5:176" x14ac:dyDescent="0.2">
      <c r="E2979" s="69"/>
      <c r="FT2979" s="45"/>
    </row>
    <row r="2980" spans="5:176" x14ac:dyDescent="0.2">
      <c r="E2980" s="69"/>
      <c r="FT2980" s="45"/>
    </row>
    <row r="2981" spans="5:176" x14ac:dyDescent="0.2">
      <c r="E2981" s="69"/>
      <c r="FT2981" s="45"/>
    </row>
    <row r="2982" spans="5:176" x14ac:dyDescent="0.2">
      <c r="E2982" s="69"/>
      <c r="FT2982" s="45"/>
    </row>
    <row r="2983" spans="5:176" x14ac:dyDescent="0.2">
      <c r="E2983" s="69"/>
      <c r="FT2983" s="45"/>
    </row>
    <row r="2984" spans="5:176" x14ac:dyDescent="0.2">
      <c r="E2984" s="69"/>
      <c r="FT2984" s="45"/>
    </row>
    <row r="2985" spans="5:176" x14ac:dyDescent="0.2">
      <c r="E2985" s="69"/>
      <c r="FT2985" s="45"/>
    </row>
    <row r="2986" spans="5:176" x14ac:dyDescent="0.2">
      <c r="E2986" s="69"/>
      <c r="FT2986" s="45"/>
    </row>
    <row r="2987" spans="5:176" x14ac:dyDescent="0.2">
      <c r="E2987" s="69"/>
      <c r="FT2987" s="45"/>
    </row>
    <row r="2988" spans="5:176" x14ac:dyDescent="0.2">
      <c r="E2988" s="69"/>
      <c r="FT2988" s="45"/>
    </row>
    <row r="2989" spans="5:176" x14ac:dyDescent="0.2">
      <c r="E2989" s="69"/>
      <c r="FT2989" s="45"/>
    </row>
    <row r="2990" spans="5:176" x14ac:dyDescent="0.2">
      <c r="E2990" s="69"/>
      <c r="FT2990" s="45"/>
    </row>
    <row r="2991" spans="5:176" x14ac:dyDescent="0.2">
      <c r="E2991" s="69"/>
      <c r="FT2991" s="45"/>
    </row>
    <row r="2992" spans="5:176" x14ac:dyDescent="0.2">
      <c r="E2992" s="69"/>
      <c r="FT2992" s="45"/>
    </row>
    <row r="2993" spans="5:176" x14ac:dyDescent="0.2">
      <c r="E2993" s="69"/>
      <c r="FT2993" s="45"/>
    </row>
    <row r="2994" spans="5:176" x14ac:dyDescent="0.2">
      <c r="E2994" s="69"/>
      <c r="FT2994" s="45"/>
    </row>
    <row r="2995" spans="5:176" x14ac:dyDescent="0.2">
      <c r="E2995" s="69"/>
      <c r="FT2995" s="45"/>
    </row>
    <row r="2996" spans="5:176" x14ac:dyDescent="0.2">
      <c r="E2996" s="69"/>
      <c r="FT2996" s="45"/>
    </row>
    <row r="2997" spans="5:176" x14ac:dyDescent="0.2">
      <c r="E2997" s="69"/>
      <c r="FT2997" s="45"/>
    </row>
    <row r="2998" spans="5:176" x14ac:dyDescent="0.2">
      <c r="E2998" s="69"/>
      <c r="FT2998" s="45"/>
    </row>
    <row r="2999" spans="5:176" x14ac:dyDescent="0.2">
      <c r="E2999" s="69"/>
      <c r="FT2999" s="45"/>
    </row>
    <row r="3000" spans="5:176" x14ac:dyDescent="0.2">
      <c r="E3000" s="69"/>
      <c r="FT3000" s="45"/>
    </row>
    <row r="3001" spans="5:176" x14ac:dyDescent="0.2">
      <c r="E3001" s="69"/>
      <c r="FT3001" s="45"/>
    </row>
    <row r="3002" spans="5:176" x14ac:dyDescent="0.2">
      <c r="E3002" s="69"/>
      <c r="FT3002" s="45"/>
    </row>
    <row r="3003" spans="5:176" x14ac:dyDescent="0.2">
      <c r="E3003" s="69"/>
      <c r="FT3003" s="45"/>
    </row>
    <row r="3004" spans="5:176" x14ac:dyDescent="0.2">
      <c r="E3004" s="69"/>
      <c r="FT3004" s="45"/>
    </row>
    <row r="3005" spans="5:176" x14ac:dyDescent="0.2">
      <c r="E3005" s="69"/>
      <c r="FT3005" s="45"/>
    </row>
    <row r="3006" spans="5:176" x14ac:dyDescent="0.2">
      <c r="E3006" s="69"/>
      <c r="FT3006" s="45"/>
    </row>
    <row r="3007" spans="5:176" x14ac:dyDescent="0.2">
      <c r="E3007" s="69"/>
      <c r="FT3007" s="45"/>
    </row>
    <row r="3008" spans="5:176" x14ac:dyDescent="0.2">
      <c r="E3008" s="69"/>
      <c r="FT3008" s="45"/>
    </row>
    <row r="3009" spans="5:176" x14ac:dyDescent="0.2">
      <c r="E3009" s="69"/>
      <c r="FT3009" s="45"/>
    </row>
    <row r="3010" spans="5:176" x14ac:dyDescent="0.2">
      <c r="E3010" s="69"/>
      <c r="FT3010" s="45"/>
    </row>
    <row r="3011" spans="5:176" x14ac:dyDescent="0.2">
      <c r="E3011" s="69"/>
      <c r="FT3011" s="45"/>
    </row>
    <row r="3012" spans="5:176" x14ac:dyDescent="0.2">
      <c r="E3012" s="69"/>
      <c r="FT3012" s="45"/>
    </row>
    <row r="3013" spans="5:176" x14ac:dyDescent="0.2">
      <c r="E3013" s="69"/>
      <c r="FT3013" s="45"/>
    </row>
    <row r="3014" spans="5:176" x14ac:dyDescent="0.2">
      <c r="E3014" s="69"/>
      <c r="FT3014" s="45"/>
    </row>
    <row r="3015" spans="5:176" x14ac:dyDescent="0.2">
      <c r="E3015" s="69"/>
      <c r="FT3015" s="45"/>
    </row>
    <row r="3016" spans="5:176" x14ac:dyDescent="0.2">
      <c r="E3016" s="69"/>
      <c r="FT3016" s="45"/>
    </row>
    <row r="3017" spans="5:176" x14ac:dyDescent="0.2">
      <c r="E3017" s="69"/>
      <c r="FT3017" s="45"/>
    </row>
    <row r="3018" spans="5:176" x14ac:dyDescent="0.2">
      <c r="E3018" s="69"/>
      <c r="FT3018" s="45"/>
    </row>
    <row r="3019" spans="5:176" x14ac:dyDescent="0.2">
      <c r="E3019" s="69"/>
      <c r="FT3019" s="45"/>
    </row>
    <row r="3020" spans="5:176" x14ac:dyDescent="0.2">
      <c r="E3020" s="69"/>
      <c r="FT3020" s="45"/>
    </row>
    <row r="3021" spans="5:176" x14ac:dyDescent="0.2">
      <c r="E3021" s="69"/>
      <c r="FT3021" s="45"/>
    </row>
    <row r="3022" spans="5:176" x14ac:dyDescent="0.2">
      <c r="E3022" s="69"/>
      <c r="FT3022" s="45"/>
    </row>
    <row r="3023" spans="5:176" x14ac:dyDescent="0.2">
      <c r="E3023" s="69"/>
      <c r="FT3023" s="45"/>
    </row>
    <row r="3024" spans="5:176" x14ac:dyDescent="0.2">
      <c r="E3024" s="69"/>
      <c r="FT3024" s="45"/>
    </row>
    <row r="3025" spans="5:176" x14ac:dyDescent="0.2">
      <c r="E3025" s="69"/>
      <c r="FT3025" s="45"/>
    </row>
    <row r="3026" spans="5:176" x14ac:dyDescent="0.2">
      <c r="E3026" s="69"/>
      <c r="FT3026" s="45"/>
    </row>
    <row r="3027" spans="5:176" x14ac:dyDescent="0.2">
      <c r="E3027" s="69"/>
      <c r="FT3027" s="45"/>
    </row>
    <row r="3028" spans="5:176" x14ac:dyDescent="0.2">
      <c r="E3028" s="69"/>
      <c r="FT3028" s="45"/>
    </row>
    <row r="3029" spans="5:176" x14ac:dyDescent="0.2">
      <c r="E3029" s="69"/>
      <c r="FT3029" s="45"/>
    </row>
    <row r="3030" spans="5:176" x14ac:dyDescent="0.2">
      <c r="E3030" s="69"/>
      <c r="FT3030" s="45"/>
    </row>
    <row r="3031" spans="5:176" x14ac:dyDescent="0.2">
      <c r="E3031" s="69"/>
      <c r="FT3031" s="45"/>
    </row>
    <row r="3032" spans="5:176" x14ac:dyDescent="0.2">
      <c r="E3032" s="69"/>
      <c r="FT3032" s="45"/>
    </row>
    <row r="3033" spans="5:176" x14ac:dyDescent="0.2">
      <c r="E3033" s="69"/>
      <c r="FT3033" s="45"/>
    </row>
    <row r="3034" spans="5:176" x14ac:dyDescent="0.2">
      <c r="E3034" s="69"/>
      <c r="FT3034" s="45"/>
    </row>
    <row r="3035" spans="5:176" x14ac:dyDescent="0.2">
      <c r="E3035" s="69"/>
      <c r="FT3035" s="45"/>
    </row>
    <row r="3036" spans="5:176" x14ac:dyDescent="0.2">
      <c r="E3036" s="69"/>
      <c r="FT3036" s="45"/>
    </row>
    <row r="3037" spans="5:176" x14ac:dyDescent="0.2">
      <c r="E3037" s="69"/>
      <c r="FT3037" s="45"/>
    </row>
    <row r="3038" spans="5:176" x14ac:dyDescent="0.2">
      <c r="E3038" s="69"/>
      <c r="FT3038" s="45"/>
    </row>
    <row r="3039" spans="5:176" x14ac:dyDescent="0.2">
      <c r="E3039" s="69"/>
      <c r="FT3039" s="45"/>
    </row>
    <row r="3040" spans="5:176" x14ac:dyDescent="0.2">
      <c r="E3040" s="69"/>
      <c r="FT3040" s="45"/>
    </row>
    <row r="3041" spans="5:176" x14ac:dyDescent="0.2">
      <c r="E3041" s="69"/>
      <c r="FT3041" s="45"/>
    </row>
    <row r="3042" spans="5:176" x14ac:dyDescent="0.2">
      <c r="E3042" s="69"/>
      <c r="FT3042" s="45"/>
    </row>
    <row r="3043" spans="5:176" x14ac:dyDescent="0.2">
      <c r="E3043" s="69"/>
      <c r="FT3043" s="45"/>
    </row>
    <row r="3044" spans="5:176" x14ac:dyDescent="0.2">
      <c r="E3044" s="69"/>
      <c r="FT3044" s="45"/>
    </row>
    <row r="3045" spans="5:176" x14ac:dyDescent="0.2">
      <c r="E3045" s="69"/>
      <c r="FT3045" s="45"/>
    </row>
    <row r="3046" spans="5:176" x14ac:dyDescent="0.2">
      <c r="E3046" s="69"/>
      <c r="FT3046" s="45"/>
    </row>
    <row r="3047" spans="5:176" x14ac:dyDescent="0.2">
      <c r="E3047" s="69"/>
      <c r="FT3047" s="45"/>
    </row>
    <row r="3048" spans="5:176" x14ac:dyDescent="0.2">
      <c r="E3048" s="69"/>
      <c r="FT3048" s="45"/>
    </row>
    <row r="3049" spans="5:176" x14ac:dyDescent="0.2">
      <c r="E3049" s="69"/>
      <c r="FT3049" s="45"/>
    </row>
    <row r="3050" spans="5:176" x14ac:dyDescent="0.2">
      <c r="E3050" s="69"/>
      <c r="FT3050" s="45"/>
    </row>
    <row r="3051" spans="5:176" x14ac:dyDescent="0.2">
      <c r="E3051" s="69"/>
      <c r="FT3051" s="45"/>
    </row>
    <row r="3052" spans="5:176" x14ac:dyDescent="0.2">
      <c r="E3052" s="69"/>
      <c r="FT3052" s="45"/>
    </row>
    <row r="3053" spans="5:176" x14ac:dyDescent="0.2">
      <c r="E3053" s="69"/>
      <c r="FT3053" s="45"/>
    </row>
    <row r="3054" spans="5:176" x14ac:dyDescent="0.2">
      <c r="E3054" s="69"/>
      <c r="FT3054" s="45"/>
    </row>
    <row r="3055" spans="5:176" x14ac:dyDescent="0.2">
      <c r="E3055" s="69"/>
      <c r="FT3055" s="45"/>
    </row>
    <row r="3056" spans="5:176" x14ac:dyDescent="0.2">
      <c r="E3056" s="69"/>
      <c r="FT3056" s="45"/>
    </row>
    <row r="3057" spans="5:176" x14ac:dyDescent="0.2">
      <c r="E3057" s="69"/>
      <c r="FT3057" s="45"/>
    </row>
    <row r="3058" spans="5:176" x14ac:dyDescent="0.2">
      <c r="E3058" s="69"/>
      <c r="FT3058" s="45"/>
    </row>
    <row r="3059" spans="5:176" x14ac:dyDescent="0.2">
      <c r="E3059" s="69"/>
      <c r="FT3059" s="45"/>
    </row>
    <row r="3060" spans="5:176" x14ac:dyDescent="0.2">
      <c r="E3060" s="69"/>
      <c r="FT3060" s="45"/>
    </row>
    <row r="3061" spans="5:176" x14ac:dyDescent="0.2">
      <c r="E3061" s="69"/>
      <c r="FT3061" s="45"/>
    </row>
    <row r="3062" spans="5:176" x14ac:dyDescent="0.2">
      <c r="E3062" s="69"/>
      <c r="FT3062" s="45"/>
    </row>
    <row r="3063" spans="5:176" x14ac:dyDescent="0.2">
      <c r="E3063" s="69"/>
      <c r="FT3063" s="45"/>
    </row>
    <row r="3064" spans="5:176" x14ac:dyDescent="0.2">
      <c r="E3064" s="69"/>
      <c r="FT3064" s="45"/>
    </row>
    <row r="3065" spans="5:176" x14ac:dyDescent="0.2">
      <c r="E3065" s="69"/>
      <c r="FT3065" s="45"/>
    </row>
    <row r="3066" spans="5:176" x14ac:dyDescent="0.2">
      <c r="E3066" s="69"/>
      <c r="FT3066" s="45"/>
    </row>
    <row r="3067" spans="5:176" x14ac:dyDescent="0.2">
      <c r="E3067" s="69"/>
      <c r="FT3067" s="45"/>
    </row>
    <row r="3068" spans="5:176" x14ac:dyDescent="0.2">
      <c r="E3068" s="69"/>
      <c r="FT3068" s="45"/>
    </row>
    <row r="3069" spans="5:176" x14ac:dyDescent="0.2">
      <c r="E3069" s="69"/>
      <c r="FT3069" s="45"/>
    </row>
    <row r="3070" spans="5:176" x14ac:dyDescent="0.2">
      <c r="E3070" s="69"/>
      <c r="FT3070" s="45"/>
    </row>
    <row r="3071" spans="5:176" x14ac:dyDescent="0.2">
      <c r="E3071" s="69"/>
      <c r="FT3071" s="45"/>
    </row>
    <row r="3072" spans="5:176" x14ac:dyDescent="0.2">
      <c r="E3072" s="69"/>
      <c r="FT3072" s="45"/>
    </row>
    <row r="3073" spans="5:176" x14ac:dyDescent="0.2">
      <c r="E3073" s="69"/>
      <c r="FT3073" s="45"/>
    </row>
    <row r="3074" spans="5:176" x14ac:dyDescent="0.2">
      <c r="E3074" s="69"/>
      <c r="FT3074" s="45"/>
    </row>
    <row r="3075" spans="5:176" x14ac:dyDescent="0.2">
      <c r="E3075" s="69"/>
      <c r="FT3075" s="45"/>
    </row>
    <row r="3076" spans="5:176" x14ac:dyDescent="0.2">
      <c r="E3076" s="69"/>
      <c r="FT3076" s="45"/>
    </row>
    <row r="3077" spans="5:176" x14ac:dyDescent="0.2">
      <c r="E3077" s="69"/>
      <c r="FT3077" s="45"/>
    </row>
    <row r="3078" spans="5:176" x14ac:dyDescent="0.2">
      <c r="E3078" s="69"/>
      <c r="FT3078" s="45"/>
    </row>
    <row r="3079" spans="5:176" x14ac:dyDescent="0.2">
      <c r="E3079" s="69"/>
      <c r="FT3079" s="45"/>
    </row>
    <row r="3080" spans="5:176" x14ac:dyDescent="0.2">
      <c r="E3080" s="69"/>
      <c r="FT3080" s="45"/>
    </row>
    <row r="3081" spans="5:176" x14ac:dyDescent="0.2">
      <c r="E3081" s="69"/>
      <c r="FT3081" s="45"/>
    </row>
    <row r="3082" spans="5:176" x14ac:dyDescent="0.2">
      <c r="E3082" s="69"/>
      <c r="FT3082" s="45"/>
    </row>
    <row r="3083" spans="5:176" x14ac:dyDescent="0.2">
      <c r="E3083" s="69"/>
      <c r="FT3083" s="45"/>
    </row>
    <row r="3084" spans="5:176" x14ac:dyDescent="0.2">
      <c r="E3084" s="69"/>
      <c r="FT3084" s="45"/>
    </row>
    <row r="3085" spans="5:176" x14ac:dyDescent="0.2">
      <c r="E3085" s="69"/>
      <c r="FT3085" s="45"/>
    </row>
    <row r="3086" spans="5:176" x14ac:dyDescent="0.2">
      <c r="E3086" s="69"/>
      <c r="FT3086" s="45"/>
    </row>
    <row r="3087" spans="5:176" x14ac:dyDescent="0.2">
      <c r="E3087" s="69"/>
      <c r="FT3087" s="45"/>
    </row>
    <row r="3088" spans="5:176" x14ac:dyDescent="0.2">
      <c r="E3088" s="69"/>
      <c r="FT3088" s="45"/>
    </row>
    <row r="3089" spans="5:176" x14ac:dyDescent="0.2">
      <c r="E3089" s="69"/>
      <c r="FT3089" s="45"/>
    </row>
    <row r="3090" spans="5:176" x14ac:dyDescent="0.2">
      <c r="E3090" s="69"/>
      <c r="FT3090" s="45"/>
    </row>
    <row r="3091" spans="5:176" x14ac:dyDescent="0.2">
      <c r="E3091" s="69"/>
      <c r="FT3091" s="45"/>
    </row>
    <row r="3092" spans="5:176" x14ac:dyDescent="0.2">
      <c r="E3092" s="69"/>
      <c r="FT3092" s="45"/>
    </row>
    <row r="3093" spans="5:176" x14ac:dyDescent="0.2">
      <c r="E3093" s="69"/>
      <c r="FT3093" s="45"/>
    </row>
    <row r="3094" spans="5:176" x14ac:dyDescent="0.2">
      <c r="E3094" s="69"/>
      <c r="FT3094" s="45"/>
    </row>
    <row r="3095" spans="5:176" x14ac:dyDescent="0.2">
      <c r="E3095" s="69"/>
      <c r="FT3095" s="45"/>
    </row>
    <row r="3096" spans="5:176" x14ac:dyDescent="0.2">
      <c r="E3096" s="69"/>
      <c r="FT3096" s="45"/>
    </row>
    <row r="3097" spans="5:176" x14ac:dyDescent="0.2">
      <c r="E3097" s="69"/>
      <c r="FT3097" s="45"/>
    </row>
    <row r="3098" spans="5:176" x14ac:dyDescent="0.2">
      <c r="E3098" s="69"/>
      <c r="FT3098" s="45"/>
    </row>
    <row r="3099" spans="5:176" x14ac:dyDescent="0.2">
      <c r="E3099" s="69"/>
      <c r="FT3099" s="45"/>
    </row>
    <row r="3100" spans="5:176" x14ac:dyDescent="0.2">
      <c r="E3100" s="69"/>
      <c r="FT3100" s="45"/>
    </row>
    <row r="3101" spans="5:176" x14ac:dyDescent="0.2">
      <c r="E3101" s="69"/>
      <c r="FT3101" s="45"/>
    </row>
    <row r="3102" spans="5:176" x14ac:dyDescent="0.2">
      <c r="E3102" s="69"/>
      <c r="FT3102" s="45"/>
    </row>
    <row r="3103" spans="5:176" x14ac:dyDescent="0.2">
      <c r="E3103" s="69"/>
      <c r="FT3103" s="45"/>
    </row>
    <row r="3104" spans="5:176" x14ac:dyDescent="0.2">
      <c r="E3104" s="69"/>
      <c r="FT3104" s="45"/>
    </row>
    <row r="3105" spans="5:176" x14ac:dyDescent="0.2">
      <c r="E3105" s="69"/>
      <c r="FT3105" s="45"/>
    </row>
    <row r="3106" spans="5:176" x14ac:dyDescent="0.2">
      <c r="E3106" s="69"/>
      <c r="FT3106" s="45"/>
    </row>
    <row r="3107" spans="5:176" x14ac:dyDescent="0.2">
      <c r="E3107" s="69"/>
      <c r="FT3107" s="45"/>
    </row>
    <row r="3108" spans="5:176" x14ac:dyDescent="0.2">
      <c r="E3108" s="69"/>
      <c r="FT3108" s="45"/>
    </row>
    <row r="3109" spans="5:176" x14ac:dyDescent="0.2">
      <c r="E3109" s="69"/>
      <c r="FT3109" s="45"/>
    </row>
    <row r="3110" spans="5:176" x14ac:dyDescent="0.2">
      <c r="E3110" s="69"/>
      <c r="FT3110" s="45"/>
    </row>
    <row r="3111" spans="5:176" x14ac:dyDescent="0.2">
      <c r="E3111" s="69"/>
      <c r="FT3111" s="45"/>
    </row>
    <row r="3112" spans="5:176" x14ac:dyDescent="0.2">
      <c r="E3112" s="69"/>
      <c r="FT3112" s="45"/>
    </row>
    <row r="3113" spans="5:176" x14ac:dyDescent="0.2">
      <c r="E3113" s="69"/>
      <c r="FT3113" s="45"/>
    </row>
    <row r="3114" spans="5:176" x14ac:dyDescent="0.2">
      <c r="E3114" s="69"/>
      <c r="FT3114" s="45"/>
    </row>
    <row r="3115" spans="5:176" x14ac:dyDescent="0.2">
      <c r="E3115" s="69"/>
      <c r="FT3115" s="45"/>
    </row>
    <row r="3116" spans="5:176" x14ac:dyDescent="0.2">
      <c r="E3116" s="69"/>
      <c r="FT3116" s="45"/>
    </row>
    <row r="3117" spans="5:176" x14ac:dyDescent="0.2">
      <c r="E3117" s="69"/>
      <c r="FT3117" s="45"/>
    </row>
    <row r="3118" spans="5:176" x14ac:dyDescent="0.2">
      <c r="E3118" s="69"/>
      <c r="FT3118" s="45"/>
    </row>
    <row r="3119" spans="5:176" x14ac:dyDescent="0.2">
      <c r="E3119" s="69"/>
      <c r="FT3119" s="45"/>
    </row>
    <row r="3120" spans="5:176" x14ac:dyDescent="0.2">
      <c r="E3120" s="69"/>
      <c r="FT3120" s="45"/>
    </row>
    <row r="3121" spans="5:176" x14ac:dyDescent="0.2">
      <c r="E3121" s="69"/>
      <c r="FT3121" s="45"/>
    </row>
    <row r="3122" spans="5:176" x14ac:dyDescent="0.2">
      <c r="E3122" s="69"/>
      <c r="FT3122" s="45"/>
    </row>
    <row r="3123" spans="5:176" x14ac:dyDescent="0.2">
      <c r="E3123" s="69"/>
      <c r="FT3123" s="45"/>
    </row>
    <row r="3124" spans="5:176" x14ac:dyDescent="0.2">
      <c r="E3124" s="69"/>
      <c r="FT3124" s="45"/>
    </row>
    <row r="3125" spans="5:176" x14ac:dyDescent="0.2">
      <c r="E3125" s="69"/>
      <c r="FT3125" s="45"/>
    </row>
    <row r="3126" spans="5:176" x14ac:dyDescent="0.2">
      <c r="E3126" s="69"/>
      <c r="FT3126" s="45"/>
    </row>
    <row r="3127" spans="5:176" x14ac:dyDescent="0.2">
      <c r="E3127" s="69"/>
      <c r="FT3127" s="45"/>
    </row>
    <row r="3128" spans="5:176" x14ac:dyDescent="0.2">
      <c r="E3128" s="69"/>
      <c r="FT3128" s="45"/>
    </row>
    <row r="3129" spans="5:176" x14ac:dyDescent="0.2">
      <c r="E3129" s="69"/>
      <c r="FT3129" s="45"/>
    </row>
    <row r="3130" spans="5:176" x14ac:dyDescent="0.2">
      <c r="E3130" s="69"/>
      <c r="FT3130" s="45"/>
    </row>
    <row r="3131" spans="5:176" x14ac:dyDescent="0.2">
      <c r="E3131" s="69"/>
      <c r="FT3131" s="45"/>
    </row>
    <row r="3132" spans="5:176" x14ac:dyDescent="0.2">
      <c r="E3132" s="69"/>
      <c r="FT3132" s="45"/>
    </row>
    <row r="3133" spans="5:176" x14ac:dyDescent="0.2">
      <c r="E3133" s="69"/>
      <c r="FT3133" s="45"/>
    </row>
    <row r="3134" spans="5:176" x14ac:dyDescent="0.2">
      <c r="E3134" s="69"/>
      <c r="FT3134" s="45"/>
    </row>
    <row r="3135" spans="5:176" x14ac:dyDescent="0.2">
      <c r="E3135" s="69"/>
      <c r="FT3135" s="45"/>
    </row>
    <row r="3136" spans="5:176" x14ac:dyDescent="0.2">
      <c r="E3136" s="69"/>
      <c r="FT3136" s="45"/>
    </row>
    <row r="3137" spans="5:176" x14ac:dyDescent="0.2">
      <c r="E3137" s="69"/>
      <c r="FT3137" s="45"/>
    </row>
    <row r="3138" spans="5:176" x14ac:dyDescent="0.2">
      <c r="E3138" s="69"/>
      <c r="FT3138" s="45"/>
    </row>
    <row r="3139" spans="5:176" x14ac:dyDescent="0.2">
      <c r="E3139" s="69"/>
      <c r="FT3139" s="45"/>
    </row>
    <row r="3140" spans="5:176" x14ac:dyDescent="0.2">
      <c r="E3140" s="69"/>
      <c r="FT3140" s="45"/>
    </row>
    <row r="3141" spans="5:176" x14ac:dyDescent="0.2">
      <c r="E3141" s="69"/>
      <c r="FT3141" s="45"/>
    </row>
    <row r="3142" spans="5:176" x14ac:dyDescent="0.2">
      <c r="E3142" s="69"/>
      <c r="FT3142" s="45"/>
    </row>
    <row r="3143" spans="5:176" x14ac:dyDescent="0.2">
      <c r="E3143" s="69"/>
      <c r="FT3143" s="45"/>
    </row>
    <row r="3144" spans="5:176" x14ac:dyDescent="0.2">
      <c r="E3144" s="69"/>
      <c r="FT3144" s="45"/>
    </row>
    <row r="3145" spans="5:176" x14ac:dyDescent="0.2">
      <c r="E3145" s="69"/>
      <c r="FT3145" s="45"/>
    </row>
    <row r="3146" spans="5:176" x14ac:dyDescent="0.2">
      <c r="E3146" s="69"/>
      <c r="FT3146" s="45"/>
    </row>
    <row r="3147" spans="5:176" x14ac:dyDescent="0.2">
      <c r="E3147" s="69"/>
      <c r="FT3147" s="45"/>
    </row>
    <row r="3148" spans="5:176" x14ac:dyDescent="0.2">
      <c r="E3148" s="69"/>
      <c r="FT3148" s="45"/>
    </row>
    <row r="3149" spans="5:176" x14ac:dyDescent="0.2">
      <c r="E3149" s="69"/>
      <c r="FT3149" s="45"/>
    </row>
    <row r="3150" spans="5:176" x14ac:dyDescent="0.2">
      <c r="E3150" s="69"/>
      <c r="FT3150" s="45"/>
    </row>
    <row r="3151" spans="5:176" x14ac:dyDescent="0.2">
      <c r="E3151" s="69"/>
      <c r="FT3151" s="45"/>
    </row>
    <row r="3152" spans="5:176" x14ac:dyDescent="0.2">
      <c r="E3152" s="69"/>
      <c r="FT3152" s="45"/>
    </row>
    <row r="3153" spans="5:176" x14ac:dyDescent="0.2">
      <c r="E3153" s="69"/>
      <c r="FT3153" s="45"/>
    </row>
    <row r="3154" spans="5:176" x14ac:dyDescent="0.2">
      <c r="E3154" s="69"/>
      <c r="FT3154" s="45"/>
    </row>
    <row r="3155" spans="5:176" x14ac:dyDescent="0.2">
      <c r="E3155" s="69"/>
      <c r="FT3155" s="45"/>
    </row>
    <row r="3156" spans="5:176" x14ac:dyDescent="0.2">
      <c r="E3156" s="69"/>
      <c r="FT3156" s="45"/>
    </row>
    <row r="3157" spans="5:176" x14ac:dyDescent="0.2">
      <c r="E3157" s="69"/>
      <c r="FT3157" s="45"/>
    </row>
    <row r="3158" spans="5:176" x14ac:dyDescent="0.2">
      <c r="E3158" s="69"/>
      <c r="FT3158" s="45"/>
    </row>
    <row r="3159" spans="5:176" x14ac:dyDescent="0.2">
      <c r="E3159" s="69"/>
      <c r="FT3159" s="45"/>
    </row>
    <row r="3160" spans="5:176" x14ac:dyDescent="0.2">
      <c r="E3160" s="69"/>
      <c r="FT3160" s="45"/>
    </row>
    <row r="3161" spans="5:176" x14ac:dyDescent="0.2">
      <c r="E3161" s="69"/>
      <c r="FT3161" s="45"/>
    </row>
    <row r="3162" spans="5:176" x14ac:dyDescent="0.2">
      <c r="E3162" s="69"/>
      <c r="FT3162" s="45"/>
    </row>
    <row r="3163" spans="5:176" x14ac:dyDescent="0.2">
      <c r="E3163" s="69"/>
      <c r="FT3163" s="45"/>
    </row>
    <row r="3164" spans="5:176" x14ac:dyDescent="0.2">
      <c r="E3164" s="69"/>
      <c r="FT3164" s="45"/>
    </row>
    <row r="3165" spans="5:176" x14ac:dyDescent="0.2">
      <c r="E3165" s="69"/>
      <c r="FT3165" s="45"/>
    </row>
    <row r="3166" spans="5:176" x14ac:dyDescent="0.2">
      <c r="E3166" s="69"/>
      <c r="FT3166" s="45"/>
    </row>
    <row r="3167" spans="5:176" x14ac:dyDescent="0.2">
      <c r="E3167" s="69"/>
      <c r="FT3167" s="45"/>
    </row>
    <row r="3168" spans="5:176" x14ac:dyDescent="0.2">
      <c r="E3168" s="69"/>
      <c r="FT3168" s="45"/>
    </row>
    <row r="3169" spans="5:176" x14ac:dyDescent="0.2">
      <c r="E3169" s="69"/>
      <c r="FT3169" s="45"/>
    </row>
    <row r="3170" spans="5:176" x14ac:dyDescent="0.2">
      <c r="E3170" s="69"/>
      <c r="FT3170" s="45"/>
    </row>
    <row r="3171" spans="5:176" x14ac:dyDescent="0.2">
      <c r="E3171" s="69"/>
      <c r="FT3171" s="45"/>
    </row>
    <row r="3172" spans="5:176" x14ac:dyDescent="0.2">
      <c r="E3172" s="69"/>
      <c r="FT3172" s="45"/>
    </row>
    <row r="3173" spans="5:176" x14ac:dyDescent="0.2">
      <c r="E3173" s="69"/>
      <c r="FT3173" s="45"/>
    </row>
    <row r="3174" spans="5:176" x14ac:dyDescent="0.2">
      <c r="E3174" s="69"/>
      <c r="FT3174" s="45"/>
    </row>
    <row r="3175" spans="5:176" x14ac:dyDescent="0.2">
      <c r="E3175" s="69"/>
      <c r="FT3175" s="45"/>
    </row>
    <row r="3176" spans="5:176" x14ac:dyDescent="0.2">
      <c r="E3176" s="69"/>
      <c r="FT3176" s="45"/>
    </row>
    <row r="3177" spans="5:176" x14ac:dyDescent="0.2">
      <c r="E3177" s="69"/>
      <c r="FT3177" s="45"/>
    </row>
    <row r="3178" spans="5:176" x14ac:dyDescent="0.2">
      <c r="E3178" s="69"/>
      <c r="FT3178" s="45"/>
    </row>
    <row r="3179" spans="5:176" x14ac:dyDescent="0.2">
      <c r="E3179" s="69"/>
      <c r="FT3179" s="45"/>
    </row>
    <row r="3180" spans="5:176" x14ac:dyDescent="0.2">
      <c r="E3180" s="69"/>
      <c r="FT3180" s="45"/>
    </row>
    <row r="3181" spans="5:176" x14ac:dyDescent="0.2">
      <c r="E3181" s="69"/>
      <c r="FT3181" s="45"/>
    </row>
    <row r="3182" spans="5:176" x14ac:dyDescent="0.2">
      <c r="E3182" s="69"/>
      <c r="FT3182" s="45"/>
    </row>
    <row r="3183" spans="5:176" x14ac:dyDescent="0.2">
      <c r="E3183" s="69"/>
      <c r="FT3183" s="45"/>
    </row>
    <row r="3184" spans="5:176" x14ac:dyDescent="0.2">
      <c r="E3184" s="69"/>
      <c r="FT3184" s="45"/>
    </row>
    <row r="3185" spans="5:176" x14ac:dyDescent="0.2">
      <c r="E3185" s="69"/>
      <c r="FT3185" s="45"/>
    </row>
    <row r="3186" spans="5:176" x14ac:dyDescent="0.2">
      <c r="E3186" s="69"/>
      <c r="FT3186" s="45"/>
    </row>
    <row r="3187" spans="5:176" x14ac:dyDescent="0.2">
      <c r="E3187" s="69"/>
      <c r="FT3187" s="45"/>
    </row>
    <row r="3188" spans="5:176" x14ac:dyDescent="0.2">
      <c r="E3188" s="69"/>
      <c r="FT3188" s="45"/>
    </row>
    <row r="3189" spans="5:176" x14ac:dyDescent="0.2">
      <c r="E3189" s="69"/>
      <c r="FT3189" s="45"/>
    </row>
    <row r="3190" spans="5:176" x14ac:dyDescent="0.2">
      <c r="E3190" s="69"/>
      <c r="FT3190" s="45"/>
    </row>
    <row r="3191" spans="5:176" x14ac:dyDescent="0.2">
      <c r="E3191" s="69"/>
      <c r="FT3191" s="45"/>
    </row>
    <row r="3192" spans="5:176" x14ac:dyDescent="0.2">
      <c r="E3192" s="69"/>
      <c r="FT3192" s="45"/>
    </row>
    <row r="3193" spans="5:176" x14ac:dyDescent="0.2">
      <c r="E3193" s="69"/>
      <c r="FT3193" s="45"/>
    </row>
    <row r="3194" spans="5:176" x14ac:dyDescent="0.2">
      <c r="E3194" s="69"/>
      <c r="FT3194" s="45"/>
    </row>
    <row r="3195" spans="5:176" x14ac:dyDescent="0.2">
      <c r="E3195" s="69"/>
      <c r="FT3195" s="45"/>
    </row>
    <row r="3196" spans="5:176" x14ac:dyDescent="0.2">
      <c r="E3196" s="69"/>
      <c r="FT3196" s="45"/>
    </row>
    <row r="3197" spans="5:176" x14ac:dyDescent="0.2">
      <c r="E3197" s="69"/>
      <c r="FT3197" s="45"/>
    </row>
    <row r="3198" spans="5:176" x14ac:dyDescent="0.2">
      <c r="E3198" s="69"/>
      <c r="FT3198" s="45"/>
    </row>
    <row r="3199" spans="5:176" x14ac:dyDescent="0.2">
      <c r="E3199" s="69"/>
      <c r="FT3199" s="45"/>
    </row>
    <row r="3200" spans="5:176" x14ac:dyDescent="0.2">
      <c r="E3200" s="69"/>
      <c r="FT3200" s="45"/>
    </row>
    <row r="3201" spans="5:176" x14ac:dyDescent="0.2">
      <c r="E3201" s="69"/>
      <c r="FT3201" s="45"/>
    </row>
    <row r="3202" spans="5:176" x14ac:dyDescent="0.2">
      <c r="E3202" s="69"/>
      <c r="FT3202" s="45"/>
    </row>
    <row r="3203" spans="5:176" x14ac:dyDescent="0.2">
      <c r="E3203" s="69"/>
      <c r="FT3203" s="45"/>
    </row>
    <row r="3204" spans="5:176" x14ac:dyDescent="0.2">
      <c r="E3204" s="69"/>
      <c r="FT3204" s="45"/>
    </row>
    <row r="3205" spans="5:176" x14ac:dyDescent="0.2">
      <c r="E3205" s="69"/>
      <c r="FT3205" s="45"/>
    </row>
    <row r="3206" spans="5:176" x14ac:dyDescent="0.2">
      <c r="E3206" s="69"/>
      <c r="FT3206" s="45"/>
    </row>
    <row r="3207" spans="5:176" x14ac:dyDescent="0.2">
      <c r="E3207" s="69"/>
      <c r="FT3207" s="45"/>
    </row>
    <row r="3208" spans="5:176" x14ac:dyDescent="0.2">
      <c r="E3208" s="69"/>
      <c r="FT3208" s="45"/>
    </row>
    <row r="3209" spans="5:176" x14ac:dyDescent="0.2">
      <c r="E3209" s="69"/>
      <c r="FT3209" s="45"/>
    </row>
    <row r="3210" spans="5:176" x14ac:dyDescent="0.2">
      <c r="E3210" s="69"/>
      <c r="FT3210" s="45"/>
    </row>
    <row r="3211" spans="5:176" x14ac:dyDescent="0.2">
      <c r="E3211" s="69"/>
      <c r="FT3211" s="45"/>
    </row>
    <row r="3212" spans="5:176" x14ac:dyDescent="0.2">
      <c r="E3212" s="69"/>
      <c r="FT3212" s="45"/>
    </row>
    <row r="3213" spans="5:176" x14ac:dyDescent="0.2">
      <c r="E3213" s="69"/>
      <c r="FT3213" s="45"/>
    </row>
    <row r="3214" spans="5:176" x14ac:dyDescent="0.2">
      <c r="E3214" s="69"/>
      <c r="FT3214" s="45"/>
    </row>
    <row r="3215" spans="5:176" x14ac:dyDescent="0.2">
      <c r="E3215" s="69"/>
      <c r="FT3215" s="45"/>
    </row>
    <row r="3216" spans="5:176" x14ac:dyDescent="0.2">
      <c r="E3216" s="69"/>
      <c r="FT3216" s="45"/>
    </row>
    <row r="3217" spans="5:176" x14ac:dyDescent="0.2">
      <c r="E3217" s="69"/>
      <c r="FT3217" s="45"/>
    </row>
    <row r="3218" spans="5:176" x14ac:dyDescent="0.2">
      <c r="E3218" s="69"/>
      <c r="FT3218" s="45"/>
    </row>
    <row r="3219" spans="5:176" x14ac:dyDescent="0.2">
      <c r="E3219" s="69"/>
      <c r="FT3219" s="45"/>
    </row>
    <row r="3220" spans="5:176" x14ac:dyDescent="0.2">
      <c r="E3220" s="69"/>
      <c r="FT3220" s="45"/>
    </row>
    <row r="3221" spans="5:176" x14ac:dyDescent="0.2">
      <c r="E3221" s="69"/>
      <c r="FT3221" s="45"/>
    </row>
    <row r="3222" spans="5:176" x14ac:dyDescent="0.2">
      <c r="E3222" s="69"/>
      <c r="FT3222" s="45"/>
    </row>
    <row r="3223" spans="5:176" x14ac:dyDescent="0.2">
      <c r="E3223" s="69"/>
      <c r="FT3223" s="45"/>
    </row>
    <row r="3224" spans="5:176" x14ac:dyDescent="0.2">
      <c r="E3224" s="69"/>
      <c r="FT3224" s="45"/>
    </row>
    <row r="3225" spans="5:176" x14ac:dyDescent="0.2">
      <c r="E3225" s="69"/>
      <c r="FT3225" s="45"/>
    </row>
    <row r="3226" spans="5:176" x14ac:dyDescent="0.2">
      <c r="E3226" s="69"/>
      <c r="FT3226" s="45"/>
    </row>
    <row r="3227" spans="5:176" x14ac:dyDescent="0.2">
      <c r="E3227" s="69"/>
      <c r="FT3227" s="45"/>
    </row>
    <row r="3228" spans="5:176" x14ac:dyDescent="0.2">
      <c r="E3228" s="69"/>
      <c r="FT3228" s="45"/>
    </row>
    <row r="3229" spans="5:176" x14ac:dyDescent="0.2">
      <c r="E3229" s="69"/>
      <c r="FT3229" s="45"/>
    </row>
    <row r="3230" spans="5:176" x14ac:dyDescent="0.2">
      <c r="E3230" s="69"/>
      <c r="FT3230" s="45"/>
    </row>
    <row r="3231" spans="5:176" x14ac:dyDescent="0.2">
      <c r="E3231" s="69"/>
      <c r="FT3231" s="45"/>
    </row>
    <row r="3232" spans="5:176" x14ac:dyDescent="0.2">
      <c r="E3232" s="69"/>
      <c r="FT3232" s="45"/>
    </row>
    <row r="3233" spans="5:176" x14ac:dyDescent="0.2">
      <c r="E3233" s="69"/>
      <c r="FT3233" s="45"/>
    </row>
    <row r="3234" spans="5:176" x14ac:dyDescent="0.2">
      <c r="E3234" s="69"/>
      <c r="FT3234" s="45"/>
    </row>
    <row r="3235" spans="5:176" x14ac:dyDescent="0.2">
      <c r="E3235" s="69"/>
      <c r="FT3235" s="45"/>
    </row>
    <row r="3236" spans="5:176" x14ac:dyDescent="0.2">
      <c r="E3236" s="69"/>
      <c r="FT3236" s="45"/>
    </row>
    <row r="3237" spans="5:176" x14ac:dyDescent="0.2">
      <c r="E3237" s="69"/>
      <c r="FT3237" s="45"/>
    </row>
    <row r="3238" spans="5:176" x14ac:dyDescent="0.2">
      <c r="E3238" s="69"/>
      <c r="FT3238" s="45"/>
    </row>
    <row r="3239" spans="5:176" x14ac:dyDescent="0.2">
      <c r="E3239" s="69"/>
      <c r="FT3239" s="45"/>
    </row>
    <row r="3240" spans="5:176" x14ac:dyDescent="0.2">
      <c r="E3240" s="69"/>
      <c r="FT3240" s="45"/>
    </row>
    <row r="3241" spans="5:176" x14ac:dyDescent="0.2">
      <c r="E3241" s="69"/>
      <c r="FT3241" s="45"/>
    </row>
    <row r="3242" spans="5:176" x14ac:dyDescent="0.2">
      <c r="E3242" s="69"/>
      <c r="FT3242" s="45"/>
    </row>
    <row r="3243" spans="5:176" x14ac:dyDescent="0.2">
      <c r="E3243" s="69"/>
      <c r="FT3243" s="45"/>
    </row>
    <row r="3244" spans="5:176" x14ac:dyDescent="0.2">
      <c r="E3244" s="69"/>
      <c r="FT3244" s="45"/>
    </row>
    <row r="3245" spans="5:176" x14ac:dyDescent="0.2">
      <c r="E3245" s="69"/>
      <c r="FT3245" s="45"/>
    </row>
    <row r="3246" spans="5:176" x14ac:dyDescent="0.2">
      <c r="E3246" s="69"/>
      <c r="FT3246" s="45"/>
    </row>
    <row r="3247" spans="5:176" x14ac:dyDescent="0.2">
      <c r="E3247" s="69"/>
      <c r="FT3247" s="45"/>
    </row>
    <row r="3248" spans="5:176" x14ac:dyDescent="0.2">
      <c r="E3248" s="69"/>
      <c r="FT3248" s="45"/>
    </row>
    <row r="3249" spans="5:176" x14ac:dyDescent="0.2">
      <c r="E3249" s="69"/>
      <c r="FT3249" s="45"/>
    </row>
    <row r="3250" spans="5:176" x14ac:dyDescent="0.2">
      <c r="E3250" s="69"/>
      <c r="FT3250" s="45"/>
    </row>
    <row r="3251" spans="5:176" x14ac:dyDescent="0.2">
      <c r="E3251" s="69"/>
      <c r="FT3251" s="45"/>
    </row>
    <row r="3252" spans="5:176" x14ac:dyDescent="0.2">
      <c r="E3252" s="69"/>
      <c r="FT3252" s="45"/>
    </row>
    <row r="3253" spans="5:176" x14ac:dyDescent="0.2">
      <c r="E3253" s="69"/>
      <c r="FT3253" s="45"/>
    </row>
    <row r="3254" spans="5:176" x14ac:dyDescent="0.2">
      <c r="E3254" s="69"/>
      <c r="FT3254" s="45"/>
    </row>
    <row r="3255" spans="5:176" x14ac:dyDescent="0.2">
      <c r="E3255" s="69"/>
      <c r="FT3255" s="45"/>
    </row>
    <row r="3256" spans="5:176" x14ac:dyDescent="0.2">
      <c r="E3256" s="69"/>
      <c r="FT3256" s="45"/>
    </row>
    <row r="3257" spans="5:176" x14ac:dyDescent="0.2">
      <c r="E3257" s="69"/>
      <c r="FT3257" s="45"/>
    </row>
    <row r="3258" spans="5:176" x14ac:dyDescent="0.2">
      <c r="E3258" s="69"/>
      <c r="FT3258" s="45"/>
    </row>
    <row r="3259" spans="5:176" x14ac:dyDescent="0.2">
      <c r="E3259" s="69"/>
      <c r="FT3259" s="45"/>
    </row>
    <row r="3260" spans="5:176" x14ac:dyDescent="0.2">
      <c r="E3260" s="69"/>
      <c r="FT3260" s="45"/>
    </row>
    <row r="3261" spans="5:176" x14ac:dyDescent="0.2">
      <c r="E3261" s="69"/>
      <c r="FT3261" s="45"/>
    </row>
    <row r="3262" spans="5:176" x14ac:dyDescent="0.2">
      <c r="E3262" s="69"/>
      <c r="FT3262" s="45"/>
    </row>
    <row r="3263" spans="5:176" x14ac:dyDescent="0.2">
      <c r="E3263" s="69"/>
      <c r="FT3263" s="45"/>
    </row>
    <row r="3264" spans="5:176" x14ac:dyDescent="0.2">
      <c r="E3264" s="69"/>
      <c r="FT3264" s="45"/>
    </row>
    <row r="3265" spans="5:176" x14ac:dyDescent="0.2">
      <c r="E3265" s="69"/>
      <c r="FT3265" s="45"/>
    </row>
    <row r="3266" spans="5:176" x14ac:dyDescent="0.2">
      <c r="E3266" s="69"/>
      <c r="FT3266" s="45"/>
    </row>
    <row r="3267" spans="5:176" x14ac:dyDescent="0.2">
      <c r="E3267" s="69"/>
      <c r="FT3267" s="45"/>
    </row>
    <row r="3268" spans="5:176" x14ac:dyDescent="0.2">
      <c r="E3268" s="69"/>
      <c r="FT3268" s="45"/>
    </row>
    <row r="3269" spans="5:176" x14ac:dyDescent="0.2">
      <c r="E3269" s="69"/>
      <c r="FT3269" s="45"/>
    </row>
    <row r="3270" spans="5:176" x14ac:dyDescent="0.2">
      <c r="E3270" s="69"/>
      <c r="FT3270" s="45"/>
    </row>
    <row r="3271" spans="5:176" x14ac:dyDescent="0.2">
      <c r="E3271" s="69"/>
      <c r="FT3271" s="45"/>
    </row>
    <row r="3272" spans="5:176" x14ac:dyDescent="0.2">
      <c r="E3272" s="69"/>
      <c r="FT3272" s="45"/>
    </row>
    <row r="3273" spans="5:176" x14ac:dyDescent="0.2">
      <c r="E3273" s="69"/>
      <c r="FT3273" s="45"/>
    </row>
    <row r="3274" spans="5:176" x14ac:dyDescent="0.2">
      <c r="E3274" s="69"/>
      <c r="FT3274" s="45"/>
    </row>
    <row r="3275" spans="5:176" x14ac:dyDescent="0.2">
      <c r="E3275" s="69"/>
      <c r="FT3275" s="45"/>
    </row>
    <row r="3276" spans="5:176" x14ac:dyDescent="0.2">
      <c r="E3276" s="69"/>
      <c r="FT3276" s="45"/>
    </row>
    <row r="3277" spans="5:176" x14ac:dyDescent="0.2">
      <c r="E3277" s="69"/>
      <c r="FT3277" s="45"/>
    </row>
    <row r="3278" spans="5:176" x14ac:dyDescent="0.2">
      <c r="E3278" s="69"/>
      <c r="FT3278" s="45"/>
    </row>
    <row r="3279" spans="5:176" x14ac:dyDescent="0.2">
      <c r="E3279" s="69"/>
      <c r="FT3279" s="45"/>
    </row>
    <row r="3280" spans="5:176" x14ac:dyDescent="0.2">
      <c r="E3280" s="69"/>
      <c r="FT3280" s="45"/>
    </row>
    <row r="3281" spans="5:176" x14ac:dyDescent="0.2">
      <c r="E3281" s="69"/>
      <c r="FT3281" s="45"/>
    </row>
    <row r="3282" spans="5:176" x14ac:dyDescent="0.2">
      <c r="E3282" s="69"/>
      <c r="FT3282" s="45"/>
    </row>
    <row r="3283" spans="5:176" x14ac:dyDescent="0.2">
      <c r="E3283" s="69"/>
      <c r="FT3283" s="45"/>
    </row>
    <row r="3284" spans="5:176" x14ac:dyDescent="0.2">
      <c r="E3284" s="69"/>
      <c r="FT3284" s="45"/>
    </row>
    <row r="3285" spans="5:176" x14ac:dyDescent="0.2">
      <c r="E3285" s="69"/>
      <c r="FT3285" s="45"/>
    </row>
    <row r="3286" spans="5:176" x14ac:dyDescent="0.2">
      <c r="E3286" s="69"/>
      <c r="FT3286" s="45"/>
    </row>
    <row r="3287" spans="5:176" x14ac:dyDescent="0.2">
      <c r="E3287" s="69"/>
      <c r="FT3287" s="45"/>
    </row>
    <row r="3288" spans="5:176" x14ac:dyDescent="0.2">
      <c r="E3288" s="69"/>
      <c r="FT3288" s="45"/>
    </row>
    <row r="3289" spans="5:176" x14ac:dyDescent="0.2">
      <c r="E3289" s="69"/>
      <c r="FT3289" s="45"/>
    </row>
    <row r="3290" spans="5:176" x14ac:dyDescent="0.2">
      <c r="E3290" s="69"/>
      <c r="FT3290" s="45"/>
    </row>
    <row r="3291" spans="5:176" x14ac:dyDescent="0.2">
      <c r="E3291" s="69"/>
      <c r="FT3291" s="45"/>
    </row>
    <row r="3292" spans="5:176" x14ac:dyDescent="0.2">
      <c r="E3292" s="69"/>
      <c r="FT3292" s="45"/>
    </row>
    <row r="3293" spans="5:176" x14ac:dyDescent="0.2">
      <c r="E3293" s="69"/>
      <c r="FT3293" s="45"/>
    </row>
    <row r="3294" spans="5:176" x14ac:dyDescent="0.2">
      <c r="E3294" s="69"/>
      <c r="FT3294" s="45"/>
    </row>
    <row r="3295" spans="5:176" x14ac:dyDescent="0.2">
      <c r="E3295" s="69"/>
      <c r="FT3295" s="45"/>
    </row>
    <row r="3296" spans="5:176" x14ac:dyDescent="0.2">
      <c r="E3296" s="69"/>
      <c r="FT3296" s="45"/>
    </row>
    <row r="3297" spans="5:176" x14ac:dyDescent="0.2">
      <c r="E3297" s="69"/>
      <c r="FT3297" s="45"/>
    </row>
    <row r="3298" spans="5:176" x14ac:dyDescent="0.2">
      <c r="E3298" s="69"/>
      <c r="FT3298" s="45"/>
    </row>
    <row r="3299" spans="5:176" x14ac:dyDescent="0.2">
      <c r="E3299" s="69"/>
      <c r="FT3299" s="45"/>
    </row>
    <row r="3300" spans="5:176" x14ac:dyDescent="0.2">
      <c r="E3300" s="69"/>
      <c r="FT3300" s="45"/>
    </row>
    <row r="3301" spans="5:176" x14ac:dyDescent="0.2">
      <c r="E3301" s="69"/>
      <c r="FT3301" s="45"/>
    </row>
    <row r="3302" spans="5:176" x14ac:dyDescent="0.2">
      <c r="E3302" s="69"/>
      <c r="FT3302" s="45"/>
    </row>
    <row r="3303" spans="5:176" x14ac:dyDescent="0.2">
      <c r="E3303" s="69"/>
      <c r="FT3303" s="45"/>
    </row>
    <row r="3304" spans="5:176" x14ac:dyDescent="0.2">
      <c r="E3304" s="69"/>
      <c r="FT3304" s="45"/>
    </row>
    <row r="3305" spans="5:176" x14ac:dyDescent="0.2">
      <c r="E3305" s="69"/>
      <c r="FT3305" s="45"/>
    </row>
    <row r="3306" spans="5:176" x14ac:dyDescent="0.2">
      <c r="E3306" s="69"/>
      <c r="FT3306" s="45"/>
    </row>
    <row r="3307" spans="5:176" x14ac:dyDescent="0.2">
      <c r="E3307" s="69"/>
      <c r="FT3307" s="45"/>
    </row>
    <row r="3308" spans="5:176" x14ac:dyDescent="0.2">
      <c r="E3308" s="69"/>
      <c r="FT3308" s="45"/>
    </row>
    <row r="3309" spans="5:176" x14ac:dyDescent="0.2">
      <c r="E3309" s="69"/>
      <c r="FT3309" s="45"/>
    </row>
    <row r="3310" spans="5:176" x14ac:dyDescent="0.2">
      <c r="E3310" s="69"/>
      <c r="FT3310" s="45"/>
    </row>
    <row r="3311" spans="5:176" x14ac:dyDescent="0.2">
      <c r="E3311" s="69"/>
      <c r="FT3311" s="45"/>
    </row>
    <row r="3312" spans="5:176" x14ac:dyDescent="0.2">
      <c r="E3312" s="69"/>
      <c r="FT3312" s="45"/>
    </row>
    <row r="3313" spans="5:176" x14ac:dyDescent="0.2">
      <c r="E3313" s="69"/>
      <c r="FT3313" s="45"/>
    </row>
    <row r="3314" spans="5:176" x14ac:dyDescent="0.2">
      <c r="E3314" s="69"/>
      <c r="FT3314" s="45"/>
    </row>
    <row r="3315" spans="5:176" x14ac:dyDescent="0.2">
      <c r="E3315" s="69"/>
      <c r="FT3315" s="45"/>
    </row>
    <row r="3316" spans="5:176" x14ac:dyDescent="0.2">
      <c r="E3316" s="69"/>
      <c r="FT3316" s="45"/>
    </row>
    <row r="3317" spans="5:176" x14ac:dyDescent="0.2">
      <c r="E3317" s="69"/>
      <c r="FT3317" s="45"/>
    </row>
    <row r="3318" spans="5:176" x14ac:dyDescent="0.2">
      <c r="E3318" s="69"/>
      <c r="FT3318" s="45"/>
    </row>
    <row r="3319" spans="5:176" x14ac:dyDescent="0.2">
      <c r="E3319" s="69"/>
      <c r="FT3319" s="45"/>
    </row>
    <row r="3320" spans="5:176" x14ac:dyDescent="0.2">
      <c r="E3320" s="69"/>
      <c r="FT3320" s="45"/>
    </row>
    <row r="3321" spans="5:176" x14ac:dyDescent="0.2">
      <c r="E3321" s="69"/>
      <c r="FT3321" s="45"/>
    </row>
    <row r="3322" spans="5:176" x14ac:dyDescent="0.2">
      <c r="E3322" s="69"/>
      <c r="FT3322" s="45"/>
    </row>
    <row r="3323" spans="5:176" x14ac:dyDescent="0.2">
      <c r="E3323" s="69"/>
      <c r="FT3323" s="45"/>
    </row>
    <row r="3324" spans="5:176" x14ac:dyDescent="0.2">
      <c r="E3324" s="69"/>
      <c r="FT3324" s="45"/>
    </row>
    <row r="3325" spans="5:176" x14ac:dyDescent="0.2">
      <c r="E3325" s="69"/>
      <c r="FT3325" s="45"/>
    </row>
    <row r="3326" spans="5:176" x14ac:dyDescent="0.2">
      <c r="E3326" s="69"/>
      <c r="FT3326" s="45"/>
    </row>
    <row r="3327" spans="5:176" x14ac:dyDescent="0.2">
      <c r="E3327" s="69"/>
      <c r="FT3327" s="45"/>
    </row>
    <row r="3328" spans="5:176" x14ac:dyDescent="0.2">
      <c r="E3328" s="69"/>
      <c r="FT3328" s="45"/>
    </row>
    <row r="3329" spans="5:176" x14ac:dyDescent="0.2">
      <c r="E3329" s="69"/>
      <c r="FT3329" s="45"/>
    </row>
    <row r="3330" spans="5:176" x14ac:dyDescent="0.2">
      <c r="E3330" s="69"/>
      <c r="FT3330" s="45"/>
    </row>
    <row r="3331" spans="5:176" x14ac:dyDescent="0.2">
      <c r="E3331" s="69"/>
      <c r="FT3331" s="45"/>
    </row>
    <row r="3332" spans="5:176" x14ac:dyDescent="0.2">
      <c r="E3332" s="69"/>
      <c r="FT3332" s="45"/>
    </row>
    <row r="3333" spans="5:176" x14ac:dyDescent="0.2">
      <c r="E3333" s="69"/>
      <c r="FT3333" s="45"/>
    </row>
    <row r="3334" spans="5:176" x14ac:dyDescent="0.2">
      <c r="E3334" s="69"/>
      <c r="FT3334" s="45"/>
    </row>
    <row r="3335" spans="5:176" x14ac:dyDescent="0.2">
      <c r="E3335" s="69"/>
      <c r="FT3335" s="45"/>
    </row>
    <row r="3336" spans="5:176" x14ac:dyDescent="0.2">
      <c r="E3336" s="69"/>
      <c r="FT3336" s="45"/>
    </row>
    <row r="3337" spans="5:176" x14ac:dyDescent="0.2">
      <c r="E3337" s="69"/>
      <c r="FT3337" s="45"/>
    </row>
    <row r="3338" spans="5:176" x14ac:dyDescent="0.2">
      <c r="E3338" s="69"/>
      <c r="FT3338" s="45"/>
    </row>
    <row r="3339" spans="5:176" x14ac:dyDescent="0.2">
      <c r="E3339" s="69"/>
      <c r="FT3339" s="45"/>
    </row>
    <row r="3340" spans="5:176" x14ac:dyDescent="0.2">
      <c r="E3340" s="69"/>
      <c r="FT3340" s="45"/>
    </row>
    <row r="3341" spans="5:176" x14ac:dyDescent="0.2">
      <c r="E3341" s="69"/>
      <c r="FT3341" s="45"/>
    </row>
    <row r="3342" spans="5:176" x14ac:dyDescent="0.2">
      <c r="E3342" s="69"/>
      <c r="FT3342" s="45"/>
    </row>
    <row r="3343" spans="5:176" x14ac:dyDescent="0.2">
      <c r="E3343" s="69"/>
      <c r="FT3343" s="45"/>
    </row>
    <row r="3344" spans="5:176" x14ac:dyDescent="0.2">
      <c r="E3344" s="69"/>
      <c r="FT3344" s="45"/>
    </row>
    <row r="3345" spans="5:176" x14ac:dyDescent="0.2">
      <c r="E3345" s="69"/>
      <c r="FT3345" s="45"/>
    </row>
    <row r="3346" spans="5:176" x14ac:dyDescent="0.2">
      <c r="E3346" s="69"/>
      <c r="FT3346" s="45"/>
    </row>
    <row r="3347" spans="5:176" x14ac:dyDescent="0.2">
      <c r="E3347" s="69"/>
      <c r="FT3347" s="45"/>
    </row>
    <row r="3348" spans="5:176" x14ac:dyDescent="0.2">
      <c r="E3348" s="69"/>
      <c r="FT3348" s="45"/>
    </row>
    <row r="3349" spans="5:176" x14ac:dyDescent="0.2">
      <c r="E3349" s="69"/>
      <c r="FT3349" s="45"/>
    </row>
    <row r="3350" spans="5:176" x14ac:dyDescent="0.2">
      <c r="E3350" s="69"/>
      <c r="FT3350" s="45"/>
    </row>
    <row r="3351" spans="5:176" x14ac:dyDescent="0.2">
      <c r="E3351" s="69"/>
      <c r="FT3351" s="45"/>
    </row>
    <row r="3352" spans="5:176" x14ac:dyDescent="0.2">
      <c r="E3352" s="69"/>
      <c r="FT3352" s="45"/>
    </row>
    <row r="3353" spans="5:176" x14ac:dyDescent="0.2">
      <c r="E3353" s="69"/>
      <c r="FT3353" s="45"/>
    </row>
    <row r="3354" spans="5:176" x14ac:dyDescent="0.2">
      <c r="E3354" s="69"/>
      <c r="FT3354" s="45"/>
    </row>
    <row r="3355" spans="5:176" x14ac:dyDescent="0.2">
      <c r="E3355" s="69"/>
      <c r="FT3355" s="45"/>
    </row>
    <row r="3356" spans="5:176" x14ac:dyDescent="0.2">
      <c r="E3356" s="69"/>
      <c r="FT3356" s="45"/>
    </row>
    <row r="3357" spans="5:176" x14ac:dyDescent="0.2">
      <c r="E3357" s="69"/>
      <c r="FT3357" s="45"/>
    </row>
    <row r="3358" spans="5:176" x14ac:dyDescent="0.2">
      <c r="E3358" s="69"/>
      <c r="FT3358" s="45"/>
    </row>
    <row r="3359" spans="5:176" x14ac:dyDescent="0.2">
      <c r="E3359" s="69"/>
      <c r="FT3359" s="45"/>
    </row>
    <row r="3360" spans="5:176" x14ac:dyDescent="0.2">
      <c r="E3360" s="69"/>
      <c r="FT3360" s="45"/>
    </row>
    <row r="3361" spans="5:176" x14ac:dyDescent="0.2">
      <c r="E3361" s="69"/>
      <c r="FT3361" s="45"/>
    </row>
    <row r="3362" spans="5:176" x14ac:dyDescent="0.2">
      <c r="E3362" s="69"/>
      <c r="FT3362" s="45"/>
    </row>
    <row r="3363" spans="5:176" x14ac:dyDescent="0.2">
      <c r="E3363" s="69"/>
      <c r="FT3363" s="45"/>
    </row>
    <row r="3364" spans="5:176" x14ac:dyDescent="0.2">
      <c r="E3364" s="69"/>
      <c r="FT3364" s="45"/>
    </row>
    <row r="3365" spans="5:176" x14ac:dyDescent="0.2">
      <c r="E3365" s="69"/>
      <c r="FT3365" s="45"/>
    </row>
    <row r="3366" spans="5:176" x14ac:dyDescent="0.2">
      <c r="E3366" s="69"/>
      <c r="FT3366" s="45"/>
    </row>
    <row r="3367" spans="5:176" x14ac:dyDescent="0.2">
      <c r="E3367" s="69"/>
      <c r="FT3367" s="45"/>
    </row>
    <row r="3368" spans="5:176" x14ac:dyDescent="0.2">
      <c r="E3368" s="69"/>
      <c r="FT3368" s="45"/>
    </row>
    <row r="3369" spans="5:176" x14ac:dyDescent="0.2">
      <c r="E3369" s="69"/>
      <c r="FT3369" s="45"/>
    </row>
    <row r="3370" spans="5:176" x14ac:dyDescent="0.2">
      <c r="E3370" s="69"/>
      <c r="FT3370" s="45"/>
    </row>
    <row r="3371" spans="5:176" x14ac:dyDescent="0.2">
      <c r="E3371" s="69"/>
      <c r="FT3371" s="45"/>
    </row>
    <row r="3372" spans="5:176" x14ac:dyDescent="0.2">
      <c r="E3372" s="69"/>
      <c r="FT3372" s="45"/>
    </row>
    <row r="3373" spans="5:176" x14ac:dyDescent="0.2">
      <c r="E3373" s="69"/>
      <c r="FT3373" s="45"/>
    </row>
    <row r="3374" spans="5:176" x14ac:dyDescent="0.2">
      <c r="E3374" s="69"/>
      <c r="FT3374" s="45"/>
    </row>
    <row r="3375" spans="5:176" x14ac:dyDescent="0.2">
      <c r="E3375" s="69"/>
      <c r="FT3375" s="45"/>
    </row>
    <row r="3376" spans="5:176" x14ac:dyDescent="0.2">
      <c r="E3376" s="69"/>
      <c r="FT3376" s="45"/>
    </row>
    <row r="3377" spans="5:176" x14ac:dyDescent="0.2">
      <c r="E3377" s="69"/>
      <c r="FT3377" s="45"/>
    </row>
    <row r="3378" spans="5:176" x14ac:dyDescent="0.2">
      <c r="E3378" s="69"/>
      <c r="FT3378" s="45"/>
    </row>
    <row r="3379" spans="5:176" x14ac:dyDescent="0.2">
      <c r="E3379" s="69"/>
      <c r="FT3379" s="45"/>
    </row>
    <row r="3380" spans="5:176" x14ac:dyDescent="0.2">
      <c r="E3380" s="69"/>
      <c r="FT3380" s="45"/>
    </row>
    <row r="3381" spans="5:176" x14ac:dyDescent="0.2">
      <c r="E3381" s="69"/>
      <c r="FT3381" s="45"/>
    </row>
    <row r="3382" spans="5:176" x14ac:dyDescent="0.2">
      <c r="E3382" s="69"/>
      <c r="FT3382" s="45"/>
    </row>
    <row r="3383" spans="5:176" x14ac:dyDescent="0.2">
      <c r="E3383" s="69"/>
      <c r="FT3383" s="45"/>
    </row>
    <row r="3384" spans="5:176" x14ac:dyDescent="0.2">
      <c r="E3384" s="69"/>
      <c r="FT3384" s="45"/>
    </row>
    <row r="3385" spans="5:176" x14ac:dyDescent="0.2">
      <c r="E3385" s="69"/>
      <c r="FT3385" s="45"/>
    </row>
    <row r="3386" spans="5:176" x14ac:dyDescent="0.2">
      <c r="E3386" s="69"/>
      <c r="FT3386" s="45"/>
    </row>
    <row r="3387" spans="5:176" x14ac:dyDescent="0.2">
      <c r="E3387" s="69"/>
      <c r="FT3387" s="45"/>
    </row>
    <row r="3388" spans="5:176" x14ac:dyDescent="0.2">
      <c r="E3388" s="69"/>
      <c r="FT3388" s="45"/>
    </row>
    <row r="3389" spans="5:176" x14ac:dyDescent="0.2">
      <c r="E3389" s="69"/>
      <c r="FT3389" s="45"/>
    </row>
    <row r="3390" spans="5:176" x14ac:dyDescent="0.2">
      <c r="E3390" s="69"/>
      <c r="FT3390" s="45"/>
    </row>
    <row r="3391" spans="5:176" x14ac:dyDescent="0.2">
      <c r="E3391" s="69"/>
      <c r="FT3391" s="45"/>
    </row>
    <row r="3392" spans="5:176" x14ac:dyDescent="0.2">
      <c r="E3392" s="69"/>
      <c r="FT3392" s="45"/>
    </row>
    <row r="3393" spans="5:176" x14ac:dyDescent="0.2">
      <c r="E3393" s="69"/>
      <c r="FT3393" s="45"/>
    </row>
    <row r="3394" spans="5:176" x14ac:dyDescent="0.2">
      <c r="E3394" s="69"/>
      <c r="FT3394" s="45"/>
    </row>
    <row r="3395" spans="5:176" x14ac:dyDescent="0.2">
      <c r="E3395" s="69"/>
      <c r="FT3395" s="45"/>
    </row>
    <row r="3396" spans="5:176" x14ac:dyDescent="0.2">
      <c r="E3396" s="69"/>
      <c r="FT3396" s="45"/>
    </row>
    <row r="3397" spans="5:176" x14ac:dyDescent="0.2">
      <c r="E3397" s="69"/>
      <c r="FT3397" s="45"/>
    </row>
    <row r="3398" spans="5:176" x14ac:dyDescent="0.2">
      <c r="E3398" s="69"/>
      <c r="FT3398" s="45"/>
    </row>
    <row r="3399" spans="5:176" x14ac:dyDescent="0.2">
      <c r="E3399" s="69"/>
      <c r="FT3399" s="45"/>
    </row>
    <row r="3400" spans="5:176" x14ac:dyDescent="0.2">
      <c r="E3400" s="69"/>
      <c r="FT3400" s="45"/>
    </row>
    <row r="3401" spans="5:176" x14ac:dyDescent="0.2">
      <c r="E3401" s="69"/>
      <c r="FT3401" s="45"/>
    </row>
    <row r="3402" spans="5:176" x14ac:dyDescent="0.2">
      <c r="E3402" s="69"/>
      <c r="FT3402" s="45"/>
    </row>
    <row r="3403" spans="5:176" x14ac:dyDescent="0.2">
      <c r="E3403" s="69"/>
      <c r="FT3403" s="45"/>
    </row>
    <row r="3404" spans="5:176" x14ac:dyDescent="0.2">
      <c r="E3404" s="69"/>
      <c r="FT3404" s="45"/>
    </row>
    <row r="3405" spans="5:176" x14ac:dyDescent="0.2">
      <c r="E3405" s="69"/>
      <c r="FT3405" s="45"/>
    </row>
    <row r="3406" spans="5:176" x14ac:dyDescent="0.2">
      <c r="E3406" s="69"/>
      <c r="FT3406" s="45"/>
    </row>
    <row r="3407" spans="5:176" x14ac:dyDescent="0.2">
      <c r="E3407" s="69"/>
      <c r="FT3407" s="45"/>
    </row>
    <row r="3408" spans="5:176" x14ac:dyDescent="0.2">
      <c r="E3408" s="69"/>
      <c r="FT3408" s="45"/>
    </row>
    <row r="3409" spans="5:176" x14ac:dyDescent="0.2">
      <c r="E3409" s="69"/>
      <c r="FT3409" s="45"/>
    </row>
    <row r="3410" spans="5:176" x14ac:dyDescent="0.2">
      <c r="E3410" s="69"/>
      <c r="FT3410" s="45"/>
    </row>
    <row r="3411" spans="5:176" x14ac:dyDescent="0.2">
      <c r="E3411" s="69"/>
      <c r="FT3411" s="45"/>
    </row>
    <row r="3412" spans="5:176" x14ac:dyDescent="0.2">
      <c r="E3412" s="69"/>
      <c r="FT3412" s="45"/>
    </row>
    <row r="3413" spans="5:176" x14ac:dyDescent="0.2">
      <c r="E3413" s="69"/>
      <c r="FT3413" s="45"/>
    </row>
    <row r="3414" spans="5:176" x14ac:dyDescent="0.2">
      <c r="E3414" s="69"/>
      <c r="FT3414" s="45"/>
    </row>
    <row r="3415" spans="5:176" x14ac:dyDescent="0.2">
      <c r="E3415" s="69"/>
      <c r="FT3415" s="45"/>
    </row>
    <row r="3416" spans="5:176" x14ac:dyDescent="0.2">
      <c r="E3416" s="69"/>
      <c r="FT3416" s="45"/>
    </row>
    <row r="3417" spans="5:176" x14ac:dyDescent="0.2">
      <c r="E3417" s="69"/>
      <c r="FT3417" s="45"/>
    </row>
    <row r="3418" spans="5:176" x14ac:dyDescent="0.2">
      <c r="E3418" s="69"/>
      <c r="FT3418" s="45"/>
    </row>
    <row r="3419" spans="5:176" x14ac:dyDescent="0.2">
      <c r="E3419" s="69"/>
      <c r="FT3419" s="45"/>
    </row>
    <row r="3420" spans="5:176" x14ac:dyDescent="0.2">
      <c r="E3420" s="69"/>
      <c r="FT3420" s="45"/>
    </row>
    <row r="3421" spans="5:176" x14ac:dyDescent="0.2">
      <c r="E3421" s="69"/>
      <c r="FT3421" s="45"/>
    </row>
    <row r="3422" spans="5:176" x14ac:dyDescent="0.2">
      <c r="E3422" s="69"/>
      <c r="FT3422" s="45"/>
    </row>
    <row r="3423" spans="5:176" x14ac:dyDescent="0.2">
      <c r="E3423" s="69"/>
      <c r="FT3423" s="45"/>
    </row>
    <row r="3424" spans="5:176" x14ac:dyDescent="0.2">
      <c r="E3424" s="69"/>
      <c r="FT3424" s="45"/>
    </row>
    <row r="3425" spans="5:176" x14ac:dyDescent="0.2">
      <c r="E3425" s="69"/>
      <c r="FT3425" s="45"/>
    </row>
    <row r="3426" spans="5:176" x14ac:dyDescent="0.2">
      <c r="E3426" s="69"/>
      <c r="FT3426" s="45"/>
    </row>
    <row r="3427" spans="5:176" x14ac:dyDescent="0.2">
      <c r="E3427" s="69"/>
      <c r="FT3427" s="45"/>
    </row>
    <row r="3428" spans="5:176" x14ac:dyDescent="0.2">
      <c r="E3428" s="69"/>
      <c r="FT3428" s="45"/>
    </row>
    <row r="3429" spans="5:176" x14ac:dyDescent="0.2">
      <c r="E3429" s="69"/>
      <c r="FT3429" s="45"/>
    </row>
    <row r="3430" spans="5:176" x14ac:dyDescent="0.2">
      <c r="E3430" s="69"/>
      <c r="FT3430" s="45"/>
    </row>
    <row r="3431" spans="5:176" x14ac:dyDescent="0.2">
      <c r="E3431" s="69"/>
      <c r="FT3431" s="45"/>
    </row>
    <row r="3432" spans="5:176" x14ac:dyDescent="0.2">
      <c r="E3432" s="69"/>
      <c r="FT3432" s="45"/>
    </row>
    <row r="3433" spans="5:176" x14ac:dyDescent="0.2">
      <c r="E3433" s="69"/>
      <c r="FT3433" s="45"/>
    </row>
    <row r="3434" spans="5:176" x14ac:dyDescent="0.2">
      <c r="E3434" s="69"/>
      <c r="FT3434" s="45"/>
    </row>
    <row r="3435" spans="5:176" x14ac:dyDescent="0.2">
      <c r="E3435" s="69"/>
      <c r="FT3435" s="45"/>
    </row>
    <row r="3436" spans="5:176" x14ac:dyDescent="0.2">
      <c r="E3436" s="69"/>
      <c r="FT3436" s="45"/>
    </row>
    <row r="3437" spans="5:176" x14ac:dyDescent="0.2">
      <c r="E3437" s="69"/>
      <c r="FT3437" s="45"/>
    </row>
    <row r="3438" spans="5:176" x14ac:dyDescent="0.2">
      <c r="E3438" s="69"/>
      <c r="FT3438" s="45"/>
    </row>
    <row r="3439" spans="5:176" x14ac:dyDescent="0.2">
      <c r="E3439" s="69"/>
      <c r="FT3439" s="45"/>
    </row>
    <row r="3440" spans="5:176" x14ac:dyDescent="0.2">
      <c r="E3440" s="69"/>
      <c r="FT3440" s="45"/>
    </row>
    <row r="3441" spans="5:176" x14ac:dyDescent="0.2">
      <c r="E3441" s="69"/>
      <c r="FT3441" s="45"/>
    </row>
    <row r="3442" spans="5:176" x14ac:dyDescent="0.2">
      <c r="E3442" s="69"/>
      <c r="FT3442" s="45"/>
    </row>
    <row r="3443" spans="5:176" x14ac:dyDescent="0.2">
      <c r="E3443" s="69"/>
      <c r="FT3443" s="45"/>
    </row>
    <row r="3444" spans="5:176" x14ac:dyDescent="0.2">
      <c r="E3444" s="69"/>
      <c r="FT3444" s="45"/>
    </row>
    <row r="3445" spans="5:176" x14ac:dyDescent="0.2">
      <c r="E3445" s="69"/>
      <c r="FT3445" s="45"/>
    </row>
    <row r="3446" spans="5:176" x14ac:dyDescent="0.2">
      <c r="E3446" s="69"/>
      <c r="FT3446" s="45"/>
    </row>
    <row r="3447" spans="5:176" x14ac:dyDescent="0.2">
      <c r="E3447" s="69"/>
      <c r="FT3447" s="45"/>
    </row>
    <row r="3448" spans="5:176" x14ac:dyDescent="0.2">
      <c r="E3448" s="69"/>
      <c r="FT3448" s="45"/>
    </row>
    <row r="3449" spans="5:176" x14ac:dyDescent="0.2">
      <c r="E3449" s="69"/>
      <c r="FT3449" s="45"/>
    </row>
    <row r="3450" spans="5:176" x14ac:dyDescent="0.2">
      <c r="E3450" s="69"/>
      <c r="FT3450" s="45"/>
    </row>
    <row r="3451" spans="5:176" x14ac:dyDescent="0.2">
      <c r="E3451" s="69"/>
      <c r="FT3451" s="45"/>
    </row>
    <row r="3452" spans="5:176" x14ac:dyDescent="0.2">
      <c r="E3452" s="69"/>
      <c r="FT3452" s="45"/>
    </row>
    <row r="3453" spans="5:176" x14ac:dyDescent="0.2">
      <c r="E3453" s="69"/>
      <c r="FT3453" s="45"/>
    </row>
    <row r="3454" spans="5:176" x14ac:dyDescent="0.2">
      <c r="E3454" s="69"/>
      <c r="FT3454" s="45"/>
    </row>
    <row r="3455" spans="5:176" x14ac:dyDescent="0.2">
      <c r="E3455" s="69"/>
      <c r="FT3455" s="45"/>
    </row>
    <row r="3456" spans="5:176" x14ac:dyDescent="0.2">
      <c r="E3456" s="69"/>
      <c r="FT3456" s="45"/>
    </row>
    <row r="3457" spans="5:176" x14ac:dyDescent="0.2">
      <c r="E3457" s="69"/>
      <c r="FT3457" s="45"/>
    </row>
    <row r="3458" spans="5:176" x14ac:dyDescent="0.2">
      <c r="E3458" s="69"/>
      <c r="FT3458" s="45"/>
    </row>
    <row r="3459" spans="5:176" x14ac:dyDescent="0.2">
      <c r="E3459" s="69"/>
      <c r="FT3459" s="45"/>
    </row>
    <row r="3460" spans="5:176" x14ac:dyDescent="0.2">
      <c r="E3460" s="69"/>
      <c r="FT3460" s="45"/>
    </row>
    <row r="3461" spans="5:176" x14ac:dyDescent="0.2">
      <c r="E3461" s="69"/>
      <c r="FT3461" s="45"/>
    </row>
    <row r="3462" spans="5:176" x14ac:dyDescent="0.2">
      <c r="E3462" s="69"/>
      <c r="FT3462" s="45"/>
    </row>
    <row r="3463" spans="5:176" x14ac:dyDescent="0.2">
      <c r="E3463" s="69"/>
      <c r="FT3463" s="45"/>
    </row>
    <row r="3464" spans="5:176" x14ac:dyDescent="0.2">
      <c r="E3464" s="69"/>
      <c r="FT3464" s="45"/>
    </row>
    <row r="3465" spans="5:176" x14ac:dyDescent="0.2">
      <c r="E3465" s="69"/>
      <c r="FT3465" s="45"/>
    </row>
    <row r="3466" spans="5:176" x14ac:dyDescent="0.2">
      <c r="E3466" s="69"/>
      <c r="FT3466" s="45"/>
    </row>
    <row r="3467" spans="5:176" x14ac:dyDescent="0.2">
      <c r="E3467" s="69"/>
      <c r="FT3467" s="45"/>
    </row>
    <row r="3468" spans="5:176" x14ac:dyDescent="0.2">
      <c r="E3468" s="69"/>
      <c r="FT3468" s="45"/>
    </row>
    <row r="3469" spans="5:176" x14ac:dyDescent="0.2">
      <c r="E3469" s="69"/>
      <c r="FT3469" s="45"/>
    </row>
    <row r="3470" spans="5:176" x14ac:dyDescent="0.2">
      <c r="E3470" s="69"/>
      <c r="FT3470" s="45"/>
    </row>
    <row r="3471" spans="5:176" x14ac:dyDescent="0.2">
      <c r="E3471" s="69"/>
      <c r="FT3471" s="45"/>
    </row>
    <row r="3472" spans="5:176" x14ac:dyDescent="0.2">
      <c r="E3472" s="69"/>
      <c r="FT3472" s="45"/>
    </row>
    <row r="3473" spans="5:176" x14ac:dyDescent="0.2">
      <c r="E3473" s="69"/>
      <c r="FT3473" s="45"/>
    </row>
    <row r="3474" spans="5:176" x14ac:dyDescent="0.2">
      <c r="E3474" s="69"/>
      <c r="FT3474" s="45"/>
    </row>
    <row r="3475" spans="5:176" x14ac:dyDescent="0.2">
      <c r="E3475" s="69"/>
      <c r="FT3475" s="45"/>
    </row>
    <row r="3476" spans="5:176" x14ac:dyDescent="0.2">
      <c r="E3476" s="69"/>
      <c r="FT3476" s="45"/>
    </row>
    <row r="3477" spans="5:176" x14ac:dyDescent="0.2">
      <c r="E3477" s="69"/>
      <c r="FT3477" s="45"/>
    </row>
    <row r="3478" spans="5:176" x14ac:dyDescent="0.2">
      <c r="E3478" s="69"/>
      <c r="FT3478" s="45"/>
    </row>
    <row r="3479" spans="5:176" x14ac:dyDescent="0.2">
      <c r="E3479" s="69"/>
      <c r="FT3479" s="45"/>
    </row>
    <row r="3480" spans="5:176" x14ac:dyDescent="0.2">
      <c r="E3480" s="69"/>
      <c r="FT3480" s="45"/>
    </row>
    <row r="3481" spans="5:176" x14ac:dyDescent="0.2">
      <c r="E3481" s="69"/>
      <c r="FT3481" s="45"/>
    </row>
    <row r="3482" spans="5:176" x14ac:dyDescent="0.2">
      <c r="E3482" s="69"/>
      <c r="FT3482" s="45"/>
    </row>
    <row r="3483" spans="5:176" x14ac:dyDescent="0.2">
      <c r="E3483" s="69"/>
      <c r="FT3483" s="45"/>
    </row>
    <row r="3484" spans="5:176" x14ac:dyDescent="0.2">
      <c r="E3484" s="69"/>
      <c r="FT3484" s="45"/>
    </row>
    <row r="3485" spans="5:176" x14ac:dyDescent="0.2">
      <c r="E3485" s="69"/>
      <c r="FT3485" s="45"/>
    </row>
    <row r="3486" spans="5:176" x14ac:dyDescent="0.2">
      <c r="E3486" s="69"/>
      <c r="FT3486" s="45"/>
    </row>
    <row r="3487" spans="5:176" x14ac:dyDescent="0.2">
      <c r="E3487" s="69"/>
      <c r="FT3487" s="45"/>
    </row>
    <row r="3488" spans="5:176" x14ac:dyDescent="0.2">
      <c r="E3488" s="69"/>
      <c r="FT3488" s="45"/>
    </row>
    <row r="3489" spans="5:176" x14ac:dyDescent="0.2">
      <c r="E3489" s="69"/>
      <c r="FT3489" s="45"/>
    </row>
    <row r="3490" spans="5:176" x14ac:dyDescent="0.2">
      <c r="E3490" s="69"/>
      <c r="FT3490" s="45"/>
    </row>
    <row r="3491" spans="5:176" x14ac:dyDescent="0.2">
      <c r="E3491" s="69"/>
      <c r="FT3491" s="45"/>
    </row>
    <row r="3492" spans="5:176" x14ac:dyDescent="0.2">
      <c r="E3492" s="69"/>
      <c r="FT3492" s="45"/>
    </row>
    <row r="3493" spans="5:176" x14ac:dyDescent="0.2">
      <c r="E3493" s="69"/>
      <c r="FT3493" s="45"/>
    </row>
    <row r="3494" spans="5:176" x14ac:dyDescent="0.2">
      <c r="E3494" s="69"/>
      <c r="FT3494" s="45"/>
    </row>
    <row r="3495" spans="5:176" x14ac:dyDescent="0.2">
      <c r="E3495" s="69"/>
      <c r="FT3495" s="45"/>
    </row>
    <row r="3496" spans="5:176" x14ac:dyDescent="0.2">
      <c r="E3496" s="69"/>
      <c r="FT3496" s="45"/>
    </row>
    <row r="3497" spans="5:176" x14ac:dyDescent="0.2">
      <c r="E3497" s="69"/>
      <c r="FT3497" s="45"/>
    </row>
    <row r="3498" spans="5:176" x14ac:dyDescent="0.2">
      <c r="E3498" s="69"/>
      <c r="FT3498" s="45"/>
    </row>
    <row r="3499" spans="5:176" x14ac:dyDescent="0.2">
      <c r="E3499" s="69"/>
      <c r="FT3499" s="45"/>
    </row>
    <row r="3500" spans="5:176" x14ac:dyDescent="0.2">
      <c r="E3500" s="69"/>
      <c r="FT3500" s="45"/>
    </row>
    <row r="3501" spans="5:176" x14ac:dyDescent="0.2">
      <c r="E3501" s="69"/>
      <c r="FT3501" s="45"/>
    </row>
    <row r="3502" spans="5:176" x14ac:dyDescent="0.2">
      <c r="E3502" s="69"/>
      <c r="FT3502" s="45"/>
    </row>
    <row r="3503" spans="5:176" x14ac:dyDescent="0.2">
      <c r="E3503" s="69"/>
      <c r="FT3503" s="45"/>
    </row>
    <row r="3504" spans="5:176" x14ac:dyDescent="0.2">
      <c r="E3504" s="69"/>
      <c r="FT3504" s="45"/>
    </row>
    <row r="3505" spans="5:176" x14ac:dyDescent="0.2">
      <c r="E3505" s="69"/>
      <c r="FT3505" s="45"/>
    </row>
    <row r="3506" spans="5:176" x14ac:dyDescent="0.2">
      <c r="E3506" s="69"/>
      <c r="FT3506" s="45"/>
    </row>
    <row r="3507" spans="5:176" x14ac:dyDescent="0.2">
      <c r="E3507" s="69"/>
      <c r="FT3507" s="45"/>
    </row>
    <row r="3508" spans="5:176" x14ac:dyDescent="0.2">
      <c r="E3508" s="69"/>
      <c r="FT3508" s="45"/>
    </row>
    <row r="3509" spans="5:176" x14ac:dyDescent="0.2">
      <c r="E3509" s="69"/>
      <c r="FT3509" s="45"/>
    </row>
    <row r="3510" spans="5:176" x14ac:dyDescent="0.2">
      <c r="E3510" s="69"/>
      <c r="FT3510" s="45"/>
    </row>
    <row r="3511" spans="5:176" x14ac:dyDescent="0.2">
      <c r="E3511" s="69"/>
      <c r="FT3511" s="45"/>
    </row>
    <row r="3512" spans="5:176" x14ac:dyDescent="0.2">
      <c r="E3512" s="69"/>
      <c r="FT3512" s="45"/>
    </row>
    <row r="3513" spans="5:176" x14ac:dyDescent="0.2">
      <c r="E3513" s="69"/>
      <c r="FT3513" s="45"/>
    </row>
    <row r="3514" spans="5:176" x14ac:dyDescent="0.2">
      <c r="E3514" s="69"/>
      <c r="FT3514" s="45"/>
    </row>
    <row r="3515" spans="5:176" x14ac:dyDescent="0.2">
      <c r="E3515" s="69"/>
      <c r="FT3515" s="45"/>
    </row>
    <row r="3516" spans="5:176" x14ac:dyDescent="0.2">
      <c r="E3516" s="69"/>
      <c r="FT3516" s="45"/>
    </row>
    <row r="3517" spans="5:176" x14ac:dyDescent="0.2">
      <c r="E3517" s="69"/>
      <c r="FT3517" s="45"/>
    </row>
    <row r="3518" spans="5:176" x14ac:dyDescent="0.2">
      <c r="E3518" s="69"/>
      <c r="FT3518" s="45"/>
    </row>
    <row r="3519" spans="5:176" x14ac:dyDescent="0.2">
      <c r="E3519" s="69"/>
      <c r="FT3519" s="45"/>
    </row>
    <row r="3520" spans="5:176" x14ac:dyDescent="0.2">
      <c r="E3520" s="69"/>
      <c r="FT3520" s="45"/>
    </row>
    <row r="3521" spans="5:176" x14ac:dyDescent="0.2">
      <c r="E3521" s="69"/>
      <c r="FT3521" s="45"/>
    </row>
    <row r="3522" spans="5:176" x14ac:dyDescent="0.2">
      <c r="E3522" s="69"/>
      <c r="FT3522" s="45"/>
    </row>
    <row r="3523" spans="5:176" x14ac:dyDescent="0.2">
      <c r="E3523" s="69"/>
      <c r="FT3523" s="45"/>
    </row>
    <row r="3524" spans="5:176" x14ac:dyDescent="0.2">
      <c r="E3524" s="69"/>
      <c r="FT3524" s="45"/>
    </row>
    <row r="3525" spans="5:176" x14ac:dyDescent="0.2">
      <c r="E3525" s="69"/>
      <c r="FT3525" s="45"/>
    </row>
    <row r="3526" spans="5:176" x14ac:dyDescent="0.2">
      <c r="E3526" s="69"/>
      <c r="FT3526" s="45"/>
    </row>
    <row r="3527" spans="5:176" x14ac:dyDescent="0.2">
      <c r="E3527" s="69"/>
      <c r="FT3527" s="45"/>
    </row>
    <row r="3528" spans="5:176" x14ac:dyDescent="0.2">
      <c r="E3528" s="69"/>
      <c r="FT3528" s="45"/>
    </row>
    <row r="3529" spans="5:176" x14ac:dyDescent="0.2">
      <c r="E3529" s="69"/>
      <c r="FT3529" s="45"/>
    </row>
    <row r="3530" spans="5:176" x14ac:dyDescent="0.2">
      <c r="E3530" s="69"/>
      <c r="FT3530" s="45"/>
    </row>
    <row r="3531" spans="5:176" x14ac:dyDescent="0.2">
      <c r="E3531" s="69"/>
      <c r="FT3531" s="45"/>
    </row>
    <row r="3532" spans="5:176" x14ac:dyDescent="0.2">
      <c r="E3532" s="69"/>
      <c r="FT3532" s="45"/>
    </row>
    <row r="3533" spans="5:176" x14ac:dyDescent="0.2">
      <c r="E3533" s="69"/>
      <c r="FT3533" s="45"/>
    </row>
    <row r="3534" spans="5:176" x14ac:dyDescent="0.2">
      <c r="E3534" s="69"/>
      <c r="FT3534" s="45"/>
    </row>
    <row r="3535" spans="5:176" x14ac:dyDescent="0.2">
      <c r="E3535" s="69"/>
      <c r="FT3535" s="45"/>
    </row>
    <row r="3536" spans="5:176" x14ac:dyDescent="0.2">
      <c r="E3536" s="69"/>
      <c r="FT3536" s="45"/>
    </row>
    <row r="3537" spans="5:176" x14ac:dyDescent="0.2">
      <c r="E3537" s="69"/>
      <c r="FT3537" s="45"/>
    </row>
    <row r="3538" spans="5:176" x14ac:dyDescent="0.2">
      <c r="E3538" s="69"/>
      <c r="FT3538" s="45"/>
    </row>
    <row r="3539" spans="5:176" x14ac:dyDescent="0.2">
      <c r="E3539" s="69"/>
      <c r="FT3539" s="45"/>
    </row>
    <row r="3540" spans="5:176" x14ac:dyDescent="0.2">
      <c r="E3540" s="69"/>
      <c r="FT3540" s="45"/>
    </row>
    <row r="3541" spans="5:176" x14ac:dyDescent="0.2">
      <c r="E3541" s="69"/>
      <c r="FT3541" s="45"/>
    </row>
    <row r="3542" spans="5:176" x14ac:dyDescent="0.2">
      <c r="E3542" s="69"/>
      <c r="FT3542" s="45"/>
    </row>
    <row r="3543" spans="5:176" x14ac:dyDescent="0.2">
      <c r="E3543" s="69"/>
      <c r="FT3543" s="45"/>
    </row>
    <row r="3544" spans="5:176" x14ac:dyDescent="0.2">
      <c r="E3544" s="69"/>
      <c r="FT3544" s="45"/>
    </row>
    <row r="3545" spans="5:176" x14ac:dyDescent="0.2">
      <c r="E3545" s="69"/>
      <c r="FT3545" s="45"/>
    </row>
    <row r="3546" spans="5:176" x14ac:dyDescent="0.2">
      <c r="E3546" s="69"/>
      <c r="FT3546" s="45"/>
    </row>
    <row r="3547" spans="5:176" x14ac:dyDescent="0.2">
      <c r="E3547" s="69"/>
      <c r="FT3547" s="45"/>
    </row>
    <row r="3548" spans="5:176" x14ac:dyDescent="0.2">
      <c r="E3548" s="69"/>
      <c r="FT3548" s="45"/>
    </row>
    <row r="3549" spans="5:176" x14ac:dyDescent="0.2">
      <c r="E3549" s="69"/>
      <c r="FT3549" s="45"/>
    </row>
    <row r="3550" spans="5:176" x14ac:dyDescent="0.2">
      <c r="E3550" s="69"/>
      <c r="FT3550" s="45"/>
    </row>
    <row r="3551" spans="5:176" x14ac:dyDescent="0.2">
      <c r="E3551" s="69"/>
      <c r="FT3551" s="45"/>
    </row>
    <row r="3552" spans="5:176" x14ac:dyDescent="0.2">
      <c r="E3552" s="69"/>
      <c r="FT3552" s="45"/>
    </row>
    <row r="3553" spans="5:176" x14ac:dyDescent="0.2">
      <c r="E3553" s="69"/>
      <c r="FT3553" s="45"/>
    </row>
    <row r="3554" spans="5:176" x14ac:dyDescent="0.2">
      <c r="E3554" s="69"/>
      <c r="FT3554" s="45"/>
    </row>
    <row r="3555" spans="5:176" x14ac:dyDescent="0.2">
      <c r="E3555" s="69"/>
      <c r="FT3555" s="45"/>
    </row>
    <row r="3556" spans="5:176" x14ac:dyDescent="0.2">
      <c r="E3556" s="69"/>
      <c r="FT3556" s="45"/>
    </row>
    <row r="3557" spans="5:176" x14ac:dyDescent="0.2">
      <c r="E3557" s="69"/>
      <c r="FT3557" s="45"/>
    </row>
    <row r="3558" spans="5:176" x14ac:dyDescent="0.2">
      <c r="E3558" s="69"/>
      <c r="FT3558" s="45"/>
    </row>
    <row r="3559" spans="5:176" x14ac:dyDescent="0.2">
      <c r="E3559" s="69"/>
      <c r="FT3559" s="45"/>
    </row>
    <row r="3560" spans="5:176" x14ac:dyDescent="0.2">
      <c r="E3560" s="69"/>
      <c r="FT3560" s="45"/>
    </row>
    <row r="3561" spans="5:176" x14ac:dyDescent="0.2">
      <c r="E3561" s="69"/>
      <c r="FT3561" s="45"/>
    </row>
    <row r="3562" spans="5:176" x14ac:dyDescent="0.2">
      <c r="E3562" s="69"/>
      <c r="FT3562" s="45"/>
    </row>
    <row r="3563" spans="5:176" x14ac:dyDescent="0.2">
      <c r="E3563" s="69"/>
      <c r="FT3563" s="45"/>
    </row>
    <row r="3564" spans="5:176" x14ac:dyDescent="0.2">
      <c r="E3564" s="69"/>
      <c r="FT3564" s="45"/>
    </row>
    <row r="3565" spans="5:176" x14ac:dyDescent="0.2">
      <c r="E3565" s="69"/>
      <c r="FT3565" s="45"/>
    </row>
    <row r="3566" spans="5:176" x14ac:dyDescent="0.2">
      <c r="E3566" s="69"/>
      <c r="FT3566" s="45"/>
    </row>
    <row r="3567" spans="5:176" x14ac:dyDescent="0.2">
      <c r="E3567" s="69"/>
      <c r="FT3567" s="45"/>
    </row>
    <row r="3568" spans="5:176" x14ac:dyDescent="0.2">
      <c r="E3568" s="69"/>
      <c r="FT3568" s="45"/>
    </row>
    <row r="3569" spans="5:176" x14ac:dyDescent="0.2">
      <c r="E3569" s="69"/>
      <c r="FT3569" s="45"/>
    </row>
    <row r="3570" spans="5:176" x14ac:dyDescent="0.2">
      <c r="E3570" s="69"/>
      <c r="FT3570" s="45"/>
    </row>
    <row r="3571" spans="5:176" x14ac:dyDescent="0.2">
      <c r="E3571" s="69"/>
      <c r="FT3571" s="45"/>
    </row>
    <row r="3572" spans="5:176" x14ac:dyDescent="0.2">
      <c r="E3572" s="69"/>
      <c r="FT3572" s="45"/>
    </row>
    <row r="3573" spans="5:176" x14ac:dyDescent="0.2">
      <c r="E3573" s="69"/>
      <c r="FT3573" s="45"/>
    </row>
    <row r="3574" spans="5:176" x14ac:dyDescent="0.2">
      <c r="E3574" s="69"/>
      <c r="FT3574" s="45"/>
    </row>
    <row r="3575" spans="5:176" x14ac:dyDescent="0.2">
      <c r="E3575" s="69"/>
      <c r="FT3575" s="45"/>
    </row>
    <row r="3576" spans="5:176" x14ac:dyDescent="0.2">
      <c r="E3576" s="69"/>
      <c r="FT3576" s="45"/>
    </row>
    <row r="3577" spans="5:176" x14ac:dyDescent="0.2">
      <c r="E3577" s="69"/>
      <c r="FT3577" s="45"/>
    </row>
    <row r="3578" spans="5:176" x14ac:dyDescent="0.2">
      <c r="E3578" s="69"/>
      <c r="FT3578" s="45"/>
    </row>
    <row r="3579" spans="5:176" x14ac:dyDescent="0.2">
      <c r="E3579" s="69"/>
      <c r="FT3579" s="45"/>
    </row>
    <row r="3580" spans="5:176" x14ac:dyDescent="0.2">
      <c r="E3580" s="69"/>
      <c r="FT3580" s="45"/>
    </row>
    <row r="3581" spans="5:176" x14ac:dyDescent="0.2">
      <c r="E3581" s="69"/>
      <c r="FT3581" s="45"/>
    </row>
    <row r="3582" spans="5:176" x14ac:dyDescent="0.2">
      <c r="E3582" s="69"/>
      <c r="FT3582" s="45"/>
    </row>
    <row r="3583" spans="5:176" x14ac:dyDescent="0.2">
      <c r="E3583" s="69"/>
      <c r="FT3583" s="45"/>
    </row>
    <row r="3584" spans="5:176" x14ac:dyDescent="0.2">
      <c r="E3584" s="69"/>
      <c r="FT3584" s="45"/>
    </row>
    <row r="3585" spans="5:176" x14ac:dyDescent="0.2">
      <c r="E3585" s="69"/>
      <c r="FT3585" s="45"/>
    </row>
    <row r="3586" spans="5:176" x14ac:dyDescent="0.2">
      <c r="E3586" s="69"/>
      <c r="FT3586" s="45"/>
    </row>
    <row r="3587" spans="5:176" x14ac:dyDescent="0.2">
      <c r="E3587" s="69"/>
      <c r="FT3587" s="45"/>
    </row>
    <row r="3588" spans="5:176" x14ac:dyDescent="0.2">
      <c r="E3588" s="69"/>
      <c r="FT3588" s="45"/>
    </row>
    <row r="3589" spans="5:176" x14ac:dyDescent="0.2">
      <c r="E3589" s="69"/>
      <c r="FT3589" s="45"/>
    </row>
    <row r="3590" spans="5:176" x14ac:dyDescent="0.2">
      <c r="E3590" s="69"/>
      <c r="FT3590" s="45"/>
    </row>
    <row r="3591" spans="5:176" x14ac:dyDescent="0.2">
      <c r="E3591" s="69"/>
      <c r="FT3591" s="45"/>
    </row>
    <row r="3592" spans="5:176" x14ac:dyDescent="0.2">
      <c r="E3592" s="69"/>
      <c r="FT3592" s="45"/>
    </row>
    <row r="3593" spans="5:176" x14ac:dyDescent="0.2">
      <c r="E3593" s="69"/>
      <c r="FT3593" s="45"/>
    </row>
    <row r="3594" spans="5:176" x14ac:dyDescent="0.2">
      <c r="E3594" s="69"/>
      <c r="FT3594" s="45"/>
    </row>
    <row r="3595" spans="5:176" x14ac:dyDescent="0.2">
      <c r="E3595" s="69"/>
      <c r="FT3595" s="45"/>
    </row>
    <row r="3596" spans="5:176" x14ac:dyDescent="0.2">
      <c r="E3596" s="69"/>
      <c r="FT3596" s="45"/>
    </row>
    <row r="3597" spans="5:176" x14ac:dyDescent="0.2">
      <c r="E3597" s="69"/>
      <c r="FT3597" s="45"/>
    </row>
    <row r="3598" spans="5:176" x14ac:dyDescent="0.2">
      <c r="E3598" s="69"/>
      <c r="FT3598" s="45"/>
    </row>
    <row r="3599" spans="5:176" x14ac:dyDescent="0.2">
      <c r="E3599" s="69"/>
      <c r="FT3599" s="45"/>
    </row>
    <row r="3600" spans="5:176" x14ac:dyDescent="0.2">
      <c r="E3600" s="69"/>
      <c r="FT3600" s="45"/>
    </row>
    <row r="3601" spans="5:176" x14ac:dyDescent="0.2">
      <c r="E3601" s="69"/>
      <c r="FT3601" s="45"/>
    </row>
    <row r="3602" spans="5:176" x14ac:dyDescent="0.2">
      <c r="E3602" s="69"/>
      <c r="FT3602" s="45"/>
    </row>
    <row r="3603" spans="5:176" x14ac:dyDescent="0.2">
      <c r="E3603" s="69"/>
      <c r="FT3603" s="45"/>
    </row>
    <row r="3604" spans="5:176" x14ac:dyDescent="0.2">
      <c r="E3604" s="69"/>
      <c r="FT3604" s="45"/>
    </row>
    <row r="3605" spans="5:176" x14ac:dyDescent="0.2">
      <c r="E3605" s="69"/>
      <c r="FT3605" s="45"/>
    </row>
    <row r="3606" spans="5:176" x14ac:dyDescent="0.2">
      <c r="E3606" s="69"/>
      <c r="FT3606" s="45"/>
    </row>
    <row r="3607" spans="5:176" x14ac:dyDescent="0.2">
      <c r="E3607" s="69"/>
      <c r="FT3607" s="45"/>
    </row>
    <row r="3608" spans="5:176" x14ac:dyDescent="0.2">
      <c r="E3608" s="69"/>
      <c r="FT3608" s="45"/>
    </row>
    <row r="3609" spans="5:176" x14ac:dyDescent="0.2">
      <c r="E3609" s="69"/>
      <c r="FT3609" s="45"/>
    </row>
    <row r="3610" spans="5:176" x14ac:dyDescent="0.2">
      <c r="E3610" s="69"/>
      <c r="FT3610" s="45"/>
    </row>
    <row r="3611" spans="5:176" x14ac:dyDescent="0.2">
      <c r="E3611" s="69"/>
      <c r="FT3611" s="45"/>
    </row>
    <row r="3612" spans="5:176" x14ac:dyDescent="0.2">
      <c r="E3612" s="69"/>
      <c r="FT3612" s="45"/>
    </row>
    <row r="3613" spans="5:176" x14ac:dyDescent="0.2">
      <c r="E3613" s="69"/>
      <c r="FT3613" s="45"/>
    </row>
    <row r="3614" spans="5:176" x14ac:dyDescent="0.2">
      <c r="E3614" s="69"/>
      <c r="FT3614" s="45"/>
    </row>
    <row r="3615" spans="5:176" x14ac:dyDescent="0.2">
      <c r="E3615" s="69"/>
      <c r="FT3615" s="45"/>
    </row>
    <row r="3616" spans="5:176" x14ac:dyDescent="0.2">
      <c r="E3616" s="69"/>
      <c r="FT3616" s="45"/>
    </row>
    <row r="3617" spans="5:176" x14ac:dyDescent="0.2">
      <c r="E3617" s="69"/>
      <c r="FT3617" s="45"/>
    </row>
    <row r="3618" spans="5:176" x14ac:dyDescent="0.2">
      <c r="E3618" s="69"/>
      <c r="FT3618" s="45"/>
    </row>
    <row r="3619" spans="5:176" x14ac:dyDescent="0.2">
      <c r="E3619" s="69"/>
      <c r="FT3619" s="45"/>
    </row>
    <row r="3620" spans="5:176" x14ac:dyDescent="0.2">
      <c r="E3620" s="69"/>
      <c r="FT3620" s="45"/>
    </row>
    <row r="3621" spans="5:176" x14ac:dyDescent="0.2">
      <c r="E3621" s="69"/>
      <c r="FT3621" s="45"/>
    </row>
    <row r="3622" spans="5:176" x14ac:dyDescent="0.2">
      <c r="E3622" s="69"/>
      <c r="FT3622" s="45"/>
    </row>
    <row r="3623" spans="5:176" x14ac:dyDescent="0.2">
      <c r="E3623" s="69"/>
      <c r="FT3623" s="45"/>
    </row>
    <row r="3624" spans="5:176" x14ac:dyDescent="0.2">
      <c r="E3624" s="69"/>
      <c r="FT3624" s="45"/>
    </row>
    <row r="3625" spans="5:176" x14ac:dyDescent="0.2">
      <c r="E3625" s="69"/>
      <c r="FT3625" s="45"/>
    </row>
    <row r="3626" spans="5:176" x14ac:dyDescent="0.2">
      <c r="E3626" s="69"/>
      <c r="FT3626" s="45"/>
    </row>
    <row r="3627" spans="5:176" x14ac:dyDescent="0.2">
      <c r="E3627" s="69"/>
      <c r="FT3627" s="45"/>
    </row>
    <row r="3628" spans="5:176" x14ac:dyDescent="0.2">
      <c r="E3628" s="69"/>
      <c r="FT3628" s="45"/>
    </row>
    <row r="3629" spans="5:176" x14ac:dyDescent="0.2">
      <c r="E3629" s="69"/>
      <c r="FT3629" s="45"/>
    </row>
    <row r="3630" spans="5:176" x14ac:dyDescent="0.2">
      <c r="E3630" s="69"/>
      <c r="FT3630" s="45"/>
    </row>
    <row r="3631" spans="5:176" x14ac:dyDescent="0.2">
      <c r="E3631" s="69"/>
      <c r="FT3631" s="45"/>
    </row>
    <row r="3632" spans="5:176" x14ac:dyDescent="0.2">
      <c r="E3632" s="69"/>
      <c r="FT3632" s="45"/>
    </row>
    <row r="3633" spans="5:176" x14ac:dyDescent="0.2">
      <c r="E3633" s="69"/>
      <c r="FT3633" s="45"/>
    </row>
    <row r="3634" spans="5:176" x14ac:dyDescent="0.2">
      <c r="E3634" s="69"/>
      <c r="FT3634" s="45"/>
    </row>
    <row r="3635" spans="5:176" x14ac:dyDescent="0.2">
      <c r="E3635" s="69"/>
      <c r="FT3635" s="45"/>
    </row>
    <row r="3636" spans="5:176" x14ac:dyDescent="0.2">
      <c r="E3636" s="69"/>
      <c r="FT3636" s="45"/>
    </row>
    <row r="3637" spans="5:176" x14ac:dyDescent="0.2">
      <c r="E3637" s="69"/>
      <c r="FT3637" s="45"/>
    </row>
    <row r="3638" spans="5:176" x14ac:dyDescent="0.2">
      <c r="E3638" s="69"/>
      <c r="FT3638" s="45"/>
    </row>
    <row r="3639" spans="5:176" x14ac:dyDescent="0.2">
      <c r="E3639" s="69"/>
      <c r="FT3639" s="45"/>
    </row>
    <row r="3640" spans="5:176" x14ac:dyDescent="0.2">
      <c r="E3640" s="69"/>
      <c r="FT3640" s="45"/>
    </row>
    <row r="3641" spans="5:176" x14ac:dyDescent="0.2">
      <c r="E3641" s="69"/>
      <c r="FT3641" s="45"/>
    </row>
    <row r="3642" spans="5:176" x14ac:dyDescent="0.2">
      <c r="E3642" s="69"/>
      <c r="FT3642" s="45"/>
    </row>
    <row r="3643" spans="5:176" x14ac:dyDescent="0.2">
      <c r="E3643" s="69"/>
      <c r="FT3643" s="45"/>
    </row>
    <row r="3644" spans="5:176" x14ac:dyDescent="0.2">
      <c r="E3644" s="69"/>
      <c r="FT3644" s="45"/>
    </row>
    <row r="3645" spans="5:176" x14ac:dyDescent="0.2">
      <c r="E3645" s="69"/>
      <c r="FT3645" s="45"/>
    </row>
    <row r="3646" spans="5:176" x14ac:dyDescent="0.2">
      <c r="E3646" s="69"/>
      <c r="FT3646" s="45"/>
    </row>
    <row r="3647" spans="5:176" x14ac:dyDescent="0.2">
      <c r="E3647" s="69"/>
      <c r="FT3647" s="45"/>
    </row>
    <row r="3648" spans="5:176" x14ac:dyDescent="0.2">
      <c r="E3648" s="69"/>
      <c r="FT3648" s="45"/>
    </row>
    <row r="3649" spans="5:176" x14ac:dyDescent="0.2">
      <c r="E3649" s="69"/>
      <c r="FT3649" s="45"/>
    </row>
    <row r="3650" spans="5:176" x14ac:dyDescent="0.2">
      <c r="E3650" s="69"/>
      <c r="FT3650" s="45"/>
    </row>
    <row r="3651" spans="5:176" x14ac:dyDescent="0.2">
      <c r="E3651" s="69"/>
      <c r="FT3651" s="45"/>
    </row>
    <row r="3652" spans="5:176" x14ac:dyDescent="0.2">
      <c r="E3652" s="69"/>
      <c r="FT3652" s="45"/>
    </row>
    <row r="3653" spans="5:176" x14ac:dyDescent="0.2">
      <c r="E3653" s="69"/>
      <c r="FT3653" s="45"/>
    </row>
    <row r="3654" spans="5:176" x14ac:dyDescent="0.2">
      <c r="E3654" s="69"/>
      <c r="FT3654" s="45"/>
    </row>
    <row r="3655" spans="5:176" x14ac:dyDescent="0.2">
      <c r="E3655" s="69"/>
      <c r="FT3655" s="45"/>
    </row>
    <row r="3656" spans="5:176" x14ac:dyDescent="0.2">
      <c r="E3656" s="69"/>
      <c r="FT3656" s="45"/>
    </row>
    <row r="3657" spans="5:176" x14ac:dyDescent="0.2">
      <c r="E3657" s="69"/>
      <c r="FT3657" s="45"/>
    </row>
    <row r="3658" spans="5:176" x14ac:dyDescent="0.2">
      <c r="E3658" s="69"/>
      <c r="FT3658" s="45"/>
    </row>
    <row r="3659" spans="5:176" x14ac:dyDescent="0.2">
      <c r="E3659" s="69"/>
      <c r="FT3659" s="45"/>
    </row>
    <row r="3660" spans="5:176" x14ac:dyDescent="0.2">
      <c r="E3660" s="69"/>
      <c r="FT3660" s="45"/>
    </row>
    <row r="3661" spans="5:176" x14ac:dyDescent="0.2">
      <c r="E3661" s="69"/>
      <c r="FT3661" s="45"/>
    </row>
    <row r="3662" spans="5:176" x14ac:dyDescent="0.2">
      <c r="E3662" s="69"/>
      <c r="FT3662" s="45"/>
    </row>
    <row r="3663" spans="5:176" x14ac:dyDescent="0.2">
      <c r="E3663" s="69"/>
      <c r="FT3663" s="45"/>
    </row>
    <row r="3664" spans="5:176" x14ac:dyDescent="0.2">
      <c r="E3664" s="69"/>
      <c r="FT3664" s="45"/>
    </row>
    <row r="3665" spans="5:176" x14ac:dyDescent="0.2">
      <c r="E3665" s="69"/>
      <c r="FT3665" s="45"/>
    </row>
    <row r="3666" spans="5:176" x14ac:dyDescent="0.2">
      <c r="E3666" s="69"/>
      <c r="FT3666" s="45"/>
    </row>
    <row r="3667" spans="5:176" x14ac:dyDescent="0.2">
      <c r="E3667" s="69"/>
      <c r="FT3667" s="45"/>
    </row>
    <row r="3668" spans="5:176" x14ac:dyDescent="0.2">
      <c r="E3668" s="69"/>
      <c r="FT3668" s="45"/>
    </row>
    <row r="3669" spans="5:176" x14ac:dyDescent="0.2">
      <c r="E3669" s="69"/>
      <c r="BF3669" s="61"/>
      <c r="FT3669" s="45"/>
    </row>
    <row r="3670" spans="5:176" x14ac:dyDescent="0.2">
      <c r="E3670" s="69"/>
      <c r="FT3670" s="45"/>
    </row>
    <row r="3671" spans="5:176" x14ac:dyDescent="0.2">
      <c r="E3671" s="69"/>
      <c r="FT3671" s="45"/>
    </row>
    <row r="3672" spans="5:176" x14ac:dyDescent="0.2">
      <c r="E3672" s="69"/>
      <c r="FT3672" s="45"/>
    </row>
    <row r="3673" spans="5:176" x14ac:dyDescent="0.2">
      <c r="E3673" s="69"/>
      <c r="FT3673" s="45"/>
    </row>
    <row r="3674" spans="5:176" x14ac:dyDescent="0.2">
      <c r="E3674" s="69"/>
      <c r="FT3674" s="45"/>
    </row>
    <row r="3675" spans="5:176" x14ac:dyDescent="0.2">
      <c r="E3675" s="69"/>
      <c r="FT3675" s="45"/>
    </row>
    <row r="3676" spans="5:176" x14ac:dyDescent="0.2">
      <c r="E3676" s="69"/>
      <c r="FT3676" s="45"/>
    </row>
    <row r="3677" spans="5:176" x14ac:dyDescent="0.2">
      <c r="E3677" s="69"/>
      <c r="FT3677" s="45"/>
    </row>
    <row r="3678" spans="5:176" x14ac:dyDescent="0.2">
      <c r="E3678" s="69"/>
      <c r="FT3678" s="45"/>
    </row>
    <row r="3679" spans="5:176" x14ac:dyDescent="0.2">
      <c r="E3679" s="69"/>
      <c r="FT3679" s="45"/>
    </row>
    <row r="3680" spans="5:176" x14ac:dyDescent="0.2">
      <c r="E3680" s="69"/>
      <c r="FT3680" s="45"/>
    </row>
    <row r="3681" spans="5:176" x14ac:dyDescent="0.2">
      <c r="E3681" s="69"/>
      <c r="FT3681" s="45"/>
    </row>
    <row r="3682" spans="5:176" x14ac:dyDescent="0.2">
      <c r="E3682" s="69"/>
      <c r="FT3682" s="45"/>
    </row>
    <row r="3683" spans="5:176" x14ac:dyDescent="0.2">
      <c r="E3683" s="69"/>
      <c r="FT3683" s="45"/>
    </row>
    <row r="3684" spans="5:176" x14ac:dyDescent="0.2">
      <c r="E3684" s="69"/>
      <c r="FT3684" s="45"/>
    </row>
    <row r="3685" spans="5:176" x14ac:dyDescent="0.2">
      <c r="E3685" s="69"/>
      <c r="FT3685" s="45"/>
    </row>
    <row r="3686" spans="5:176" x14ac:dyDescent="0.2">
      <c r="E3686" s="69"/>
      <c r="FT3686" s="45"/>
    </row>
    <row r="3687" spans="5:176" x14ac:dyDescent="0.2">
      <c r="E3687" s="69"/>
      <c r="FT3687" s="45"/>
    </row>
    <row r="3688" spans="5:176" x14ac:dyDescent="0.2">
      <c r="E3688" s="69"/>
      <c r="FT3688" s="45"/>
    </row>
    <row r="3689" spans="5:176" x14ac:dyDescent="0.2">
      <c r="E3689" s="69"/>
      <c r="FT3689" s="45"/>
    </row>
    <row r="3690" spans="5:176" x14ac:dyDescent="0.2">
      <c r="E3690" s="69"/>
      <c r="FT3690" s="45"/>
    </row>
    <row r="3691" spans="5:176" x14ac:dyDescent="0.2">
      <c r="E3691" s="69"/>
      <c r="FT3691" s="45"/>
    </row>
    <row r="3692" spans="5:176" x14ac:dyDescent="0.2">
      <c r="E3692" s="69"/>
      <c r="FT3692" s="45"/>
    </row>
    <row r="3693" spans="5:176" x14ac:dyDescent="0.2">
      <c r="E3693" s="69"/>
      <c r="FT3693" s="45"/>
    </row>
    <row r="3694" spans="5:176" x14ac:dyDescent="0.2">
      <c r="E3694" s="69"/>
      <c r="FT3694" s="45"/>
    </row>
    <row r="3695" spans="5:176" x14ac:dyDescent="0.2">
      <c r="E3695" s="69"/>
      <c r="FT3695" s="45"/>
    </row>
    <row r="3696" spans="5:176" x14ac:dyDescent="0.2">
      <c r="E3696" s="69"/>
      <c r="FT3696" s="45"/>
    </row>
    <row r="3697" spans="5:176" x14ac:dyDescent="0.2">
      <c r="E3697" s="69"/>
      <c r="FT3697" s="45"/>
    </row>
    <row r="3698" spans="5:176" x14ac:dyDescent="0.2">
      <c r="E3698" s="69"/>
      <c r="FT3698" s="45"/>
    </row>
    <row r="3699" spans="5:176" x14ac:dyDescent="0.2">
      <c r="E3699" s="69"/>
      <c r="FT3699" s="45"/>
    </row>
    <row r="3700" spans="5:176" x14ac:dyDescent="0.2">
      <c r="E3700" s="69"/>
      <c r="FT3700" s="45"/>
    </row>
    <row r="3701" spans="5:176" x14ac:dyDescent="0.2">
      <c r="E3701" s="69"/>
      <c r="FT3701" s="45"/>
    </row>
    <row r="3702" spans="5:176" x14ac:dyDescent="0.2">
      <c r="E3702" s="69"/>
      <c r="FT3702" s="45"/>
    </row>
    <row r="3703" spans="5:176" x14ac:dyDescent="0.2">
      <c r="E3703" s="69"/>
      <c r="FT3703" s="45"/>
    </row>
    <row r="3704" spans="5:176" x14ac:dyDescent="0.2">
      <c r="E3704" s="69"/>
      <c r="FT3704" s="45"/>
    </row>
    <row r="3705" spans="5:176" x14ac:dyDescent="0.2">
      <c r="E3705" s="69"/>
      <c r="FT3705" s="45"/>
    </row>
    <row r="3706" spans="5:176" x14ac:dyDescent="0.2">
      <c r="E3706" s="69"/>
      <c r="FT3706" s="45"/>
    </row>
    <row r="3707" spans="5:176" x14ac:dyDescent="0.2">
      <c r="E3707" s="69"/>
      <c r="FT3707" s="45"/>
    </row>
    <row r="3708" spans="5:176" x14ac:dyDescent="0.2">
      <c r="E3708" s="69"/>
      <c r="FT3708" s="45"/>
    </row>
    <row r="3709" spans="5:176" x14ac:dyDescent="0.2">
      <c r="E3709" s="69"/>
      <c r="FT3709" s="45"/>
    </row>
    <row r="3710" spans="5:176" x14ac:dyDescent="0.2">
      <c r="E3710" s="69"/>
      <c r="FT3710" s="45"/>
    </row>
    <row r="3711" spans="5:176" x14ac:dyDescent="0.2">
      <c r="E3711" s="69"/>
      <c r="FT3711" s="45"/>
    </row>
    <row r="3712" spans="5:176" x14ac:dyDescent="0.2">
      <c r="E3712" s="69"/>
      <c r="FT3712" s="45"/>
    </row>
    <row r="3713" spans="5:176" x14ac:dyDescent="0.2">
      <c r="E3713" s="69"/>
      <c r="FT3713" s="45"/>
    </row>
    <row r="3714" spans="5:176" x14ac:dyDescent="0.2">
      <c r="E3714" s="69"/>
      <c r="FT3714" s="45"/>
    </row>
    <row r="3715" spans="5:176" x14ac:dyDescent="0.2">
      <c r="E3715" s="69"/>
      <c r="FT3715" s="45"/>
    </row>
    <row r="3716" spans="5:176" x14ac:dyDescent="0.2">
      <c r="E3716" s="69"/>
      <c r="FT3716" s="45"/>
    </row>
    <row r="3717" spans="5:176" x14ac:dyDescent="0.2">
      <c r="E3717" s="69"/>
      <c r="FT3717" s="45"/>
    </row>
    <row r="3718" spans="5:176" x14ac:dyDescent="0.2">
      <c r="E3718" s="69"/>
      <c r="FT3718" s="45"/>
    </row>
    <row r="3719" spans="5:176" x14ac:dyDescent="0.2">
      <c r="E3719" s="69"/>
      <c r="FT3719" s="45"/>
    </row>
    <row r="3720" spans="5:176" x14ac:dyDescent="0.2">
      <c r="E3720" s="69"/>
      <c r="FT3720" s="45"/>
    </row>
    <row r="3721" spans="5:176" x14ac:dyDescent="0.2">
      <c r="E3721" s="69"/>
      <c r="FT3721" s="45"/>
    </row>
    <row r="3722" spans="5:176" x14ac:dyDescent="0.2">
      <c r="E3722" s="69"/>
      <c r="FT3722" s="45"/>
    </row>
    <row r="3723" spans="5:176" x14ac:dyDescent="0.2">
      <c r="E3723" s="69"/>
      <c r="FT3723" s="45"/>
    </row>
    <row r="3724" spans="5:176" x14ac:dyDescent="0.2">
      <c r="E3724" s="69"/>
      <c r="FT3724" s="45"/>
    </row>
    <row r="3725" spans="5:176" x14ac:dyDescent="0.2">
      <c r="E3725" s="69"/>
      <c r="FT3725" s="45"/>
    </row>
    <row r="3726" spans="5:176" x14ac:dyDescent="0.2">
      <c r="E3726" s="69"/>
      <c r="FT3726" s="45"/>
    </row>
    <row r="3727" spans="5:176" x14ac:dyDescent="0.2">
      <c r="E3727" s="69"/>
      <c r="FT3727" s="45"/>
    </row>
    <row r="3728" spans="5:176" x14ac:dyDescent="0.2">
      <c r="E3728" s="69"/>
      <c r="FT3728" s="45"/>
    </row>
    <row r="3729" spans="5:176" x14ac:dyDescent="0.2">
      <c r="E3729" s="69"/>
      <c r="FT3729" s="45"/>
    </row>
    <row r="3730" spans="5:176" x14ac:dyDescent="0.2">
      <c r="E3730" s="69"/>
      <c r="FT3730" s="45"/>
    </row>
    <row r="3731" spans="5:176" x14ac:dyDescent="0.2">
      <c r="E3731" s="69"/>
      <c r="FT3731" s="45"/>
    </row>
    <row r="3732" spans="5:176" x14ac:dyDescent="0.2">
      <c r="E3732" s="69"/>
      <c r="FT3732" s="45"/>
    </row>
    <row r="3733" spans="5:176" x14ac:dyDescent="0.2">
      <c r="E3733" s="69"/>
      <c r="FT3733" s="45"/>
    </row>
    <row r="3734" spans="5:176" x14ac:dyDescent="0.2">
      <c r="E3734" s="69"/>
      <c r="FT3734" s="45"/>
    </row>
    <row r="3735" spans="5:176" x14ac:dyDescent="0.2">
      <c r="E3735" s="69"/>
      <c r="FT3735" s="45"/>
    </row>
    <row r="3736" spans="5:176" x14ac:dyDescent="0.2">
      <c r="E3736" s="69"/>
      <c r="FT3736" s="45"/>
    </row>
    <row r="3737" spans="5:176" x14ac:dyDescent="0.2">
      <c r="E3737" s="69"/>
      <c r="FT3737" s="45"/>
    </row>
    <row r="3738" spans="5:176" x14ac:dyDescent="0.2">
      <c r="E3738" s="69"/>
      <c r="FT3738" s="45"/>
    </row>
    <row r="3739" spans="5:176" x14ac:dyDescent="0.2">
      <c r="E3739" s="69"/>
      <c r="FT3739" s="45"/>
    </row>
    <row r="3740" spans="5:176" x14ac:dyDescent="0.2">
      <c r="E3740" s="69"/>
      <c r="FT3740" s="45"/>
    </row>
    <row r="3741" spans="5:176" x14ac:dyDescent="0.2">
      <c r="E3741" s="69"/>
      <c r="FT3741" s="45"/>
    </row>
    <row r="3742" spans="5:176" x14ac:dyDescent="0.2">
      <c r="E3742" s="69"/>
      <c r="FT3742" s="45"/>
    </row>
    <row r="3743" spans="5:176" x14ac:dyDescent="0.2">
      <c r="E3743" s="69"/>
      <c r="FT3743" s="45"/>
    </row>
    <row r="3744" spans="5:176" x14ac:dyDescent="0.2">
      <c r="E3744" s="69"/>
      <c r="FT3744" s="45"/>
    </row>
    <row r="3745" spans="5:176" x14ac:dyDescent="0.2">
      <c r="E3745" s="69"/>
      <c r="FT3745" s="45"/>
    </row>
    <row r="3746" spans="5:176" x14ac:dyDescent="0.2">
      <c r="E3746" s="69"/>
      <c r="FT3746" s="45"/>
    </row>
    <row r="3747" spans="5:176" x14ac:dyDescent="0.2">
      <c r="E3747" s="69"/>
      <c r="FT3747" s="45"/>
    </row>
    <row r="3748" spans="5:176" x14ac:dyDescent="0.2">
      <c r="E3748" s="69"/>
      <c r="FT3748" s="45"/>
    </row>
    <row r="3749" spans="5:176" x14ac:dyDescent="0.2">
      <c r="E3749" s="69"/>
      <c r="FT3749" s="45"/>
    </row>
    <row r="3750" spans="5:176" x14ac:dyDescent="0.2">
      <c r="E3750" s="69"/>
      <c r="FT3750" s="45"/>
    </row>
    <row r="3751" spans="5:176" x14ac:dyDescent="0.2">
      <c r="E3751" s="69"/>
      <c r="FT3751" s="45"/>
    </row>
    <row r="3752" spans="5:176" x14ac:dyDescent="0.2">
      <c r="E3752" s="69"/>
      <c r="FT3752" s="45"/>
    </row>
    <row r="3753" spans="5:176" x14ac:dyDescent="0.2">
      <c r="E3753" s="69"/>
      <c r="FT3753" s="45"/>
    </row>
    <row r="3754" spans="5:176" x14ac:dyDescent="0.2">
      <c r="E3754" s="69"/>
      <c r="FT3754" s="45"/>
    </row>
    <row r="3755" spans="5:176" x14ac:dyDescent="0.2">
      <c r="E3755" s="69"/>
      <c r="FT3755" s="45"/>
    </row>
    <row r="3756" spans="5:176" x14ac:dyDescent="0.2">
      <c r="E3756" s="69"/>
      <c r="FT3756" s="45"/>
    </row>
    <row r="3757" spans="5:176" x14ac:dyDescent="0.2">
      <c r="E3757" s="69"/>
      <c r="FT3757" s="45"/>
    </row>
    <row r="3758" spans="5:176" x14ac:dyDescent="0.2">
      <c r="E3758" s="69"/>
      <c r="FT3758" s="45"/>
    </row>
    <row r="3759" spans="5:176" x14ac:dyDescent="0.2">
      <c r="E3759" s="69"/>
      <c r="FT3759" s="45"/>
    </row>
    <row r="3760" spans="5:176" x14ac:dyDescent="0.2">
      <c r="E3760" s="69"/>
      <c r="FT3760" s="45"/>
    </row>
    <row r="3761" spans="5:176" x14ac:dyDescent="0.2">
      <c r="E3761" s="69"/>
      <c r="FT3761" s="45"/>
    </row>
    <row r="3762" spans="5:176" x14ac:dyDescent="0.2">
      <c r="E3762" s="69"/>
      <c r="FT3762" s="45"/>
    </row>
    <row r="3763" spans="5:176" x14ac:dyDescent="0.2">
      <c r="E3763" s="69"/>
      <c r="FT3763" s="45"/>
    </row>
    <row r="3764" spans="5:176" x14ac:dyDescent="0.2">
      <c r="E3764" s="69"/>
      <c r="FT3764" s="45"/>
    </row>
    <row r="3765" spans="5:176" x14ac:dyDescent="0.2">
      <c r="E3765" s="69"/>
      <c r="FT3765" s="45"/>
    </row>
    <row r="3766" spans="5:176" x14ac:dyDescent="0.2">
      <c r="E3766" s="69"/>
      <c r="FT3766" s="45"/>
    </row>
    <row r="3767" spans="5:176" x14ac:dyDescent="0.2">
      <c r="E3767" s="69"/>
      <c r="FT3767" s="45"/>
    </row>
    <row r="3768" spans="5:176" x14ac:dyDescent="0.2">
      <c r="E3768" s="69"/>
      <c r="FT3768" s="45"/>
    </row>
    <row r="3769" spans="5:176" x14ac:dyDescent="0.2">
      <c r="E3769" s="69"/>
      <c r="FT3769" s="45"/>
    </row>
    <row r="3770" spans="5:176" x14ac:dyDescent="0.2">
      <c r="E3770" s="69"/>
      <c r="FT3770" s="45"/>
    </row>
    <row r="3771" spans="5:176" x14ac:dyDescent="0.2">
      <c r="E3771" s="69"/>
      <c r="FT3771" s="45"/>
    </row>
    <row r="3772" spans="5:176" x14ac:dyDescent="0.2">
      <c r="E3772" s="69"/>
      <c r="FT3772" s="45"/>
    </row>
    <row r="3773" spans="5:176" x14ac:dyDescent="0.2">
      <c r="E3773" s="69"/>
      <c r="FT3773" s="45"/>
    </row>
    <row r="3774" spans="5:176" x14ac:dyDescent="0.2">
      <c r="E3774" s="69"/>
      <c r="FT3774" s="45"/>
    </row>
    <row r="3775" spans="5:176" x14ac:dyDescent="0.2">
      <c r="E3775" s="69"/>
      <c r="FT3775" s="45"/>
    </row>
    <row r="3776" spans="5:176" x14ac:dyDescent="0.2">
      <c r="E3776" s="69"/>
      <c r="FT3776" s="45"/>
    </row>
    <row r="3777" spans="5:176" x14ac:dyDescent="0.2">
      <c r="E3777" s="69"/>
      <c r="FT3777" s="45"/>
    </row>
    <row r="3778" spans="5:176" x14ac:dyDescent="0.2">
      <c r="E3778" s="69"/>
      <c r="FT3778" s="45"/>
    </row>
    <row r="3779" spans="5:176" x14ac:dyDescent="0.2">
      <c r="E3779" s="69"/>
      <c r="FT3779" s="45"/>
    </row>
    <row r="3780" spans="5:176" x14ac:dyDescent="0.2">
      <c r="E3780" s="69"/>
      <c r="FT3780" s="45"/>
    </row>
    <row r="3781" spans="5:176" x14ac:dyDescent="0.2">
      <c r="E3781" s="69"/>
      <c r="FT3781" s="45"/>
    </row>
    <row r="3782" spans="5:176" x14ac:dyDescent="0.2">
      <c r="E3782" s="69"/>
      <c r="FT3782" s="45"/>
    </row>
    <row r="3783" spans="5:176" x14ac:dyDescent="0.2">
      <c r="E3783" s="69"/>
      <c r="FT3783" s="45"/>
    </row>
    <row r="3784" spans="5:176" x14ac:dyDescent="0.2">
      <c r="E3784" s="69"/>
      <c r="FT3784" s="45"/>
    </row>
    <row r="3785" spans="5:176" x14ac:dyDescent="0.2">
      <c r="E3785" s="69"/>
      <c r="FT3785" s="45"/>
    </row>
    <row r="3786" spans="5:176" x14ac:dyDescent="0.2">
      <c r="E3786" s="69"/>
      <c r="FT3786" s="45"/>
    </row>
    <row r="3787" spans="5:176" x14ac:dyDescent="0.2">
      <c r="E3787" s="69"/>
      <c r="FT3787" s="45"/>
    </row>
    <row r="3788" spans="5:176" x14ac:dyDescent="0.2">
      <c r="E3788" s="69"/>
      <c r="FT3788" s="45"/>
    </row>
    <row r="3789" spans="5:176" x14ac:dyDescent="0.2">
      <c r="E3789" s="69"/>
      <c r="FT3789" s="45"/>
    </row>
    <row r="3790" spans="5:176" x14ac:dyDescent="0.2">
      <c r="E3790" s="69"/>
      <c r="FT3790" s="45"/>
    </row>
    <row r="3791" spans="5:176" x14ac:dyDescent="0.2">
      <c r="E3791" s="69"/>
      <c r="FT3791" s="45"/>
    </row>
    <row r="3792" spans="5:176" x14ac:dyDescent="0.2">
      <c r="E3792" s="69"/>
      <c r="FT3792" s="45"/>
    </row>
    <row r="3793" spans="5:176" x14ac:dyDescent="0.2">
      <c r="E3793" s="69"/>
      <c r="FT3793" s="45"/>
    </row>
    <row r="3794" spans="5:176" x14ac:dyDescent="0.2">
      <c r="E3794" s="69"/>
      <c r="FT3794" s="45"/>
    </row>
    <row r="3795" spans="5:176" x14ac:dyDescent="0.2">
      <c r="E3795" s="69"/>
      <c r="FT3795" s="45"/>
    </row>
    <row r="3796" spans="5:176" x14ac:dyDescent="0.2">
      <c r="E3796" s="69"/>
      <c r="FT3796" s="45"/>
    </row>
    <row r="3797" spans="5:176" x14ac:dyDescent="0.2">
      <c r="E3797" s="69"/>
      <c r="FT3797" s="45"/>
    </row>
    <row r="3798" spans="5:176" x14ac:dyDescent="0.2">
      <c r="E3798" s="69"/>
      <c r="FT3798" s="45"/>
    </row>
    <row r="3799" spans="5:176" x14ac:dyDescent="0.2">
      <c r="E3799" s="69"/>
      <c r="FT3799" s="45"/>
    </row>
    <row r="3800" spans="5:176" x14ac:dyDescent="0.2">
      <c r="E3800" s="69"/>
      <c r="FT3800" s="45"/>
    </row>
    <row r="3801" spans="5:176" x14ac:dyDescent="0.2">
      <c r="E3801" s="69"/>
      <c r="FT3801" s="45"/>
    </row>
    <row r="3802" spans="5:176" x14ac:dyDescent="0.2">
      <c r="E3802" s="69"/>
      <c r="FT3802" s="45"/>
    </row>
    <row r="3803" spans="5:176" x14ac:dyDescent="0.2">
      <c r="E3803" s="69"/>
      <c r="FT3803" s="45"/>
    </row>
    <row r="3804" spans="5:176" x14ac:dyDescent="0.2">
      <c r="E3804" s="69"/>
      <c r="FT3804" s="45"/>
    </row>
    <row r="3805" spans="5:176" x14ac:dyDescent="0.2">
      <c r="E3805" s="69"/>
      <c r="FT3805" s="45"/>
    </row>
    <row r="3806" spans="5:176" x14ac:dyDescent="0.2">
      <c r="E3806" s="69"/>
      <c r="FT3806" s="45"/>
    </row>
    <row r="3807" spans="5:176" x14ac:dyDescent="0.2">
      <c r="E3807" s="69"/>
      <c r="FT3807" s="45"/>
    </row>
    <row r="3808" spans="5:176" x14ac:dyDescent="0.2">
      <c r="E3808" s="69"/>
      <c r="FT3808" s="45"/>
    </row>
    <row r="3809" spans="5:176" x14ac:dyDescent="0.2">
      <c r="E3809" s="69"/>
      <c r="FT3809" s="45"/>
    </row>
    <row r="3810" spans="5:176" x14ac:dyDescent="0.2">
      <c r="E3810" s="69"/>
      <c r="FT3810" s="45"/>
    </row>
    <row r="3811" spans="5:176" x14ac:dyDescent="0.2">
      <c r="E3811" s="69"/>
      <c r="FT3811" s="45"/>
    </row>
    <row r="3812" spans="5:176" x14ac:dyDescent="0.2">
      <c r="E3812" s="69"/>
      <c r="FT3812" s="45"/>
    </row>
    <row r="3813" spans="5:176" x14ac:dyDescent="0.2">
      <c r="E3813" s="69"/>
      <c r="FT3813" s="45"/>
    </row>
    <row r="3814" spans="5:176" x14ac:dyDescent="0.2">
      <c r="E3814" s="69"/>
      <c r="FT3814" s="45"/>
    </row>
    <row r="3815" spans="5:176" x14ac:dyDescent="0.2">
      <c r="E3815" s="69"/>
      <c r="FT3815" s="45"/>
    </row>
    <row r="3816" spans="5:176" x14ac:dyDescent="0.2">
      <c r="E3816" s="69"/>
      <c r="FT3816" s="45"/>
    </row>
    <row r="3817" spans="5:176" x14ac:dyDescent="0.2">
      <c r="E3817" s="69"/>
      <c r="FT3817" s="45"/>
    </row>
    <row r="3818" spans="5:176" x14ac:dyDescent="0.2">
      <c r="E3818" s="69"/>
      <c r="FT3818" s="45"/>
    </row>
    <row r="3819" spans="5:176" x14ac:dyDescent="0.2">
      <c r="E3819" s="69"/>
      <c r="FT3819" s="45"/>
    </row>
    <row r="3820" spans="5:176" x14ac:dyDescent="0.2">
      <c r="E3820" s="69"/>
      <c r="FT3820" s="45"/>
    </row>
    <row r="3821" spans="5:176" x14ac:dyDescent="0.2">
      <c r="E3821" s="69"/>
      <c r="FT3821" s="45"/>
    </row>
    <row r="3822" spans="5:176" x14ac:dyDescent="0.2">
      <c r="E3822" s="69"/>
      <c r="FT3822" s="45"/>
    </row>
    <row r="3823" spans="5:176" x14ac:dyDescent="0.2">
      <c r="E3823" s="69"/>
      <c r="FT3823" s="45"/>
    </row>
    <row r="3824" spans="5:176" x14ac:dyDescent="0.2">
      <c r="E3824" s="69"/>
      <c r="FT3824" s="45"/>
    </row>
    <row r="3825" spans="5:176" x14ac:dyDescent="0.2">
      <c r="E3825" s="69"/>
      <c r="FT3825" s="45"/>
    </row>
    <row r="3826" spans="5:176" x14ac:dyDescent="0.2">
      <c r="E3826" s="69"/>
      <c r="FT3826" s="45"/>
    </row>
    <row r="3827" spans="5:176" x14ac:dyDescent="0.2">
      <c r="E3827" s="69"/>
      <c r="FT3827" s="45"/>
    </row>
    <row r="3828" spans="5:176" x14ac:dyDescent="0.2">
      <c r="E3828" s="69"/>
      <c r="FT3828" s="45"/>
    </row>
    <row r="3829" spans="5:176" x14ac:dyDescent="0.2">
      <c r="E3829" s="69"/>
      <c r="FT3829" s="45"/>
    </row>
    <row r="3830" spans="5:176" x14ac:dyDescent="0.2">
      <c r="E3830" s="69"/>
      <c r="FT3830" s="45"/>
    </row>
    <row r="3831" spans="5:176" x14ac:dyDescent="0.2">
      <c r="E3831" s="69"/>
      <c r="FT3831" s="45"/>
    </row>
    <row r="3832" spans="5:176" x14ac:dyDescent="0.2">
      <c r="E3832" s="69"/>
      <c r="FT3832" s="45"/>
    </row>
    <row r="3833" spans="5:176" x14ac:dyDescent="0.2">
      <c r="E3833" s="69"/>
      <c r="FT3833" s="45"/>
    </row>
    <row r="3834" spans="5:176" x14ac:dyDescent="0.2">
      <c r="E3834" s="69"/>
      <c r="FT3834" s="45"/>
    </row>
    <row r="3835" spans="5:176" x14ac:dyDescent="0.2">
      <c r="E3835" s="69"/>
      <c r="FT3835" s="45"/>
    </row>
    <row r="3836" spans="5:176" x14ac:dyDescent="0.2">
      <c r="E3836" s="69"/>
      <c r="FT3836" s="45"/>
    </row>
    <row r="3837" spans="5:176" x14ac:dyDescent="0.2">
      <c r="E3837" s="69"/>
      <c r="FT3837" s="45"/>
    </row>
    <row r="3838" spans="5:176" x14ac:dyDescent="0.2">
      <c r="E3838" s="69"/>
      <c r="FT3838" s="45"/>
    </row>
    <row r="3839" spans="5:176" x14ac:dyDescent="0.2">
      <c r="E3839" s="69"/>
      <c r="FT3839" s="45"/>
    </row>
    <row r="3840" spans="5:176" x14ac:dyDescent="0.2">
      <c r="E3840" s="69"/>
      <c r="FT3840" s="45"/>
    </row>
    <row r="3841" spans="5:176" x14ac:dyDescent="0.2">
      <c r="E3841" s="69"/>
      <c r="FT3841" s="45"/>
    </row>
    <row r="3842" spans="5:176" x14ac:dyDescent="0.2">
      <c r="E3842" s="69"/>
      <c r="FT3842" s="45"/>
    </row>
    <row r="3843" spans="5:176" x14ac:dyDescent="0.2">
      <c r="E3843" s="69"/>
      <c r="FT3843" s="45"/>
    </row>
    <row r="3844" spans="5:176" x14ac:dyDescent="0.2">
      <c r="E3844" s="69"/>
      <c r="FT3844" s="45"/>
    </row>
    <row r="3845" spans="5:176" x14ac:dyDescent="0.2">
      <c r="E3845" s="69"/>
      <c r="FT3845" s="45"/>
    </row>
    <row r="3846" spans="5:176" x14ac:dyDescent="0.2">
      <c r="E3846" s="69"/>
      <c r="FT3846" s="45"/>
    </row>
    <row r="3847" spans="5:176" x14ac:dyDescent="0.2">
      <c r="E3847" s="69"/>
      <c r="FT3847" s="45"/>
    </row>
    <row r="3848" spans="5:176" x14ac:dyDescent="0.2">
      <c r="E3848" s="69"/>
      <c r="FT3848" s="45"/>
    </row>
    <row r="3849" spans="5:176" x14ac:dyDescent="0.2">
      <c r="E3849" s="69"/>
      <c r="FT3849" s="45"/>
    </row>
    <row r="3850" spans="5:176" x14ac:dyDescent="0.2">
      <c r="E3850" s="69"/>
      <c r="FT3850" s="45"/>
    </row>
    <row r="3851" spans="5:176" x14ac:dyDescent="0.2">
      <c r="E3851" s="69"/>
      <c r="FT3851" s="45"/>
    </row>
    <row r="3852" spans="5:176" x14ac:dyDescent="0.2">
      <c r="E3852" s="69"/>
      <c r="FT3852" s="45"/>
    </row>
    <row r="3853" spans="5:176" x14ac:dyDescent="0.2">
      <c r="E3853" s="69"/>
      <c r="FT3853" s="45"/>
    </row>
    <row r="3854" spans="5:176" x14ac:dyDescent="0.2">
      <c r="E3854" s="69"/>
      <c r="FT3854" s="45"/>
    </row>
    <row r="3855" spans="5:176" x14ac:dyDescent="0.2">
      <c r="E3855" s="69"/>
      <c r="FT3855" s="45"/>
    </row>
    <row r="3856" spans="5:176" x14ac:dyDescent="0.2">
      <c r="E3856" s="69"/>
      <c r="FT3856" s="45"/>
    </row>
    <row r="3857" spans="5:176" x14ac:dyDescent="0.2">
      <c r="E3857" s="69"/>
      <c r="FT3857" s="45"/>
    </row>
    <row r="3858" spans="5:176" x14ac:dyDescent="0.2">
      <c r="E3858" s="69"/>
      <c r="FT3858" s="45"/>
    </row>
    <row r="3859" spans="5:176" x14ac:dyDescent="0.2">
      <c r="E3859" s="69"/>
      <c r="FT3859" s="45"/>
    </row>
    <row r="3860" spans="5:176" x14ac:dyDescent="0.2">
      <c r="E3860" s="69"/>
      <c r="FT3860" s="45"/>
    </row>
    <row r="3861" spans="5:176" x14ac:dyDescent="0.2">
      <c r="E3861" s="69"/>
      <c r="FT3861" s="45"/>
    </row>
    <row r="3862" spans="5:176" x14ac:dyDescent="0.2">
      <c r="E3862" s="69"/>
      <c r="FT3862" s="45"/>
    </row>
    <row r="3863" spans="5:176" x14ac:dyDescent="0.2">
      <c r="E3863" s="69"/>
      <c r="FT3863" s="45"/>
    </row>
    <row r="3864" spans="5:176" x14ac:dyDescent="0.2">
      <c r="E3864" s="69"/>
      <c r="FT3864" s="45"/>
    </row>
    <row r="3865" spans="5:176" x14ac:dyDescent="0.2">
      <c r="E3865" s="69"/>
      <c r="FT3865" s="45"/>
    </row>
    <row r="3866" spans="5:176" x14ac:dyDescent="0.2">
      <c r="E3866" s="69"/>
      <c r="FT3866" s="45"/>
    </row>
    <row r="3867" spans="5:176" x14ac:dyDescent="0.2">
      <c r="E3867" s="69"/>
      <c r="FT3867" s="45"/>
    </row>
    <row r="3868" spans="5:176" x14ac:dyDescent="0.2">
      <c r="E3868" s="69"/>
      <c r="FT3868" s="45"/>
    </row>
    <row r="3869" spans="5:176" x14ac:dyDescent="0.2">
      <c r="E3869" s="69"/>
      <c r="FT3869" s="45"/>
    </row>
    <row r="3870" spans="5:176" x14ac:dyDescent="0.2">
      <c r="E3870" s="69"/>
      <c r="FT3870" s="45"/>
    </row>
    <row r="3871" spans="5:176" x14ac:dyDescent="0.2">
      <c r="E3871" s="69"/>
      <c r="FT3871" s="45"/>
    </row>
    <row r="3872" spans="5:176" x14ac:dyDescent="0.2">
      <c r="E3872" s="69"/>
      <c r="FT3872" s="45"/>
    </row>
    <row r="3873" spans="5:176" x14ac:dyDescent="0.2">
      <c r="E3873" s="69"/>
      <c r="FT3873" s="45"/>
    </row>
    <row r="3874" spans="5:176" x14ac:dyDescent="0.2">
      <c r="E3874" s="69"/>
      <c r="FT3874" s="45"/>
    </row>
    <row r="3875" spans="5:176" x14ac:dyDescent="0.2">
      <c r="E3875" s="69"/>
      <c r="FT3875" s="45"/>
    </row>
    <row r="3876" spans="5:176" x14ac:dyDescent="0.2">
      <c r="E3876" s="69"/>
      <c r="FT3876" s="45"/>
    </row>
    <row r="3877" spans="5:176" x14ac:dyDescent="0.2">
      <c r="E3877" s="69"/>
      <c r="FT3877" s="45"/>
    </row>
    <row r="3878" spans="5:176" x14ac:dyDescent="0.2">
      <c r="E3878" s="69"/>
      <c r="FT3878" s="45"/>
    </row>
    <row r="3879" spans="5:176" x14ac:dyDescent="0.2">
      <c r="E3879" s="69"/>
      <c r="FT3879" s="45"/>
    </row>
    <row r="3880" spans="5:176" x14ac:dyDescent="0.2">
      <c r="E3880" s="69"/>
      <c r="FT3880" s="45"/>
    </row>
    <row r="3881" spans="5:176" x14ac:dyDescent="0.2">
      <c r="E3881" s="69"/>
      <c r="FT3881" s="45"/>
    </row>
    <row r="3882" spans="5:176" x14ac:dyDescent="0.2">
      <c r="E3882" s="69"/>
      <c r="FT3882" s="45"/>
    </row>
    <row r="3883" spans="5:176" x14ac:dyDescent="0.2">
      <c r="E3883" s="69"/>
      <c r="FT3883" s="45"/>
    </row>
    <row r="3884" spans="5:176" x14ac:dyDescent="0.2">
      <c r="E3884" s="69"/>
      <c r="FT3884" s="45"/>
    </row>
    <row r="3885" spans="5:176" x14ac:dyDescent="0.2">
      <c r="E3885" s="69"/>
      <c r="FT3885" s="45"/>
    </row>
    <row r="3886" spans="5:176" x14ac:dyDescent="0.2">
      <c r="E3886" s="69"/>
      <c r="FT3886" s="45"/>
    </row>
    <row r="3887" spans="5:176" x14ac:dyDescent="0.2">
      <c r="E3887" s="69"/>
      <c r="FT3887" s="45"/>
    </row>
    <row r="3888" spans="5:176" x14ac:dyDescent="0.2">
      <c r="E3888" s="69"/>
      <c r="FT3888" s="45"/>
    </row>
    <row r="3889" spans="5:176" x14ac:dyDescent="0.2">
      <c r="E3889" s="69"/>
      <c r="FT3889" s="45"/>
    </row>
    <row r="3890" spans="5:176" x14ac:dyDescent="0.2">
      <c r="E3890" s="69"/>
      <c r="FT3890" s="45"/>
    </row>
    <row r="3891" spans="5:176" x14ac:dyDescent="0.2">
      <c r="E3891" s="69"/>
      <c r="FT3891" s="45"/>
    </row>
    <row r="3892" spans="5:176" x14ac:dyDescent="0.2">
      <c r="E3892" s="69"/>
      <c r="FT3892" s="45"/>
    </row>
    <row r="3893" spans="5:176" x14ac:dyDescent="0.2">
      <c r="E3893" s="69"/>
      <c r="FT3893" s="45"/>
    </row>
    <row r="3894" spans="5:176" x14ac:dyDescent="0.2">
      <c r="E3894" s="69"/>
      <c r="FT3894" s="45"/>
    </row>
    <row r="3895" spans="5:176" x14ac:dyDescent="0.2">
      <c r="E3895" s="69"/>
      <c r="FT3895" s="45"/>
    </row>
    <row r="3896" spans="5:176" x14ac:dyDescent="0.2">
      <c r="E3896" s="69"/>
      <c r="FT3896" s="45"/>
    </row>
    <row r="3897" spans="5:176" x14ac:dyDescent="0.2">
      <c r="E3897" s="69"/>
      <c r="FT3897" s="45"/>
    </row>
    <row r="3898" spans="5:176" x14ac:dyDescent="0.2">
      <c r="E3898" s="69"/>
      <c r="FT3898" s="45"/>
    </row>
    <row r="3899" spans="5:176" x14ac:dyDescent="0.2">
      <c r="E3899" s="69"/>
      <c r="FT3899" s="45"/>
    </row>
    <row r="3900" spans="5:176" x14ac:dyDescent="0.2">
      <c r="E3900" s="69"/>
      <c r="FT3900" s="45"/>
    </row>
    <row r="3901" spans="5:176" x14ac:dyDescent="0.2">
      <c r="E3901" s="69"/>
      <c r="FT3901" s="45"/>
    </row>
    <row r="3902" spans="5:176" x14ac:dyDescent="0.2">
      <c r="E3902" s="69"/>
      <c r="FT3902" s="45"/>
    </row>
    <row r="3903" spans="5:176" x14ac:dyDescent="0.2">
      <c r="E3903" s="69"/>
      <c r="FT3903" s="45"/>
    </row>
    <row r="3904" spans="5:176" x14ac:dyDescent="0.2">
      <c r="E3904" s="69"/>
      <c r="FT3904" s="45"/>
    </row>
    <row r="3905" spans="5:176" x14ac:dyDescent="0.2">
      <c r="E3905" s="69"/>
      <c r="FT3905" s="45"/>
    </row>
    <row r="3906" spans="5:176" x14ac:dyDescent="0.2">
      <c r="E3906" s="69"/>
      <c r="FT3906" s="45"/>
    </row>
    <row r="3907" spans="5:176" x14ac:dyDescent="0.2">
      <c r="E3907" s="69"/>
      <c r="FT3907" s="45"/>
    </row>
    <row r="3908" spans="5:176" x14ac:dyDescent="0.2">
      <c r="E3908" s="69"/>
      <c r="FT3908" s="45"/>
    </row>
    <row r="3909" spans="5:176" x14ac:dyDescent="0.2">
      <c r="E3909" s="69"/>
      <c r="FT3909" s="45"/>
    </row>
    <row r="3910" spans="5:176" x14ac:dyDescent="0.2">
      <c r="E3910" s="69"/>
      <c r="FT3910" s="45"/>
    </row>
    <row r="3911" spans="5:176" x14ac:dyDescent="0.2">
      <c r="E3911" s="69"/>
      <c r="FT3911" s="45"/>
    </row>
    <row r="3912" spans="5:176" x14ac:dyDescent="0.2">
      <c r="E3912" s="69"/>
      <c r="FT3912" s="45"/>
    </row>
    <row r="3913" spans="5:176" x14ac:dyDescent="0.2">
      <c r="E3913" s="69"/>
      <c r="FT3913" s="45"/>
    </row>
    <row r="3914" spans="5:176" x14ac:dyDescent="0.2">
      <c r="E3914" s="69"/>
      <c r="FT3914" s="45"/>
    </row>
    <row r="3915" spans="5:176" x14ac:dyDescent="0.2">
      <c r="E3915" s="69"/>
      <c r="FT3915" s="45"/>
    </row>
    <row r="3916" spans="5:176" x14ac:dyDescent="0.2">
      <c r="E3916" s="69"/>
      <c r="FT3916" s="45"/>
    </row>
    <row r="3917" spans="5:176" x14ac:dyDescent="0.2">
      <c r="E3917" s="69"/>
      <c r="FT3917" s="45"/>
    </row>
    <row r="3918" spans="5:176" x14ac:dyDescent="0.2">
      <c r="E3918" s="69"/>
      <c r="FT3918" s="45"/>
    </row>
    <row r="3919" spans="5:176" x14ac:dyDescent="0.2">
      <c r="E3919" s="69"/>
      <c r="FT3919" s="45"/>
    </row>
    <row r="3920" spans="5:176" x14ac:dyDescent="0.2">
      <c r="E3920" s="69"/>
      <c r="FT3920" s="45"/>
    </row>
    <row r="3921" spans="5:176" x14ac:dyDescent="0.2">
      <c r="E3921" s="69"/>
      <c r="FT3921" s="45"/>
    </row>
    <row r="3922" spans="5:176" x14ac:dyDescent="0.2">
      <c r="E3922" s="69"/>
      <c r="FT3922" s="45"/>
    </row>
    <row r="3923" spans="5:176" x14ac:dyDescent="0.2">
      <c r="E3923" s="69"/>
      <c r="FT3923" s="45"/>
    </row>
    <row r="3924" spans="5:176" x14ac:dyDescent="0.2">
      <c r="E3924" s="69"/>
      <c r="FT3924" s="45"/>
    </row>
    <row r="3925" spans="5:176" x14ac:dyDescent="0.2">
      <c r="E3925" s="69"/>
      <c r="FT3925" s="45"/>
    </row>
    <row r="3926" spans="5:176" x14ac:dyDescent="0.2">
      <c r="E3926" s="69"/>
      <c r="FT3926" s="45"/>
    </row>
    <row r="3927" spans="5:176" x14ac:dyDescent="0.2">
      <c r="E3927" s="69"/>
      <c r="FT3927" s="45"/>
    </row>
    <row r="3928" spans="5:176" x14ac:dyDescent="0.2">
      <c r="E3928" s="69"/>
      <c r="FT3928" s="45"/>
    </row>
    <row r="3929" spans="5:176" x14ac:dyDescent="0.2">
      <c r="E3929" s="69"/>
      <c r="FT3929" s="45"/>
    </row>
    <row r="3930" spans="5:176" x14ac:dyDescent="0.2">
      <c r="E3930" s="69"/>
      <c r="FT3930" s="45"/>
    </row>
    <row r="3931" spans="5:176" x14ac:dyDescent="0.2">
      <c r="E3931" s="69"/>
      <c r="FT3931" s="45"/>
    </row>
    <row r="3932" spans="5:176" x14ac:dyDescent="0.2">
      <c r="E3932" s="69"/>
      <c r="FT3932" s="45"/>
    </row>
    <row r="3933" spans="5:176" x14ac:dyDescent="0.2">
      <c r="E3933" s="69"/>
      <c r="FT3933" s="45"/>
    </row>
    <row r="3934" spans="5:176" x14ac:dyDescent="0.2">
      <c r="E3934" s="69"/>
      <c r="FT3934" s="45"/>
    </row>
    <row r="3935" spans="5:176" x14ac:dyDescent="0.2">
      <c r="E3935" s="69"/>
      <c r="FT3935" s="45"/>
    </row>
    <row r="3936" spans="5:176" x14ac:dyDescent="0.2">
      <c r="E3936" s="69"/>
      <c r="FT3936" s="45"/>
    </row>
    <row r="3937" spans="5:176" x14ac:dyDescent="0.2">
      <c r="E3937" s="69"/>
      <c r="FT3937" s="45"/>
    </row>
    <row r="3938" spans="5:176" x14ac:dyDescent="0.2">
      <c r="E3938" s="69"/>
      <c r="FT3938" s="45"/>
    </row>
    <row r="3939" spans="5:176" x14ac:dyDescent="0.2">
      <c r="E3939" s="69"/>
      <c r="FT3939" s="45"/>
    </row>
    <row r="3940" spans="5:176" x14ac:dyDescent="0.2">
      <c r="E3940" s="69"/>
      <c r="FT3940" s="45"/>
    </row>
    <row r="3941" spans="5:176" x14ac:dyDescent="0.2">
      <c r="E3941" s="69"/>
      <c r="FT3941" s="45"/>
    </row>
    <row r="3942" spans="5:176" x14ac:dyDescent="0.2">
      <c r="E3942" s="69"/>
      <c r="FT3942" s="45"/>
    </row>
    <row r="3943" spans="5:176" x14ac:dyDescent="0.2">
      <c r="E3943" s="69"/>
      <c r="FT3943" s="45"/>
    </row>
    <row r="3944" spans="5:176" x14ac:dyDescent="0.2">
      <c r="E3944" s="69"/>
      <c r="FT3944" s="45"/>
    </row>
    <row r="3945" spans="5:176" x14ac:dyDescent="0.2">
      <c r="E3945" s="69"/>
      <c r="FT3945" s="45"/>
    </row>
    <row r="3946" spans="5:176" x14ac:dyDescent="0.2">
      <c r="E3946" s="69"/>
      <c r="FT3946" s="45"/>
    </row>
    <row r="3947" spans="5:176" x14ac:dyDescent="0.2">
      <c r="E3947" s="69"/>
      <c r="FT3947" s="45"/>
    </row>
    <row r="3948" spans="5:176" x14ac:dyDescent="0.2">
      <c r="E3948" s="69"/>
      <c r="FT3948" s="45"/>
    </row>
    <row r="3949" spans="5:176" x14ac:dyDescent="0.2">
      <c r="E3949" s="69"/>
      <c r="FT3949" s="45"/>
    </row>
    <row r="3950" spans="5:176" x14ac:dyDescent="0.2">
      <c r="E3950" s="69"/>
      <c r="FT3950" s="45"/>
    </row>
    <row r="3951" spans="5:176" x14ac:dyDescent="0.2">
      <c r="E3951" s="69"/>
      <c r="FT3951" s="45"/>
    </row>
    <row r="3952" spans="5:176" x14ac:dyDescent="0.2">
      <c r="E3952" s="69"/>
      <c r="FT3952" s="45"/>
    </row>
    <row r="3953" spans="5:176" x14ac:dyDescent="0.2">
      <c r="E3953" s="69"/>
      <c r="FT3953" s="45"/>
    </row>
    <row r="3954" spans="5:176" x14ac:dyDescent="0.2">
      <c r="E3954" s="69"/>
      <c r="FT3954" s="45"/>
    </row>
    <row r="3955" spans="5:176" x14ac:dyDescent="0.2">
      <c r="E3955" s="69"/>
      <c r="FT3955" s="45"/>
    </row>
    <row r="3956" spans="5:176" x14ac:dyDescent="0.2">
      <c r="E3956" s="69"/>
      <c r="FT3956" s="45"/>
    </row>
    <row r="3957" spans="5:176" x14ac:dyDescent="0.2">
      <c r="E3957" s="69"/>
      <c r="FT3957" s="45"/>
    </row>
    <row r="3958" spans="5:176" x14ac:dyDescent="0.2">
      <c r="E3958" s="69"/>
      <c r="FT3958" s="45"/>
    </row>
    <row r="3959" spans="5:176" x14ac:dyDescent="0.2">
      <c r="E3959" s="69"/>
      <c r="FT3959" s="45"/>
    </row>
    <row r="3960" spans="5:176" x14ac:dyDescent="0.2">
      <c r="E3960" s="69"/>
      <c r="FT3960" s="45"/>
    </row>
    <row r="3961" spans="5:176" x14ac:dyDescent="0.2">
      <c r="E3961" s="69"/>
      <c r="FT3961" s="45"/>
    </row>
    <row r="3962" spans="5:176" x14ac:dyDescent="0.2">
      <c r="E3962" s="69"/>
      <c r="FT3962" s="45"/>
    </row>
    <row r="3963" spans="5:176" x14ac:dyDescent="0.2">
      <c r="E3963" s="69"/>
      <c r="FT3963" s="45"/>
    </row>
    <row r="3964" spans="5:176" x14ac:dyDescent="0.2">
      <c r="E3964" s="69"/>
      <c r="FT3964" s="45"/>
    </row>
    <row r="3965" spans="5:176" x14ac:dyDescent="0.2">
      <c r="E3965" s="69"/>
      <c r="FT3965" s="45"/>
    </row>
    <row r="3966" spans="5:176" x14ac:dyDescent="0.2">
      <c r="E3966" s="69"/>
      <c r="FT3966" s="45"/>
    </row>
    <row r="3967" spans="5:176" x14ac:dyDescent="0.2">
      <c r="E3967" s="69"/>
      <c r="FT3967" s="45"/>
    </row>
    <row r="3968" spans="5:176" x14ac:dyDescent="0.2">
      <c r="E3968" s="69"/>
      <c r="FT3968" s="45"/>
    </row>
    <row r="3969" spans="5:176" x14ac:dyDescent="0.2">
      <c r="E3969" s="69"/>
      <c r="FT3969" s="45"/>
    </row>
    <row r="3970" spans="5:176" x14ac:dyDescent="0.2">
      <c r="E3970" s="69"/>
      <c r="FT3970" s="45"/>
    </row>
    <row r="3971" spans="5:176" x14ac:dyDescent="0.2">
      <c r="E3971" s="69"/>
      <c r="FT3971" s="45"/>
    </row>
    <row r="3972" spans="5:176" x14ac:dyDescent="0.2">
      <c r="E3972" s="69"/>
      <c r="FT3972" s="45"/>
    </row>
    <row r="3973" spans="5:176" x14ac:dyDescent="0.2">
      <c r="E3973" s="69"/>
      <c r="FT3973" s="45"/>
    </row>
    <row r="3974" spans="5:176" x14ac:dyDescent="0.2">
      <c r="E3974" s="69"/>
      <c r="FT3974" s="45"/>
    </row>
    <row r="3975" spans="5:176" x14ac:dyDescent="0.2">
      <c r="E3975" s="69"/>
      <c r="FT3975" s="45"/>
    </row>
    <row r="3976" spans="5:176" x14ac:dyDescent="0.2">
      <c r="E3976" s="69"/>
      <c r="FT3976" s="45"/>
    </row>
    <row r="3977" spans="5:176" x14ac:dyDescent="0.2">
      <c r="E3977" s="69"/>
      <c r="FT3977" s="45"/>
    </row>
    <row r="3978" spans="5:176" x14ac:dyDescent="0.2">
      <c r="E3978" s="69"/>
      <c r="FT3978" s="45"/>
    </row>
    <row r="3979" spans="5:176" x14ac:dyDescent="0.2">
      <c r="E3979" s="69"/>
      <c r="FT3979" s="45"/>
    </row>
    <row r="3980" spans="5:176" x14ac:dyDescent="0.2">
      <c r="E3980" s="69"/>
      <c r="FT3980" s="45"/>
    </row>
    <row r="3981" spans="5:176" x14ac:dyDescent="0.2">
      <c r="E3981" s="69"/>
      <c r="FT3981" s="45"/>
    </row>
    <row r="3982" spans="5:176" x14ac:dyDescent="0.2">
      <c r="E3982" s="69"/>
      <c r="FT3982" s="45"/>
    </row>
    <row r="3983" spans="5:176" x14ac:dyDescent="0.2">
      <c r="E3983" s="69"/>
      <c r="FT3983" s="45"/>
    </row>
    <row r="3984" spans="5:176" x14ac:dyDescent="0.2">
      <c r="E3984" s="69"/>
      <c r="FT3984" s="45"/>
    </row>
    <row r="3985" spans="5:176" x14ac:dyDescent="0.2">
      <c r="E3985" s="69"/>
      <c r="FT3985" s="45"/>
    </row>
    <row r="3986" spans="5:176" x14ac:dyDescent="0.2">
      <c r="E3986" s="69"/>
      <c r="FT3986" s="45"/>
    </row>
    <row r="3987" spans="5:176" x14ac:dyDescent="0.2">
      <c r="E3987" s="69"/>
      <c r="FT3987" s="45"/>
    </row>
    <row r="3988" spans="5:176" x14ac:dyDescent="0.2">
      <c r="E3988" s="69"/>
      <c r="FT3988" s="45"/>
    </row>
    <row r="3989" spans="5:176" x14ac:dyDescent="0.2">
      <c r="E3989" s="69"/>
      <c r="FT3989" s="45"/>
    </row>
    <row r="3990" spans="5:176" x14ac:dyDescent="0.2">
      <c r="E3990" s="69"/>
      <c r="FT3990" s="45"/>
    </row>
    <row r="3991" spans="5:176" x14ac:dyDescent="0.2">
      <c r="E3991" s="69"/>
      <c r="FT3991" s="45"/>
    </row>
    <row r="3992" spans="5:176" x14ac:dyDescent="0.2">
      <c r="E3992" s="69"/>
      <c r="FT3992" s="45"/>
    </row>
    <row r="3993" spans="5:176" x14ac:dyDescent="0.2">
      <c r="E3993" s="69"/>
      <c r="FT3993" s="45"/>
    </row>
    <row r="3994" spans="5:176" x14ac:dyDescent="0.2">
      <c r="E3994" s="69"/>
      <c r="FT3994" s="45"/>
    </row>
    <row r="3995" spans="5:176" x14ac:dyDescent="0.2">
      <c r="E3995" s="69"/>
      <c r="FT3995" s="45"/>
    </row>
    <row r="3996" spans="5:176" x14ac:dyDescent="0.2">
      <c r="E3996" s="69"/>
      <c r="FT3996" s="45"/>
    </row>
    <row r="3997" spans="5:176" x14ac:dyDescent="0.2">
      <c r="E3997" s="69"/>
      <c r="FT3997" s="45"/>
    </row>
    <row r="3998" spans="5:176" x14ac:dyDescent="0.2">
      <c r="E3998" s="69"/>
      <c r="FT3998" s="45"/>
    </row>
    <row r="3999" spans="5:176" x14ac:dyDescent="0.2">
      <c r="E3999" s="69"/>
      <c r="FT3999" s="45"/>
    </row>
    <row r="4000" spans="5:176" x14ac:dyDescent="0.2">
      <c r="E4000" s="69"/>
      <c r="FT4000" s="45"/>
    </row>
    <row r="4001" spans="5:176" x14ac:dyDescent="0.2">
      <c r="E4001" s="69"/>
      <c r="FT4001" s="45"/>
    </row>
    <row r="4002" spans="5:176" x14ac:dyDescent="0.2">
      <c r="E4002" s="69"/>
      <c r="FT4002" s="45"/>
    </row>
    <row r="4003" spans="5:176" x14ac:dyDescent="0.2">
      <c r="E4003" s="69"/>
      <c r="FT4003" s="45"/>
    </row>
    <row r="4004" spans="5:176" x14ac:dyDescent="0.2">
      <c r="E4004" s="69"/>
      <c r="FT4004" s="45"/>
    </row>
    <row r="4005" spans="5:176" x14ac:dyDescent="0.2">
      <c r="E4005" s="69"/>
      <c r="FT4005" s="45"/>
    </row>
    <row r="4006" spans="5:176" x14ac:dyDescent="0.2">
      <c r="E4006" s="69"/>
      <c r="FT4006" s="45"/>
    </row>
    <row r="4007" spans="5:176" x14ac:dyDescent="0.2">
      <c r="E4007" s="69"/>
      <c r="FT4007" s="45"/>
    </row>
    <row r="4008" spans="5:176" x14ac:dyDescent="0.2">
      <c r="E4008" s="69"/>
      <c r="FT4008" s="45"/>
    </row>
    <row r="4009" spans="5:176" x14ac:dyDescent="0.2">
      <c r="E4009" s="69"/>
      <c r="FT4009" s="45"/>
    </row>
    <row r="4010" spans="5:176" x14ac:dyDescent="0.2">
      <c r="E4010" s="69"/>
      <c r="FT4010" s="45"/>
    </row>
    <row r="4011" spans="5:176" x14ac:dyDescent="0.2">
      <c r="E4011" s="69"/>
      <c r="FT4011" s="45"/>
    </row>
    <row r="4012" spans="5:176" x14ac:dyDescent="0.2">
      <c r="E4012" s="69"/>
      <c r="FT4012" s="45"/>
    </row>
    <row r="4013" spans="5:176" x14ac:dyDescent="0.2">
      <c r="E4013" s="69"/>
      <c r="FT4013" s="45"/>
    </row>
    <row r="4014" spans="5:176" x14ac:dyDescent="0.2">
      <c r="E4014" s="69"/>
      <c r="FT4014" s="45"/>
    </row>
    <row r="4015" spans="5:176" x14ac:dyDescent="0.2">
      <c r="E4015" s="69"/>
      <c r="FT4015" s="45"/>
    </row>
    <row r="4016" spans="5:176" x14ac:dyDescent="0.2">
      <c r="E4016" s="69"/>
      <c r="FT4016" s="45"/>
    </row>
    <row r="4017" spans="5:176" x14ac:dyDescent="0.2">
      <c r="E4017" s="69"/>
      <c r="FT4017" s="45"/>
    </row>
    <row r="4018" spans="5:176" x14ac:dyDescent="0.2">
      <c r="E4018" s="69"/>
      <c r="FT4018" s="45"/>
    </row>
    <row r="4019" spans="5:176" x14ac:dyDescent="0.2">
      <c r="E4019" s="69"/>
      <c r="FT4019" s="45"/>
    </row>
    <row r="4020" spans="5:176" x14ac:dyDescent="0.2">
      <c r="E4020" s="69"/>
      <c r="FT4020" s="45"/>
    </row>
    <row r="4021" spans="5:176" x14ac:dyDescent="0.2">
      <c r="E4021" s="69"/>
      <c r="FT4021" s="45"/>
    </row>
    <row r="4022" spans="5:176" x14ac:dyDescent="0.2">
      <c r="E4022" s="69"/>
      <c r="FT4022" s="45"/>
    </row>
    <row r="4023" spans="5:176" x14ac:dyDescent="0.2">
      <c r="E4023" s="69"/>
      <c r="FT4023" s="45"/>
    </row>
    <row r="4024" spans="5:176" x14ac:dyDescent="0.2">
      <c r="E4024" s="69"/>
      <c r="FT4024" s="45"/>
    </row>
    <row r="4025" spans="5:176" x14ac:dyDescent="0.2">
      <c r="E4025" s="69"/>
      <c r="FT4025" s="45"/>
    </row>
    <row r="4026" spans="5:176" x14ac:dyDescent="0.2">
      <c r="E4026" s="69"/>
      <c r="FT4026" s="45"/>
    </row>
    <row r="4027" spans="5:176" x14ac:dyDescent="0.2">
      <c r="E4027" s="69"/>
      <c r="FT4027" s="45"/>
    </row>
    <row r="4028" spans="5:176" x14ac:dyDescent="0.2">
      <c r="E4028" s="69"/>
      <c r="FT4028" s="45"/>
    </row>
    <row r="4029" spans="5:176" x14ac:dyDescent="0.2">
      <c r="E4029" s="69"/>
      <c r="FT4029" s="45"/>
    </row>
    <row r="4030" spans="5:176" x14ac:dyDescent="0.2">
      <c r="E4030" s="69"/>
      <c r="FT4030" s="45"/>
    </row>
    <row r="4031" spans="5:176" x14ac:dyDescent="0.2">
      <c r="E4031" s="69"/>
      <c r="FT4031" s="45"/>
    </row>
    <row r="4032" spans="5:176" x14ac:dyDescent="0.2">
      <c r="E4032" s="69"/>
      <c r="FT4032" s="45"/>
    </row>
    <row r="4033" spans="5:176" x14ac:dyDescent="0.2">
      <c r="E4033" s="69"/>
      <c r="FT4033" s="45"/>
    </row>
    <row r="4034" spans="5:176" x14ac:dyDescent="0.2">
      <c r="E4034" s="69"/>
      <c r="FT4034" s="45"/>
    </row>
    <row r="4035" spans="5:176" x14ac:dyDescent="0.2">
      <c r="E4035" s="69"/>
      <c r="FT4035" s="45"/>
    </row>
    <row r="4036" spans="5:176" x14ac:dyDescent="0.2">
      <c r="E4036" s="69"/>
      <c r="FT4036" s="45"/>
    </row>
    <row r="4037" spans="5:176" x14ac:dyDescent="0.2">
      <c r="E4037" s="69"/>
      <c r="FT4037" s="45"/>
    </row>
    <row r="4038" spans="5:176" x14ac:dyDescent="0.2">
      <c r="E4038" s="69"/>
      <c r="FT4038" s="45"/>
    </row>
    <row r="4039" spans="5:176" x14ac:dyDescent="0.2">
      <c r="E4039" s="69"/>
      <c r="FT4039" s="45"/>
    </row>
    <row r="4040" spans="5:176" x14ac:dyDescent="0.2">
      <c r="E4040" s="69"/>
      <c r="FT4040" s="45"/>
    </row>
    <row r="4041" spans="5:176" x14ac:dyDescent="0.2">
      <c r="E4041" s="69"/>
      <c r="FT4041" s="45"/>
    </row>
    <row r="4042" spans="5:176" x14ac:dyDescent="0.2">
      <c r="E4042" s="69"/>
      <c r="FT4042" s="45"/>
    </row>
    <row r="4043" spans="5:176" x14ac:dyDescent="0.2">
      <c r="E4043" s="69"/>
      <c r="FT4043" s="45"/>
    </row>
    <row r="4044" spans="5:176" x14ac:dyDescent="0.2">
      <c r="E4044" s="69"/>
      <c r="FT4044" s="45"/>
    </row>
    <row r="4045" spans="5:176" x14ac:dyDescent="0.2">
      <c r="E4045" s="69"/>
      <c r="FT4045" s="45"/>
    </row>
    <row r="4046" spans="5:176" x14ac:dyDescent="0.2">
      <c r="E4046" s="69"/>
      <c r="FT4046" s="45"/>
    </row>
    <row r="4047" spans="5:176" x14ac:dyDescent="0.2">
      <c r="E4047" s="69"/>
      <c r="FT4047" s="45"/>
    </row>
    <row r="4048" spans="5:176" x14ac:dyDescent="0.2">
      <c r="E4048" s="69"/>
      <c r="FT4048" s="45"/>
    </row>
    <row r="4049" spans="5:176" x14ac:dyDescent="0.2">
      <c r="E4049" s="69"/>
      <c r="FT4049" s="45"/>
    </row>
    <row r="4050" spans="5:176" x14ac:dyDescent="0.2">
      <c r="E4050" s="69"/>
      <c r="FT4050" s="45"/>
    </row>
    <row r="4051" spans="5:176" x14ac:dyDescent="0.2">
      <c r="E4051" s="69"/>
      <c r="FT4051" s="45"/>
    </row>
    <row r="4052" spans="5:176" x14ac:dyDescent="0.2">
      <c r="E4052" s="69"/>
      <c r="FT4052" s="45"/>
    </row>
    <row r="4053" spans="5:176" x14ac:dyDescent="0.2">
      <c r="E4053" s="69"/>
      <c r="FT4053" s="45"/>
    </row>
    <row r="4054" spans="5:176" x14ac:dyDescent="0.2">
      <c r="E4054" s="69"/>
      <c r="FT4054" s="45"/>
    </row>
    <row r="4055" spans="5:176" x14ac:dyDescent="0.2">
      <c r="E4055" s="69"/>
      <c r="FT4055" s="45"/>
    </row>
    <row r="4056" spans="5:176" x14ac:dyDescent="0.2">
      <c r="E4056" s="69"/>
      <c r="FT4056" s="45"/>
    </row>
    <row r="4057" spans="5:176" x14ac:dyDescent="0.2">
      <c r="E4057" s="69"/>
      <c r="FT4057" s="45"/>
    </row>
    <row r="4058" spans="5:176" x14ac:dyDescent="0.2">
      <c r="E4058" s="69"/>
      <c r="FT4058" s="45"/>
    </row>
    <row r="4059" spans="5:176" x14ac:dyDescent="0.2">
      <c r="E4059" s="69"/>
      <c r="FT4059" s="45"/>
    </row>
    <row r="4060" spans="5:176" x14ac:dyDescent="0.2">
      <c r="E4060" s="69"/>
      <c r="FT4060" s="45"/>
    </row>
    <row r="4061" spans="5:176" x14ac:dyDescent="0.2">
      <c r="E4061" s="69"/>
      <c r="FT4061" s="45"/>
    </row>
    <row r="4062" spans="5:176" x14ac:dyDescent="0.2">
      <c r="E4062" s="69"/>
      <c r="FT4062" s="45"/>
    </row>
    <row r="4063" spans="5:176" x14ac:dyDescent="0.2">
      <c r="E4063" s="69"/>
      <c r="FT4063" s="45"/>
    </row>
    <row r="4064" spans="5:176" x14ac:dyDescent="0.2">
      <c r="E4064" s="69"/>
      <c r="FT4064" s="45"/>
    </row>
    <row r="4065" spans="5:176" x14ac:dyDescent="0.2">
      <c r="E4065" s="69"/>
      <c r="FT4065" s="45"/>
    </row>
    <row r="4066" spans="5:176" x14ac:dyDescent="0.2">
      <c r="E4066" s="69"/>
      <c r="FT4066" s="45"/>
    </row>
    <row r="4067" spans="5:176" x14ac:dyDescent="0.2">
      <c r="E4067" s="69"/>
      <c r="FT4067" s="45"/>
    </row>
    <row r="4068" spans="5:176" x14ac:dyDescent="0.2">
      <c r="E4068" s="69"/>
      <c r="FT4068" s="45"/>
    </row>
    <row r="4069" spans="5:176" x14ac:dyDescent="0.2">
      <c r="E4069" s="69"/>
      <c r="FT4069" s="45"/>
    </row>
    <row r="4070" spans="5:176" x14ac:dyDescent="0.2">
      <c r="E4070" s="69"/>
      <c r="FT4070" s="45"/>
    </row>
    <row r="4071" spans="5:176" x14ac:dyDescent="0.2">
      <c r="E4071" s="69"/>
      <c r="FT4071" s="45"/>
    </row>
    <row r="4072" spans="5:176" x14ac:dyDescent="0.2">
      <c r="E4072" s="69"/>
      <c r="FT4072" s="45"/>
    </row>
    <row r="4073" spans="5:176" x14ac:dyDescent="0.2">
      <c r="E4073" s="69"/>
      <c r="FT4073" s="45"/>
    </row>
    <row r="4074" spans="5:176" x14ac:dyDescent="0.2">
      <c r="E4074" s="69"/>
      <c r="FT4074" s="45"/>
    </row>
    <row r="4075" spans="5:176" x14ac:dyDescent="0.2">
      <c r="E4075" s="69"/>
      <c r="FT4075" s="45"/>
    </row>
    <row r="4076" spans="5:176" x14ac:dyDescent="0.2">
      <c r="E4076" s="69"/>
      <c r="FT4076" s="45"/>
    </row>
    <row r="4077" spans="5:176" x14ac:dyDescent="0.2">
      <c r="E4077" s="69"/>
      <c r="FT4077" s="45"/>
    </row>
    <row r="4078" spans="5:176" x14ac:dyDescent="0.2">
      <c r="E4078" s="69"/>
      <c r="FT4078" s="45"/>
    </row>
    <row r="4079" spans="5:176" x14ac:dyDescent="0.2">
      <c r="E4079" s="69"/>
      <c r="FT4079" s="45"/>
    </row>
    <row r="4080" spans="5:176" x14ac:dyDescent="0.2">
      <c r="E4080" s="69"/>
      <c r="FT4080" s="45"/>
    </row>
    <row r="4081" spans="5:176" x14ac:dyDescent="0.2">
      <c r="E4081" s="69"/>
      <c r="FT4081" s="45"/>
    </row>
    <row r="4082" spans="5:176" x14ac:dyDescent="0.2">
      <c r="E4082" s="69"/>
      <c r="FT4082" s="45"/>
    </row>
    <row r="4083" spans="5:176" x14ac:dyDescent="0.2">
      <c r="E4083" s="69"/>
      <c r="FT4083" s="45"/>
    </row>
    <row r="4084" spans="5:176" x14ac:dyDescent="0.2">
      <c r="E4084" s="69"/>
      <c r="FT4084" s="45"/>
    </row>
    <row r="4085" spans="5:176" x14ac:dyDescent="0.2">
      <c r="E4085" s="69"/>
      <c r="FT4085" s="45"/>
    </row>
    <row r="4086" spans="5:176" x14ac:dyDescent="0.2">
      <c r="E4086" s="69"/>
      <c r="FT4086" s="45"/>
    </row>
    <row r="4087" spans="5:176" x14ac:dyDescent="0.2">
      <c r="E4087" s="69"/>
      <c r="FT4087" s="45"/>
    </row>
    <row r="4088" spans="5:176" x14ac:dyDescent="0.2">
      <c r="E4088" s="69"/>
      <c r="FT4088" s="45"/>
    </row>
    <row r="4089" spans="5:176" x14ac:dyDescent="0.2">
      <c r="E4089" s="69"/>
      <c r="FT4089" s="45"/>
    </row>
    <row r="4090" spans="5:176" x14ac:dyDescent="0.2">
      <c r="E4090" s="69"/>
      <c r="FT4090" s="45"/>
    </row>
    <row r="4091" spans="5:176" x14ac:dyDescent="0.2">
      <c r="E4091" s="69"/>
      <c r="FT4091" s="45"/>
    </row>
    <row r="4092" spans="5:176" x14ac:dyDescent="0.2">
      <c r="E4092" s="69"/>
      <c r="FT4092" s="45"/>
    </row>
    <row r="4093" spans="5:176" x14ac:dyDescent="0.2">
      <c r="E4093" s="69"/>
      <c r="FT4093" s="45"/>
    </row>
    <row r="4094" spans="5:176" x14ac:dyDescent="0.2">
      <c r="E4094" s="69"/>
      <c r="FT4094" s="45"/>
    </row>
    <row r="4095" spans="5:176" x14ac:dyDescent="0.2">
      <c r="E4095" s="69"/>
      <c r="FT4095" s="45"/>
    </row>
    <row r="4096" spans="5:176" x14ac:dyDescent="0.2">
      <c r="E4096" s="69"/>
      <c r="FT4096" s="45"/>
    </row>
    <row r="4097" spans="5:176" x14ac:dyDescent="0.2">
      <c r="E4097" s="69"/>
      <c r="FT4097" s="45"/>
    </row>
    <row r="4098" spans="5:176" x14ac:dyDescent="0.2">
      <c r="E4098" s="69"/>
      <c r="FT4098" s="45"/>
    </row>
    <row r="4099" spans="5:176" x14ac:dyDescent="0.2">
      <c r="E4099" s="69"/>
      <c r="FT4099" s="45"/>
    </row>
    <row r="4100" spans="5:176" x14ac:dyDescent="0.2">
      <c r="E4100" s="69"/>
      <c r="FT4100" s="45"/>
    </row>
    <row r="4101" spans="5:176" x14ac:dyDescent="0.2">
      <c r="E4101" s="69"/>
      <c r="FT4101" s="45"/>
    </row>
    <row r="4102" spans="5:176" x14ac:dyDescent="0.2">
      <c r="E4102" s="69"/>
      <c r="FT4102" s="45"/>
    </row>
    <row r="4103" spans="5:176" x14ac:dyDescent="0.2">
      <c r="E4103" s="69"/>
      <c r="FT4103" s="45"/>
    </row>
    <row r="4104" spans="5:176" x14ac:dyDescent="0.2">
      <c r="E4104" s="69"/>
      <c r="FT4104" s="45"/>
    </row>
    <row r="4105" spans="5:176" x14ac:dyDescent="0.2">
      <c r="E4105" s="69"/>
      <c r="FT4105" s="45"/>
    </row>
    <row r="4106" spans="5:176" x14ac:dyDescent="0.2">
      <c r="E4106" s="69"/>
      <c r="FT4106" s="45"/>
    </row>
    <row r="4107" spans="5:176" x14ac:dyDescent="0.2">
      <c r="E4107" s="69"/>
      <c r="FT4107" s="45"/>
    </row>
    <row r="4108" spans="5:176" x14ac:dyDescent="0.2">
      <c r="E4108" s="69"/>
      <c r="FT4108" s="45"/>
    </row>
    <row r="4109" spans="5:176" x14ac:dyDescent="0.2">
      <c r="E4109" s="69"/>
      <c r="FT4109" s="45"/>
    </row>
    <row r="4110" spans="5:176" x14ac:dyDescent="0.2">
      <c r="E4110" s="69"/>
      <c r="FT4110" s="45"/>
    </row>
    <row r="4111" spans="5:176" x14ac:dyDescent="0.2">
      <c r="E4111" s="69"/>
      <c r="FT4111" s="45"/>
    </row>
    <row r="4112" spans="5:176" x14ac:dyDescent="0.2">
      <c r="E4112" s="69"/>
      <c r="FT4112" s="45"/>
    </row>
    <row r="4113" spans="5:176" x14ac:dyDescent="0.2">
      <c r="E4113" s="69"/>
      <c r="FT4113" s="45"/>
    </row>
    <row r="4114" spans="5:176" x14ac:dyDescent="0.2">
      <c r="E4114" s="69"/>
      <c r="FT4114" s="45"/>
    </row>
    <row r="4115" spans="5:176" x14ac:dyDescent="0.2">
      <c r="E4115" s="69"/>
      <c r="FT4115" s="45"/>
    </row>
    <row r="4116" spans="5:176" x14ac:dyDescent="0.2">
      <c r="E4116" s="69"/>
      <c r="FT4116" s="45"/>
    </row>
    <row r="4117" spans="5:176" x14ac:dyDescent="0.2">
      <c r="E4117" s="69"/>
      <c r="FT4117" s="45"/>
    </row>
    <row r="4118" spans="5:176" x14ac:dyDescent="0.2">
      <c r="E4118" s="69"/>
      <c r="FT4118" s="45"/>
    </row>
    <row r="4119" spans="5:176" x14ac:dyDescent="0.2">
      <c r="E4119" s="69"/>
      <c r="FT4119" s="45"/>
    </row>
    <row r="4120" spans="5:176" x14ac:dyDescent="0.2">
      <c r="E4120" s="69"/>
      <c r="FT4120" s="45"/>
    </row>
    <row r="4121" spans="5:176" x14ac:dyDescent="0.2">
      <c r="E4121" s="69"/>
      <c r="FT4121" s="45"/>
    </row>
    <row r="4122" spans="5:176" x14ac:dyDescent="0.2">
      <c r="E4122" s="69"/>
      <c r="FT4122" s="45"/>
    </row>
    <row r="4123" spans="5:176" x14ac:dyDescent="0.2">
      <c r="E4123" s="69"/>
      <c r="FT4123" s="45"/>
    </row>
    <row r="4124" spans="5:176" x14ac:dyDescent="0.2">
      <c r="E4124" s="69"/>
      <c r="FT4124" s="45"/>
    </row>
    <row r="4125" spans="5:176" x14ac:dyDescent="0.2">
      <c r="E4125" s="69"/>
      <c r="FT4125" s="45"/>
    </row>
    <row r="4126" spans="5:176" x14ac:dyDescent="0.2">
      <c r="E4126" s="69"/>
      <c r="FT4126" s="45"/>
    </row>
    <row r="4127" spans="5:176" x14ac:dyDescent="0.2">
      <c r="E4127" s="69"/>
      <c r="FT4127" s="45"/>
    </row>
    <row r="4128" spans="5:176" x14ac:dyDescent="0.2">
      <c r="E4128" s="69"/>
      <c r="FT4128" s="45"/>
    </row>
    <row r="4129" spans="5:176" x14ac:dyDescent="0.2">
      <c r="E4129" s="69"/>
      <c r="FT4129" s="45"/>
    </row>
    <row r="4130" spans="5:176" x14ac:dyDescent="0.2">
      <c r="E4130" s="69"/>
      <c r="FT4130" s="45"/>
    </row>
    <row r="4131" spans="5:176" x14ac:dyDescent="0.2">
      <c r="E4131" s="69"/>
      <c r="FT4131" s="45"/>
    </row>
    <row r="4132" spans="5:176" x14ac:dyDescent="0.2">
      <c r="E4132" s="69"/>
      <c r="FT4132" s="45"/>
    </row>
    <row r="4133" spans="5:176" x14ac:dyDescent="0.2">
      <c r="E4133" s="69"/>
      <c r="FT4133" s="45"/>
    </row>
    <row r="4134" spans="5:176" x14ac:dyDescent="0.2">
      <c r="E4134" s="69"/>
      <c r="FT4134" s="45"/>
    </row>
    <row r="4135" spans="5:176" x14ac:dyDescent="0.2">
      <c r="E4135" s="69"/>
      <c r="FT4135" s="45"/>
    </row>
    <row r="4136" spans="5:176" x14ac:dyDescent="0.2">
      <c r="E4136" s="69"/>
      <c r="FT4136" s="45"/>
    </row>
    <row r="4137" spans="5:176" x14ac:dyDescent="0.2">
      <c r="E4137" s="69"/>
      <c r="FT4137" s="45"/>
    </row>
    <row r="4138" spans="5:176" x14ac:dyDescent="0.2">
      <c r="E4138" s="69"/>
      <c r="FT4138" s="45"/>
    </row>
    <row r="4139" spans="5:176" x14ac:dyDescent="0.2">
      <c r="E4139" s="69"/>
      <c r="FT4139" s="45"/>
    </row>
    <row r="4140" spans="5:176" x14ac:dyDescent="0.2">
      <c r="E4140" s="69"/>
      <c r="FT4140" s="45"/>
    </row>
    <row r="4141" spans="5:176" x14ac:dyDescent="0.2">
      <c r="E4141" s="69"/>
      <c r="FT4141" s="45"/>
    </row>
    <row r="4142" spans="5:176" x14ac:dyDescent="0.2">
      <c r="E4142" s="69"/>
      <c r="FT4142" s="45"/>
    </row>
    <row r="4143" spans="5:176" x14ac:dyDescent="0.2">
      <c r="E4143" s="69"/>
      <c r="FT4143" s="45"/>
    </row>
    <row r="4144" spans="5:176" x14ac:dyDescent="0.2">
      <c r="E4144" s="69"/>
      <c r="FT4144" s="45"/>
    </row>
    <row r="4145" spans="5:176" x14ac:dyDescent="0.2">
      <c r="E4145" s="69"/>
      <c r="FT4145" s="45"/>
    </row>
    <row r="4146" spans="5:176" x14ac:dyDescent="0.2">
      <c r="E4146" s="69"/>
      <c r="FT4146" s="45"/>
    </row>
    <row r="4147" spans="5:176" x14ac:dyDescent="0.2">
      <c r="E4147" s="69"/>
      <c r="FT4147" s="45"/>
    </row>
    <row r="4148" spans="5:176" x14ac:dyDescent="0.2">
      <c r="E4148" s="69"/>
      <c r="FT4148" s="45"/>
    </row>
    <row r="4149" spans="5:176" x14ac:dyDescent="0.2">
      <c r="E4149" s="69"/>
      <c r="FT4149" s="45"/>
    </row>
    <row r="4150" spans="5:176" x14ac:dyDescent="0.2">
      <c r="E4150" s="69"/>
      <c r="FT4150" s="45"/>
    </row>
    <row r="4151" spans="5:176" x14ac:dyDescent="0.2">
      <c r="E4151" s="69"/>
      <c r="FT4151" s="45"/>
    </row>
    <row r="4152" spans="5:176" x14ac:dyDescent="0.2">
      <c r="E4152" s="69"/>
      <c r="FT4152" s="45"/>
    </row>
    <row r="4153" spans="5:176" x14ac:dyDescent="0.2">
      <c r="E4153" s="69"/>
      <c r="FT4153" s="45"/>
    </row>
    <row r="4154" spans="5:176" x14ac:dyDescent="0.2">
      <c r="E4154" s="69"/>
      <c r="FT4154" s="45"/>
    </row>
    <row r="4155" spans="5:176" x14ac:dyDescent="0.2">
      <c r="E4155" s="69"/>
      <c r="FT4155" s="45"/>
    </row>
    <row r="4156" spans="5:176" x14ac:dyDescent="0.2">
      <c r="E4156" s="69"/>
      <c r="FT4156" s="45"/>
    </row>
    <row r="4157" spans="5:176" x14ac:dyDescent="0.2">
      <c r="E4157" s="69"/>
      <c r="FT4157" s="45"/>
    </row>
    <row r="4158" spans="5:176" x14ac:dyDescent="0.2">
      <c r="E4158" s="69"/>
      <c r="FT4158" s="45"/>
    </row>
    <row r="4159" spans="5:176" x14ac:dyDescent="0.2">
      <c r="E4159" s="69"/>
      <c r="FT4159" s="45"/>
    </row>
    <row r="4160" spans="5:176" x14ac:dyDescent="0.2">
      <c r="E4160" s="69"/>
      <c r="FT4160" s="45"/>
    </row>
    <row r="4161" spans="5:176" x14ac:dyDescent="0.2">
      <c r="E4161" s="69"/>
      <c r="FT4161" s="45"/>
    </row>
    <row r="4162" spans="5:176" x14ac:dyDescent="0.2">
      <c r="E4162" s="69"/>
      <c r="FT4162" s="45"/>
    </row>
    <row r="4163" spans="5:176" x14ac:dyDescent="0.2">
      <c r="E4163" s="69"/>
      <c r="FT4163" s="45"/>
    </row>
    <row r="4164" spans="5:176" x14ac:dyDescent="0.2">
      <c r="E4164" s="69"/>
      <c r="FT4164" s="45"/>
    </row>
    <row r="4165" spans="5:176" x14ac:dyDescent="0.2">
      <c r="E4165" s="69"/>
      <c r="FT4165" s="45"/>
    </row>
    <row r="4166" spans="5:176" x14ac:dyDescent="0.2">
      <c r="E4166" s="69"/>
      <c r="FT4166" s="45"/>
    </row>
    <row r="4167" spans="5:176" x14ac:dyDescent="0.2">
      <c r="E4167" s="69"/>
      <c r="FT4167" s="45"/>
    </row>
    <row r="4168" spans="5:176" x14ac:dyDescent="0.2">
      <c r="E4168" s="69"/>
      <c r="FT4168" s="45"/>
    </row>
    <row r="4169" spans="5:176" x14ac:dyDescent="0.2">
      <c r="E4169" s="69"/>
      <c r="FT4169" s="45"/>
    </row>
    <row r="4170" spans="5:176" x14ac:dyDescent="0.2">
      <c r="E4170" s="69"/>
      <c r="FT4170" s="45"/>
    </row>
    <row r="4171" spans="5:176" x14ac:dyDescent="0.2">
      <c r="E4171" s="69"/>
      <c r="FT4171" s="45"/>
    </row>
    <row r="4172" spans="5:176" x14ac:dyDescent="0.2">
      <c r="E4172" s="69"/>
      <c r="FT4172" s="45"/>
    </row>
    <row r="4173" spans="5:176" x14ac:dyDescent="0.2">
      <c r="E4173" s="69"/>
      <c r="FT4173" s="45"/>
    </row>
    <row r="4174" spans="5:176" x14ac:dyDescent="0.2">
      <c r="E4174" s="69"/>
      <c r="FT4174" s="45"/>
    </row>
    <row r="4175" spans="5:176" x14ac:dyDescent="0.2">
      <c r="E4175" s="69"/>
      <c r="FT4175" s="45"/>
    </row>
    <row r="4176" spans="5:176" x14ac:dyDescent="0.2">
      <c r="E4176" s="69"/>
      <c r="FT4176" s="45"/>
    </row>
    <row r="4177" spans="5:176" x14ac:dyDescent="0.2">
      <c r="E4177" s="69"/>
      <c r="FT4177" s="45"/>
    </row>
    <row r="4178" spans="5:176" x14ac:dyDescent="0.2">
      <c r="E4178" s="69"/>
      <c r="FT4178" s="45"/>
    </row>
    <row r="4179" spans="5:176" x14ac:dyDescent="0.2">
      <c r="E4179" s="69"/>
      <c r="FT4179" s="45"/>
    </row>
    <row r="4180" spans="5:176" x14ac:dyDescent="0.2">
      <c r="E4180" s="69"/>
      <c r="FT4180" s="45"/>
    </row>
    <row r="4181" spans="5:176" x14ac:dyDescent="0.2">
      <c r="E4181" s="69"/>
      <c r="FT4181" s="45"/>
    </row>
    <row r="4182" spans="5:176" x14ac:dyDescent="0.2">
      <c r="E4182" s="69"/>
      <c r="FT4182" s="45"/>
    </row>
    <row r="4183" spans="5:176" x14ac:dyDescent="0.2">
      <c r="E4183" s="69"/>
      <c r="FT4183" s="45"/>
    </row>
    <row r="4184" spans="5:176" x14ac:dyDescent="0.2">
      <c r="E4184" s="69"/>
      <c r="FT4184" s="45"/>
    </row>
    <row r="4185" spans="5:176" x14ac:dyDescent="0.2">
      <c r="E4185" s="69"/>
      <c r="FT4185" s="45"/>
    </row>
    <row r="4186" spans="5:176" x14ac:dyDescent="0.2">
      <c r="E4186" s="69"/>
      <c r="FT4186" s="45"/>
    </row>
    <row r="4187" spans="5:176" x14ac:dyDescent="0.2">
      <c r="E4187" s="69"/>
      <c r="FT4187" s="45"/>
    </row>
    <row r="4188" spans="5:176" x14ac:dyDescent="0.2">
      <c r="E4188" s="69"/>
      <c r="FT4188" s="45"/>
    </row>
    <row r="4189" spans="5:176" x14ac:dyDescent="0.2">
      <c r="E4189" s="69"/>
      <c r="FT4189" s="45"/>
    </row>
    <row r="4190" spans="5:176" x14ac:dyDescent="0.2">
      <c r="E4190" s="69"/>
      <c r="FT4190" s="45"/>
    </row>
    <row r="4191" spans="5:176" x14ac:dyDescent="0.2">
      <c r="E4191" s="69"/>
      <c r="FT4191" s="45"/>
    </row>
    <row r="4192" spans="5:176" x14ac:dyDescent="0.2">
      <c r="E4192" s="69"/>
      <c r="FT4192" s="45"/>
    </row>
    <row r="4193" spans="5:176" x14ac:dyDescent="0.2">
      <c r="E4193" s="69"/>
      <c r="FT4193" s="45"/>
    </row>
    <row r="4194" spans="5:176" x14ac:dyDescent="0.2">
      <c r="E4194" s="69"/>
      <c r="FT4194" s="45"/>
    </row>
    <row r="4195" spans="5:176" x14ac:dyDescent="0.2">
      <c r="E4195" s="69"/>
      <c r="FT4195" s="45"/>
    </row>
    <row r="4196" spans="5:176" x14ac:dyDescent="0.2">
      <c r="E4196" s="69"/>
      <c r="FT4196" s="45"/>
    </row>
    <row r="4197" spans="5:176" x14ac:dyDescent="0.2">
      <c r="E4197" s="69"/>
      <c r="FT4197" s="45"/>
    </row>
    <row r="4198" spans="5:176" x14ac:dyDescent="0.2">
      <c r="E4198" s="69"/>
      <c r="FT4198" s="45"/>
    </row>
    <row r="4199" spans="5:176" x14ac:dyDescent="0.2">
      <c r="E4199" s="69"/>
      <c r="FT4199" s="45"/>
    </row>
    <row r="4200" spans="5:176" x14ac:dyDescent="0.2">
      <c r="E4200" s="69"/>
      <c r="FT4200" s="45"/>
    </row>
    <row r="4201" spans="5:176" x14ac:dyDescent="0.2">
      <c r="E4201" s="69"/>
      <c r="FT4201" s="45"/>
    </row>
    <row r="4202" spans="5:176" x14ac:dyDescent="0.2">
      <c r="E4202" s="69"/>
      <c r="FT4202" s="45"/>
    </row>
    <row r="4203" spans="5:176" x14ac:dyDescent="0.2">
      <c r="E4203" s="69"/>
      <c r="FT4203" s="45"/>
    </row>
    <row r="4204" spans="5:176" x14ac:dyDescent="0.2">
      <c r="E4204" s="69"/>
      <c r="FT4204" s="45"/>
    </row>
    <row r="4205" spans="5:176" x14ac:dyDescent="0.2">
      <c r="E4205" s="69"/>
      <c r="FT4205" s="45"/>
    </row>
    <row r="4206" spans="5:176" x14ac:dyDescent="0.2">
      <c r="E4206" s="69"/>
      <c r="FT4206" s="45"/>
    </row>
    <row r="4207" spans="5:176" x14ac:dyDescent="0.2">
      <c r="E4207" s="69"/>
      <c r="FT4207" s="45"/>
    </row>
    <row r="4208" spans="5:176" x14ac:dyDescent="0.2">
      <c r="E4208" s="69"/>
      <c r="FT4208" s="45"/>
    </row>
    <row r="4209" spans="5:176" x14ac:dyDescent="0.2">
      <c r="E4209" s="69"/>
      <c r="FT4209" s="45"/>
    </row>
    <row r="4210" spans="5:176" x14ac:dyDescent="0.2">
      <c r="E4210" s="69"/>
      <c r="FT4210" s="45"/>
    </row>
    <row r="4211" spans="5:176" x14ac:dyDescent="0.2">
      <c r="E4211" s="69"/>
      <c r="FT4211" s="45"/>
    </row>
    <row r="4212" spans="5:176" x14ac:dyDescent="0.2">
      <c r="E4212" s="69"/>
      <c r="FT4212" s="45"/>
    </row>
    <row r="4213" spans="5:176" x14ac:dyDescent="0.2">
      <c r="E4213" s="69"/>
      <c r="FT4213" s="45"/>
    </row>
    <row r="4214" spans="5:176" x14ac:dyDescent="0.2">
      <c r="E4214" s="69"/>
      <c r="FT4214" s="45"/>
    </row>
    <row r="4215" spans="5:176" x14ac:dyDescent="0.2">
      <c r="E4215" s="69"/>
      <c r="FT4215" s="45"/>
    </row>
    <row r="4216" spans="5:176" x14ac:dyDescent="0.2">
      <c r="E4216" s="69"/>
      <c r="FT4216" s="45"/>
    </row>
    <row r="4217" spans="5:176" x14ac:dyDescent="0.2">
      <c r="E4217" s="69"/>
      <c r="FT4217" s="45"/>
    </row>
    <row r="4218" spans="5:176" x14ac:dyDescent="0.2">
      <c r="E4218" s="69"/>
      <c r="FT4218" s="45"/>
    </row>
    <row r="4219" spans="5:176" x14ac:dyDescent="0.2">
      <c r="E4219" s="69"/>
      <c r="FT4219" s="45"/>
    </row>
    <row r="4220" spans="5:176" x14ac:dyDescent="0.2">
      <c r="E4220" s="69"/>
      <c r="FT4220" s="45"/>
    </row>
    <row r="4221" spans="5:176" x14ac:dyDescent="0.2">
      <c r="E4221" s="69"/>
      <c r="FT4221" s="45"/>
    </row>
    <row r="4222" spans="5:176" x14ac:dyDescent="0.2">
      <c r="E4222" s="69"/>
      <c r="FT4222" s="45"/>
    </row>
    <row r="4223" spans="5:176" x14ac:dyDescent="0.2">
      <c r="E4223" s="69"/>
      <c r="FT4223" s="45"/>
    </row>
    <row r="4224" spans="5:176" x14ac:dyDescent="0.2">
      <c r="E4224" s="69"/>
      <c r="FT4224" s="45"/>
    </row>
    <row r="4225" spans="5:176" x14ac:dyDescent="0.2">
      <c r="E4225" s="69"/>
      <c r="FT4225" s="45"/>
    </row>
    <row r="4226" spans="5:176" x14ac:dyDescent="0.2">
      <c r="E4226" s="69"/>
      <c r="FT4226" s="45"/>
    </row>
    <row r="4227" spans="5:176" x14ac:dyDescent="0.2">
      <c r="E4227" s="69"/>
      <c r="FT4227" s="45"/>
    </row>
    <row r="4228" spans="5:176" x14ac:dyDescent="0.2">
      <c r="E4228" s="69"/>
      <c r="FT4228" s="45"/>
    </row>
    <row r="4229" spans="5:176" x14ac:dyDescent="0.2">
      <c r="E4229" s="69"/>
      <c r="FT4229" s="45"/>
    </row>
    <row r="4230" spans="5:176" x14ac:dyDescent="0.2">
      <c r="E4230" s="69"/>
      <c r="FT4230" s="45"/>
    </row>
    <row r="4231" spans="5:176" x14ac:dyDescent="0.2">
      <c r="E4231" s="69"/>
      <c r="FT4231" s="45"/>
    </row>
    <row r="4232" spans="5:176" x14ac:dyDescent="0.2">
      <c r="E4232" s="69"/>
      <c r="FT4232" s="45"/>
    </row>
    <row r="4233" spans="5:176" x14ac:dyDescent="0.2">
      <c r="E4233" s="69"/>
      <c r="FT4233" s="45"/>
    </row>
    <row r="4234" spans="5:176" x14ac:dyDescent="0.2">
      <c r="E4234" s="69"/>
      <c r="FT4234" s="45"/>
    </row>
    <row r="4235" spans="5:176" x14ac:dyDescent="0.2">
      <c r="E4235" s="69"/>
      <c r="FT4235" s="45"/>
    </row>
    <row r="4236" spans="5:176" x14ac:dyDescent="0.2">
      <c r="E4236" s="69"/>
      <c r="FT4236" s="45"/>
    </row>
    <row r="4237" spans="5:176" x14ac:dyDescent="0.2">
      <c r="E4237" s="69"/>
      <c r="FT4237" s="45"/>
    </row>
    <row r="4238" spans="5:176" x14ac:dyDescent="0.2">
      <c r="E4238" s="69"/>
      <c r="FT4238" s="45"/>
    </row>
    <row r="4239" spans="5:176" x14ac:dyDescent="0.2">
      <c r="E4239" s="69"/>
      <c r="FT4239" s="45"/>
    </row>
    <row r="4240" spans="5:176" x14ac:dyDescent="0.2">
      <c r="E4240" s="69"/>
      <c r="FT4240" s="45"/>
    </row>
    <row r="4241" spans="5:176" x14ac:dyDescent="0.2">
      <c r="E4241" s="69"/>
      <c r="FT4241" s="45"/>
    </row>
    <row r="4242" spans="5:176" x14ac:dyDescent="0.2">
      <c r="E4242" s="69"/>
      <c r="FT4242" s="45"/>
    </row>
    <row r="4243" spans="5:176" x14ac:dyDescent="0.2">
      <c r="E4243" s="69"/>
      <c r="FT4243" s="45"/>
    </row>
    <row r="4244" spans="5:176" x14ac:dyDescent="0.2">
      <c r="E4244" s="69"/>
      <c r="FT4244" s="45"/>
    </row>
    <row r="4245" spans="5:176" x14ac:dyDescent="0.2">
      <c r="E4245" s="69"/>
      <c r="FT4245" s="45"/>
    </row>
    <row r="4246" spans="5:176" x14ac:dyDescent="0.2">
      <c r="E4246" s="69"/>
      <c r="FT4246" s="45"/>
    </row>
    <row r="4247" spans="5:176" x14ac:dyDescent="0.2">
      <c r="E4247" s="69"/>
      <c r="FT4247" s="45"/>
    </row>
    <row r="4248" spans="5:176" x14ac:dyDescent="0.2">
      <c r="E4248" s="69"/>
      <c r="FT4248" s="45"/>
    </row>
    <row r="4249" spans="5:176" x14ac:dyDescent="0.2">
      <c r="E4249" s="69"/>
      <c r="FT4249" s="45"/>
    </row>
    <row r="4250" spans="5:176" x14ac:dyDescent="0.2">
      <c r="E4250" s="69"/>
      <c r="FT4250" s="45"/>
    </row>
    <row r="4251" spans="5:176" x14ac:dyDescent="0.2">
      <c r="E4251" s="69"/>
      <c r="FT4251" s="45"/>
    </row>
    <row r="4252" spans="5:176" x14ac:dyDescent="0.2">
      <c r="E4252" s="69"/>
      <c r="FT4252" s="45"/>
    </row>
    <row r="4253" spans="5:176" x14ac:dyDescent="0.2">
      <c r="E4253" s="69"/>
      <c r="FT4253" s="45"/>
    </row>
    <row r="4254" spans="5:176" x14ac:dyDescent="0.2">
      <c r="E4254" s="69"/>
      <c r="FT4254" s="45"/>
    </row>
    <row r="4255" spans="5:176" x14ac:dyDescent="0.2">
      <c r="E4255" s="69"/>
      <c r="FT4255" s="45"/>
    </row>
    <row r="4256" spans="5:176" x14ac:dyDescent="0.2">
      <c r="E4256" s="69"/>
      <c r="FT4256" s="45"/>
    </row>
    <row r="4257" spans="5:176" x14ac:dyDescent="0.2">
      <c r="E4257" s="69"/>
      <c r="FT4257" s="45"/>
    </row>
    <row r="4258" spans="5:176" x14ac:dyDescent="0.2">
      <c r="E4258" s="69"/>
      <c r="FT4258" s="45"/>
    </row>
    <row r="4259" spans="5:176" x14ac:dyDescent="0.2">
      <c r="E4259" s="69"/>
      <c r="FT4259" s="45"/>
    </row>
    <row r="4260" spans="5:176" x14ac:dyDescent="0.2">
      <c r="E4260" s="69"/>
      <c r="FT4260" s="45"/>
    </row>
    <row r="4261" spans="5:176" x14ac:dyDescent="0.2">
      <c r="E4261" s="69"/>
      <c r="FT4261" s="45"/>
    </row>
    <row r="4262" spans="5:176" x14ac:dyDescent="0.2">
      <c r="E4262" s="69"/>
      <c r="FT4262" s="45"/>
    </row>
    <row r="4263" spans="5:176" x14ac:dyDescent="0.2">
      <c r="E4263" s="69"/>
      <c r="FT4263" s="45"/>
    </row>
    <row r="4264" spans="5:176" x14ac:dyDescent="0.2">
      <c r="E4264" s="69"/>
      <c r="FT4264" s="45"/>
    </row>
    <row r="4265" spans="5:176" x14ac:dyDescent="0.2">
      <c r="E4265" s="69"/>
      <c r="FT4265" s="45"/>
    </row>
    <row r="4266" spans="5:176" x14ac:dyDescent="0.2">
      <c r="E4266" s="69"/>
      <c r="FT4266" s="45"/>
    </row>
    <row r="4267" spans="5:176" x14ac:dyDescent="0.2">
      <c r="E4267" s="69"/>
      <c r="FT4267" s="45"/>
    </row>
    <row r="4268" spans="5:176" x14ac:dyDescent="0.2">
      <c r="E4268" s="69"/>
      <c r="FT4268" s="45"/>
    </row>
    <row r="4269" spans="5:176" x14ac:dyDescent="0.2">
      <c r="E4269" s="69"/>
      <c r="FT4269" s="45"/>
    </row>
    <row r="4270" spans="5:176" x14ac:dyDescent="0.2">
      <c r="E4270" s="69"/>
      <c r="FT4270" s="45"/>
    </row>
    <row r="4271" spans="5:176" x14ac:dyDescent="0.2">
      <c r="E4271" s="69"/>
      <c r="FT4271" s="45"/>
    </row>
    <row r="4272" spans="5:176" x14ac:dyDescent="0.2">
      <c r="E4272" s="69"/>
      <c r="FT4272" s="45"/>
    </row>
    <row r="4273" spans="5:176" x14ac:dyDescent="0.2">
      <c r="E4273" s="69"/>
      <c r="FT4273" s="45"/>
    </row>
    <row r="4274" spans="5:176" x14ac:dyDescent="0.2">
      <c r="E4274" s="69"/>
      <c r="FT4274" s="45"/>
    </row>
    <row r="4275" spans="5:176" x14ac:dyDescent="0.2">
      <c r="E4275" s="69"/>
      <c r="FT4275" s="45"/>
    </row>
    <row r="4276" spans="5:176" x14ac:dyDescent="0.2">
      <c r="E4276" s="69"/>
      <c r="FT4276" s="45"/>
    </row>
    <row r="4277" spans="5:176" x14ac:dyDescent="0.2">
      <c r="E4277" s="69"/>
      <c r="FT4277" s="45"/>
    </row>
    <row r="4278" spans="5:176" x14ac:dyDescent="0.2">
      <c r="E4278" s="69"/>
      <c r="FT4278" s="45"/>
    </row>
    <row r="4279" spans="5:176" x14ac:dyDescent="0.2">
      <c r="E4279" s="69"/>
      <c r="FT4279" s="45"/>
    </row>
    <row r="4280" spans="5:176" x14ac:dyDescent="0.2">
      <c r="E4280" s="69"/>
      <c r="FT4280" s="45"/>
    </row>
    <row r="4281" spans="5:176" x14ac:dyDescent="0.2">
      <c r="E4281" s="69"/>
      <c r="FT4281" s="45"/>
    </row>
    <row r="4282" spans="5:176" x14ac:dyDescent="0.2">
      <c r="E4282" s="69"/>
      <c r="FT4282" s="45"/>
    </row>
    <row r="4283" spans="5:176" x14ac:dyDescent="0.2">
      <c r="E4283" s="69"/>
      <c r="FT4283" s="45"/>
    </row>
    <row r="4284" spans="5:176" x14ac:dyDescent="0.2">
      <c r="E4284" s="69"/>
      <c r="FT4284" s="45"/>
    </row>
    <row r="4285" spans="5:176" x14ac:dyDescent="0.2">
      <c r="E4285" s="69"/>
      <c r="FT4285" s="45"/>
    </row>
    <row r="4286" spans="5:176" x14ac:dyDescent="0.2">
      <c r="E4286" s="69"/>
      <c r="FT4286" s="45"/>
    </row>
    <row r="4287" spans="5:176" x14ac:dyDescent="0.2">
      <c r="E4287" s="69"/>
      <c r="FT4287" s="45"/>
    </row>
    <row r="4288" spans="5:176" x14ac:dyDescent="0.2">
      <c r="E4288" s="69"/>
      <c r="FT4288" s="45"/>
    </row>
    <row r="4289" spans="5:176" x14ac:dyDescent="0.2">
      <c r="E4289" s="69"/>
      <c r="FT4289" s="45"/>
    </row>
    <row r="4290" spans="5:176" x14ac:dyDescent="0.2">
      <c r="E4290" s="69"/>
      <c r="FT4290" s="45"/>
    </row>
    <row r="4291" spans="5:176" x14ac:dyDescent="0.2">
      <c r="E4291" s="69"/>
      <c r="FT4291" s="45"/>
    </row>
    <row r="4292" spans="5:176" x14ac:dyDescent="0.2">
      <c r="E4292" s="69"/>
      <c r="FT4292" s="45"/>
    </row>
    <row r="4293" spans="5:176" x14ac:dyDescent="0.2">
      <c r="E4293" s="69"/>
      <c r="FT4293" s="45"/>
    </row>
    <row r="4294" spans="5:176" x14ac:dyDescent="0.2">
      <c r="E4294" s="69"/>
      <c r="FT4294" s="45"/>
    </row>
    <row r="4295" spans="5:176" x14ac:dyDescent="0.2">
      <c r="E4295" s="69"/>
      <c r="FT4295" s="45"/>
    </row>
    <row r="4296" spans="5:176" x14ac:dyDescent="0.2">
      <c r="E4296" s="69"/>
      <c r="FT4296" s="45"/>
    </row>
    <row r="4297" spans="5:176" x14ac:dyDescent="0.2">
      <c r="E4297" s="69"/>
      <c r="FT4297" s="45"/>
    </row>
    <row r="4298" spans="5:176" x14ac:dyDescent="0.2">
      <c r="E4298" s="69"/>
      <c r="FT4298" s="45"/>
    </row>
    <row r="4299" spans="5:176" x14ac:dyDescent="0.2">
      <c r="E4299" s="69"/>
      <c r="FT4299" s="45"/>
    </row>
    <row r="4300" spans="5:176" x14ac:dyDescent="0.2">
      <c r="E4300" s="69"/>
      <c r="FT4300" s="45"/>
    </row>
    <row r="4301" spans="5:176" x14ac:dyDescent="0.2">
      <c r="E4301" s="69"/>
      <c r="FT4301" s="45"/>
    </row>
    <row r="4302" spans="5:176" x14ac:dyDescent="0.2">
      <c r="E4302" s="69"/>
      <c r="FT4302" s="45"/>
    </row>
    <row r="4303" spans="5:176" x14ac:dyDescent="0.2">
      <c r="E4303" s="69"/>
      <c r="FT4303" s="45"/>
    </row>
    <row r="4304" spans="5:176" x14ac:dyDescent="0.2">
      <c r="E4304" s="69"/>
      <c r="CK4304" s="61"/>
      <c r="FT4304" s="45"/>
    </row>
    <row r="4305" spans="5:176" x14ac:dyDescent="0.2">
      <c r="E4305" s="69"/>
      <c r="FT4305" s="45"/>
    </row>
    <row r="4306" spans="5:176" x14ac:dyDescent="0.2">
      <c r="E4306" s="69"/>
      <c r="FT4306" s="45"/>
    </row>
    <row r="4307" spans="5:176" x14ac:dyDescent="0.2">
      <c r="E4307" s="69"/>
      <c r="FT4307" s="45"/>
    </row>
    <row r="4308" spans="5:176" x14ac:dyDescent="0.2">
      <c r="E4308" s="69"/>
      <c r="FT4308" s="45"/>
    </row>
    <row r="4309" spans="5:176" x14ac:dyDescent="0.2">
      <c r="E4309" s="69"/>
      <c r="FT4309" s="45"/>
    </row>
    <row r="4310" spans="5:176" x14ac:dyDescent="0.2">
      <c r="E4310" s="69"/>
      <c r="FT4310" s="45"/>
    </row>
    <row r="4311" spans="5:176" x14ac:dyDescent="0.2">
      <c r="E4311" s="69"/>
      <c r="CK4311" s="61"/>
      <c r="FT4311" s="45"/>
    </row>
    <row r="4312" spans="5:176" x14ac:dyDescent="0.2">
      <c r="E4312" s="69"/>
      <c r="FT4312" s="45"/>
    </row>
    <row r="4313" spans="5:176" x14ac:dyDescent="0.2">
      <c r="E4313" s="69"/>
      <c r="FT4313" s="45"/>
    </row>
    <row r="4314" spans="5:176" x14ac:dyDescent="0.2">
      <c r="E4314" s="69"/>
      <c r="FT4314" s="45"/>
    </row>
    <row r="4315" spans="5:176" x14ac:dyDescent="0.2">
      <c r="E4315" s="69"/>
      <c r="FT4315" s="45"/>
    </row>
    <row r="4316" spans="5:176" x14ac:dyDescent="0.2">
      <c r="E4316" s="69"/>
      <c r="FT4316" s="45"/>
    </row>
    <row r="4317" spans="5:176" x14ac:dyDescent="0.2">
      <c r="E4317" s="69"/>
      <c r="FT4317" s="45"/>
    </row>
    <row r="4318" spans="5:176" x14ac:dyDescent="0.2">
      <c r="E4318" s="69"/>
      <c r="FT4318" s="45"/>
    </row>
    <row r="4319" spans="5:176" x14ac:dyDescent="0.2">
      <c r="E4319" s="69"/>
      <c r="FT4319" s="45"/>
    </row>
    <row r="4320" spans="5:176" x14ac:dyDescent="0.2">
      <c r="E4320" s="69"/>
      <c r="FT4320" s="45"/>
    </row>
    <row r="4321" spans="5:176" x14ac:dyDescent="0.2">
      <c r="E4321" s="69"/>
      <c r="FT4321" s="45"/>
    </row>
    <row r="4322" spans="5:176" x14ac:dyDescent="0.2">
      <c r="E4322" s="69"/>
      <c r="FT4322" s="45"/>
    </row>
    <row r="4323" spans="5:176" x14ac:dyDescent="0.2">
      <c r="E4323" s="69"/>
      <c r="FT4323" s="45"/>
    </row>
    <row r="4324" spans="5:176" x14ac:dyDescent="0.2">
      <c r="E4324" s="69"/>
      <c r="FT4324" s="45"/>
    </row>
    <row r="4325" spans="5:176" x14ac:dyDescent="0.2">
      <c r="E4325" s="69"/>
      <c r="FT4325" s="45"/>
    </row>
    <row r="4326" spans="5:176" x14ac:dyDescent="0.2">
      <c r="E4326" s="69"/>
      <c r="FT4326" s="45"/>
    </row>
    <row r="4327" spans="5:176" x14ac:dyDescent="0.2">
      <c r="E4327" s="69"/>
      <c r="FT4327" s="45"/>
    </row>
    <row r="4328" spans="5:176" x14ac:dyDescent="0.2">
      <c r="E4328" s="69"/>
      <c r="FT4328" s="45"/>
    </row>
    <row r="4329" spans="5:176" x14ac:dyDescent="0.2">
      <c r="E4329" s="69"/>
      <c r="FT4329" s="45"/>
    </row>
    <row r="4330" spans="5:176" x14ac:dyDescent="0.2">
      <c r="E4330" s="69"/>
      <c r="FT4330" s="45"/>
    </row>
    <row r="4331" spans="5:176" x14ac:dyDescent="0.2">
      <c r="E4331" s="69"/>
      <c r="FT4331" s="45"/>
    </row>
    <row r="4332" spans="5:176" x14ac:dyDescent="0.2">
      <c r="E4332" s="69"/>
      <c r="FT4332" s="45"/>
    </row>
    <row r="4333" spans="5:176" x14ac:dyDescent="0.2">
      <c r="E4333" s="69"/>
      <c r="FT4333" s="45"/>
    </row>
    <row r="4334" spans="5:176" x14ac:dyDescent="0.2">
      <c r="E4334" s="69"/>
      <c r="FT4334" s="45"/>
    </row>
    <row r="4335" spans="5:176" x14ac:dyDescent="0.2">
      <c r="E4335" s="69"/>
      <c r="FT4335" s="45"/>
    </row>
    <row r="4336" spans="5:176" x14ac:dyDescent="0.2">
      <c r="E4336" s="69"/>
      <c r="FT4336" s="45"/>
    </row>
    <row r="4337" spans="5:176" x14ac:dyDescent="0.2">
      <c r="E4337" s="69"/>
      <c r="FT4337" s="45"/>
    </row>
    <row r="4338" spans="5:176" x14ac:dyDescent="0.2">
      <c r="E4338" s="69"/>
      <c r="FT4338" s="45"/>
    </row>
    <row r="4339" spans="5:176" x14ac:dyDescent="0.2">
      <c r="E4339" s="69"/>
      <c r="FT4339" s="45"/>
    </row>
    <row r="4340" spans="5:176" x14ac:dyDescent="0.2">
      <c r="E4340" s="69"/>
      <c r="FT4340" s="45"/>
    </row>
    <row r="4341" spans="5:176" x14ac:dyDescent="0.2">
      <c r="E4341" s="69"/>
      <c r="FT4341" s="45"/>
    </row>
    <row r="4342" spans="5:176" x14ac:dyDescent="0.2">
      <c r="E4342" s="69"/>
      <c r="FT4342" s="45"/>
    </row>
    <row r="4343" spans="5:176" x14ac:dyDescent="0.2">
      <c r="E4343" s="69"/>
      <c r="FT4343" s="45"/>
    </row>
    <row r="4344" spans="5:176" x14ac:dyDescent="0.2">
      <c r="E4344" s="69"/>
      <c r="FT4344" s="45"/>
    </row>
    <row r="4345" spans="5:176" x14ac:dyDescent="0.2">
      <c r="E4345" s="69"/>
      <c r="FT4345" s="45"/>
    </row>
    <row r="4346" spans="5:176" x14ac:dyDescent="0.2">
      <c r="E4346" s="69"/>
      <c r="FT4346" s="45"/>
    </row>
    <row r="4347" spans="5:176" x14ac:dyDescent="0.2">
      <c r="E4347" s="69"/>
      <c r="FT4347" s="45"/>
    </row>
    <row r="4348" spans="5:176" x14ac:dyDescent="0.2">
      <c r="E4348" s="69"/>
      <c r="FT4348" s="45"/>
    </row>
    <row r="4349" spans="5:176" x14ac:dyDescent="0.2">
      <c r="E4349" s="69"/>
      <c r="FT4349" s="45"/>
    </row>
    <row r="4350" spans="5:176" x14ac:dyDescent="0.2">
      <c r="E4350" s="69"/>
      <c r="FT4350" s="45"/>
    </row>
    <row r="4351" spans="5:176" x14ac:dyDescent="0.2">
      <c r="E4351" s="69"/>
      <c r="FT4351" s="45"/>
    </row>
    <row r="4352" spans="5:176" x14ac:dyDescent="0.2">
      <c r="E4352" s="69"/>
      <c r="FT4352" s="45"/>
    </row>
    <row r="4353" spans="5:176" x14ac:dyDescent="0.2">
      <c r="E4353" s="69"/>
      <c r="FT4353" s="45"/>
    </row>
    <row r="4354" spans="5:176" x14ac:dyDescent="0.2">
      <c r="E4354" s="69"/>
      <c r="FT4354" s="45"/>
    </row>
    <row r="4355" spans="5:176" x14ac:dyDescent="0.2">
      <c r="E4355" s="69"/>
      <c r="FT4355" s="45"/>
    </row>
    <row r="4356" spans="5:176" x14ac:dyDescent="0.2">
      <c r="E4356" s="69"/>
      <c r="FT4356" s="45"/>
    </row>
    <row r="4357" spans="5:176" x14ac:dyDescent="0.2">
      <c r="E4357" s="69"/>
      <c r="FT4357" s="45"/>
    </row>
    <row r="4358" spans="5:176" x14ac:dyDescent="0.2">
      <c r="E4358" s="69"/>
      <c r="FT4358" s="45"/>
    </row>
    <row r="4359" spans="5:176" x14ac:dyDescent="0.2">
      <c r="E4359" s="69"/>
      <c r="FT4359" s="45"/>
    </row>
    <row r="4360" spans="5:176" x14ac:dyDescent="0.2">
      <c r="E4360" s="69"/>
      <c r="FT4360" s="45"/>
    </row>
    <row r="4361" spans="5:176" x14ac:dyDescent="0.2">
      <c r="E4361" s="69"/>
      <c r="FT4361" s="45"/>
    </row>
    <row r="4362" spans="5:176" x14ac:dyDescent="0.2">
      <c r="E4362" s="69"/>
      <c r="FT4362" s="45"/>
    </row>
    <row r="4363" spans="5:176" x14ac:dyDescent="0.2">
      <c r="E4363" s="69"/>
      <c r="FT4363" s="45"/>
    </row>
    <row r="4364" spans="5:176" x14ac:dyDescent="0.2">
      <c r="E4364" s="69"/>
      <c r="FT4364" s="45"/>
    </row>
    <row r="4365" spans="5:176" x14ac:dyDescent="0.2">
      <c r="E4365" s="69"/>
      <c r="FT4365" s="45"/>
    </row>
    <row r="4366" spans="5:176" x14ac:dyDescent="0.2">
      <c r="E4366" s="69"/>
      <c r="FT4366" s="45"/>
    </row>
    <row r="4367" spans="5:176" x14ac:dyDescent="0.2">
      <c r="E4367" s="69"/>
      <c r="FT4367" s="45"/>
    </row>
    <row r="4368" spans="5:176" x14ac:dyDescent="0.2">
      <c r="E4368" s="69"/>
      <c r="FT4368" s="45"/>
    </row>
    <row r="4369" spans="5:176" x14ac:dyDescent="0.2">
      <c r="E4369" s="69"/>
      <c r="FT4369" s="45"/>
    </row>
    <row r="4370" spans="5:176" x14ac:dyDescent="0.2">
      <c r="E4370" s="69"/>
      <c r="FT4370" s="45"/>
    </row>
    <row r="4371" spans="5:176" x14ac:dyDescent="0.2">
      <c r="E4371" s="69"/>
      <c r="FT4371" s="45"/>
    </row>
    <row r="4372" spans="5:176" x14ac:dyDescent="0.2">
      <c r="E4372" s="69"/>
      <c r="FT4372" s="45"/>
    </row>
    <row r="4373" spans="5:176" x14ac:dyDescent="0.2">
      <c r="E4373" s="69"/>
      <c r="FT4373" s="45"/>
    </row>
    <row r="4374" spans="5:176" x14ac:dyDescent="0.2">
      <c r="E4374" s="69"/>
      <c r="FT4374" s="45"/>
    </row>
    <row r="4375" spans="5:176" x14ac:dyDescent="0.2">
      <c r="E4375" s="69"/>
      <c r="FT4375" s="45"/>
    </row>
    <row r="4376" spans="5:176" x14ac:dyDescent="0.2">
      <c r="E4376" s="69"/>
      <c r="FT4376" s="45"/>
    </row>
    <row r="4377" spans="5:176" x14ac:dyDescent="0.2">
      <c r="E4377" s="69"/>
      <c r="FT4377" s="45"/>
    </row>
    <row r="4378" spans="5:176" x14ac:dyDescent="0.2">
      <c r="E4378" s="69"/>
      <c r="FT4378" s="45"/>
    </row>
    <row r="4379" spans="5:176" x14ac:dyDescent="0.2">
      <c r="E4379" s="69"/>
      <c r="FT4379" s="45"/>
    </row>
    <row r="4380" spans="5:176" x14ac:dyDescent="0.2">
      <c r="E4380" s="69"/>
      <c r="FT4380" s="45"/>
    </row>
    <row r="4381" spans="5:176" x14ac:dyDescent="0.2">
      <c r="E4381" s="69"/>
      <c r="FT4381" s="45"/>
    </row>
    <row r="4382" spans="5:176" x14ac:dyDescent="0.2">
      <c r="E4382" s="69"/>
      <c r="FT4382" s="45"/>
    </row>
    <row r="4383" spans="5:176" x14ac:dyDescent="0.2">
      <c r="E4383" s="69"/>
      <c r="FT4383" s="45"/>
    </row>
    <row r="4384" spans="5:176" x14ac:dyDescent="0.2">
      <c r="E4384" s="69"/>
      <c r="FT4384" s="45"/>
    </row>
    <row r="4385" spans="5:176" x14ac:dyDescent="0.2">
      <c r="E4385" s="69"/>
      <c r="FT4385" s="45"/>
    </row>
    <row r="4386" spans="5:176" x14ac:dyDescent="0.2">
      <c r="E4386" s="69"/>
      <c r="FT4386" s="45"/>
    </row>
    <row r="4387" spans="5:176" x14ac:dyDescent="0.2">
      <c r="E4387" s="69"/>
      <c r="FT4387" s="45"/>
    </row>
    <row r="4388" spans="5:176" x14ac:dyDescent="0.2">
      <c r="E4388" s="69"/>
      <c r="FT4388" s="45"/>
    </row>
    <row r="4389" spans="5:176" x14ac:dyDescent="0.2">
      <c r="E4389" s="69"/>
      <c r="FT4389" s="45"/>
    </row>
    <row r="4390" spans="5:176" x14ac:dyDescent="0.2">
      <c r="E4390" s="69"/>
      <c r="FT4390" s="45"/>
    </row>
    <row r="4391" spans="5:176" x14ac:dyDescent="0.2">
      <c r="E4391" s="69"/>
      <c r="FT4391" s="45"/>
    </row>
    <row r="4392" spans="5:176" x14ac:dyDescent="0.2">
      <c r="E4392" s="69"/>
      <c r="FT4392" s="45"/>
    </row>
    <row r="4393" spans="5:176" x14ac:dyDescent="0.2">
      <c r="E4393" s="69"/>
      <c r="FT4393" s="45"/>
    </row>
    <row r="4394" spans="5:176" x14ac:dyDescent="0.2">
      <c r="E4394" s="69"/>
      <c r="FT4394" s="45"/>
    </row>
    <row r="4395" spans="5:176" x14ac:dyDescent="0.2">
      <c r="E4395" s="69"/>
      <c r="FT4395" s="45"/>
    </row>
    <row r="4396" spans="5:176" x14ac:dyDescent="0.2">
      <c r="E4396" s="69"/>
      <c r="FT4396" s="45"/>
    </row>
    <row r="4397" spans="5:176" x14ac:dyDescent="0.2">
      <c r="E4397" s="69"/>
      <c r="FT4397" s="45"/>
    </row>
    <row r="4398" spans="5:176" x14ac:dyDescent="0.2">
      <c r="E4398" s="69"/>
      <c r="FT4398" s="45"/>
    </row>
    <row r="4399" spans="5:176" x14ac:dyDescent="0.2">
      <c r="E4399" s="69"/>
      <c r="FT4399" s="45"/>
    </row>
    <row r="4400" spans="5:176" x14ac:dyDescent="0.2">
      <c r="E4400" s="69"/>
      <c r="FT4400" s="45"/>
    </row>
    <row r="4401" spans="5:176" x14ac:dyDescent="0.2">
      <c r="E4401" s="69"/>
      <c r="FT4401" s="45"/>
    </row>
    <row r="4402" spans="5:176" x14ac:dyDescent="0.2">
      <c r="E4402" s="69"/>
      <c r="FT4402" s="45"/>
    </row>
    <row r="4403" spans="5:176" x14ac:dyDescent="0.2">
      <c r="E4403" s="69"/>
      <c r="FT4403" s="45"/>
    </row>
    <row r="4404" spans="5:176" x14ac:dyDescent="0.2">
      <c r="E4404" s="69"/>
      <c r="FT4404" s="45"/>
    </row>
    <row r="4405" spans="5:176" x14ac:dyDescent="0.2">
      <c r="E4405" s="69"/>
      <c r="FT4405" s="45"/>
    </row>
    <row r="4406" spans="5:176" x14ac:dyDescent="0.2">
      <c r="E4406" s="69"/>
      <c r="FT4406" s="45"/>
    </row>
    <row r="4407" spans="5:176" x14ac:dyDescent="0.2">
      <c r="E4407" s="69"/>
      <c r="FT4407" s="45"/>
    </row>
    <row r="4408" spans="5:176" x14ac:dyDescent="0.2">
      <c r="E4408" s="69"/>
      <c r="FT4408" s="45"/>
    </row>
    <row r="4409" spans="5:176" x14ac:dyDescent="0.2">
      <c r="E4409" s="69"/>
      <c r="FT4409" s="45"/>
    </row>
    <row r="4410" spans="5:176" x14ac:dyDescent="0.2">
      <c r="E4410" s="69"/>
      <c r="FT4410" s="45"/>
    </row>
    <row r="4411" spans="5:176" x14ac:dyDescent="0.2">
      <c r="E4411" s="69"/>
      <c r="FT4411" s="45"/>
    </row>
    <row r="4412" spans="5:176" x14ac:dyDescent="0.2">
      <c r="E4412" s="69"/>
      <c r="FT4412" s="45"/>
    </row>
    <row r="4413" spans="5:176" x14ac:dyDescent="0.2">
      <c r="E4413" s="69"/>
      <c r="FT4413" s="45"/>
    </row>
    <row r="4414" spans="5:176" x14ac:dyDescent="0.2">
      <c r="E4414" s="69"/>
      <c r="FT4414" s="45"/>
    </row>
    <row r="4415" spans="5:176" x14ac:dyDescent="0.2">
      <c r="E4415" s="69"/>
      <c r="FT4415" s="45"/>
    </row>
    <row r="4416" spans="5:176" x14ac:dyDescent="0.2">
      <c r="E4416" s="69"/>
      <c r="FT4416" s="45"/>
    </row>
    <row r="4417" spans="5:176" x14ac:dyDescent="0.2">
      <c r="E4417" s="69"/>
      <c r="FT4417" s="45"/>
    </row>
    <row r="4418" spans="5:176" x14ac:dyDescent="0.2">
      <c r="E4418" s="69"/>
      <c r="FT4418" s="45"/>
    </row>
    <row r="4419" spans="5:176" x14ac:dyDescent="0.2">
      <c r="E4419" s="69"/>
      <c r="FT4419" s="45"/>
    </row>
    <row r="4420" spans="5:176" x14ac:dyDescent="0.2">
      <c r="E4420" s="69"/>
      <c r="FT4420" s="45"/>
    </row>
    <row r="4421" spans="5:176" x14ac:dyDescent="0.2">
      <c r="E4421" s="69"/>
      <c r="FT4421" s="45"/>
    </row>
    <row r="4422" spans="5:176" x14ac:dyDescent="0.2">
      <c r="E4422" s="69"/>
      <c r="FT4422" s="45"/>
    </row>
    <row r="4423" spans="5:176" x14ac:dyDescent="0.2">
      <c r="E4423" s="69"/>
      <c r="FT4423" s="45"/>
    </row>
    <row r="4424" spans="5:176" x14ac:dyDescent="0.2">
      <c r="E4424" s="69"/>
      <c r="FT4424" s="45"/>
    </row>
    <row r="4425" spans="5:176" x14ac:dyDescent="0.2">
      <c r="E4425" s="69"/>
      <c r="FT4425" s="45"/>
    </row>
    <row r="4426" spans="5:176" x14ac:dyDescent="0.2">
      <c r="E4426" s="69"/>
      <c r="FT4426" s="45"/>
    </row>
    <row r="4427" spans="5:176" x14ac:dyDescent="0.2">
      <c r="E4427" s="69"/>
      <c r="FT4427" s="45"/>
    </row>
    <row r="4428" spans="5:176" x14ac:dyDescent="0.2">
      <c r="E4428" s="69"/>
      <c r="FT4428" s="45"/>
    </row>
    <row r="4429" spans="5:176" x14ac:dyDescent="0.2">
      <c r="E4429" s="69"/>
      <c r="FT4429" s="45"/>
    </row>
    <row r="4430" spans="5:176" x14ac:dyDescent="0.2">
      <c r="E4430" s="69"/>
      <c r="FT4430" s="45"/>
    </row>
    <row r="4431" spans="5:176" x14ac:dyDescent="0.2">
      <c r="E4431" s="69"/>
      <c r="FT4431" s="45"/>
    </row>
    <row r="4432" spans="5:176" x14ac:dyDescent="0.2">
      <c r="E4432" s="69"/>
      <c r="FT4432" s="45"/>
    </row>
    <row r="4433" spans="5:176" x14ac:dyDescent="0.2">
      <c r="E4433" s="69"/>
      <c r="FT4433" s="45"/>
    </row>
    <row r="4434" spans="5:176" x14ac:dyDescent="0.2">
      <c r="E4434" s="69"/>
      <c r="FT4434" s="45"/>
    </row>
    <row r="4435" spans="5:176" x14ac:dyDescent="0.2">
      <c r="E4435" s="69"/>
      <c r="FT4435" s="45"/>
    </row>
    <row r="4436" spans="5:176" x14ac:dyDescent="0.2">
      <c r="E4436" s="69"/>
      <c r="FT4436" s="45"/>
    </row>
    <row r="4437" spans="5:176" x14ac:dyDescent="0.2">
      <c r="E4437" s="69"/>
      <c r="FT4437" s="45"/>
    </row>
    <row r="4438" spans="5:176" x14ac:dyDescent="0.2">
      <c r="E4438" s="69"/>
      <c r="FT4438" s="45"/>
    </row>
    <row r="4439" spans="5:176" x14ac:dyDescent="0.2">
      <c r="E4439" s="69"/>
      <c r="FT4439" s="45"/>
    </row>
    <row r="4440" spans="5:176" x14ac:dyDescent="0.2">
      <c r="E4440" s="69"/>
      <c r="FT4440" s="45"/>
    </row>
    <row r="4441" spans="5:176" x14ac:dyDescent="0.2">
      <c r="E4441" s="69"/>
      <c r="FT4441" s="45"/>
    </row>
    <row r="4442" spans="5:176" x14ac:dyDescent="0.2">
      <c r="E4442" s="69"/>
      <c r="FT4442" s="45"/>
    </row>
    <row r="4443" spans="5:176" x14ac:dyDescent="0.2">
      <c r="E4443" s="69"/>
      <c r="FT4443" s="45"/>
    </row>
    <row r="4444" spans="5:176" x14ac:dyDescent="0.2">
      <c r="E4444" s="69"/>
      <c r="FT4444" s="45"/>
    </row>
    <row r="4445" spans="5:176" x14ac:dyDescent="0.2">
      <c r="E4445" s="69"/>
      <c r="FT4445" s="45"/>
    </row>
    <row r="4446" spans="5:176" x14ac:dyDescent="0.2">
      <c r="E4446" s="69"/>
      <c r="FT4446" s="45"/>
    </row>
    <row r="4447" spans="5:176" x14ac:dyDescent="0.2">
      <c r="E4447" s="69"/>
      <c r="FT4447" s="45"/>
    </row>
    <row r="4448" spans="5:176" x14ac:dyDescent="0.2">
      <c r="E4448" s="69"/>
      <c r="FT4448" s="45"/>
    </row>
    <row r="4449" spans="5:176" x14ac:dyDescent="0.2">
      <c r="E4449" s="69"/>
      <c r="FT4449" s="45"/>
    </row>
    <row r="4450" spans="5:176" x14ac:dyDescent="0.2">
      <c r="E4450" s="69"/>
      <c r="FT4450" s="45"/>
    </row>
    <row r="4451" spans="5:176" x14ac:dyDescent="0.2">
      <c r="E4451" s="69"/>
      <c r="FT4451" s="45"/>
    </row>
    <row r="4452" spans="5:176" x14ac:dyDescent="0.2">
      <c r="E4452" s="69"/>
      <c r="FT4452" s="45"/>
    </row>
    <row r="4453" spans="5:176" x14ac:dyDescent="0.2">
      <c r="E4453" s="69"/>
      <c r="FT4453" s="45"/>
    </row>
    <row r="4454" spans="5:176" x14ac:dyDescent="0.2">
      <c r="E4454" s="69"/>
      <c r="FT4454" s="45"/>
    </row>
    <row r="4455" spans="5:176" x14ac:dyDescent="0.2">
      <c r="E4455" s="69"/>
      <c r="FT4455" s="45"/>
    </row>
    <row r="4456" spans="5:176" x14ac:dyDescent="0.2">
      <c r="E4456" s="69"/>
      <c r="FT4456" s="45"/>
    </row>
    <row r="4457" spans="5:176" x14ac:dyDescent="0.2">
      <c r="E4457" s="69"/>
      <c r="FT4457" s="45"/>
    </row>
    <row r="4458" spans="5:176" x14ac:dyDescent="0.2">
      <c r="E4458" s="69"/>
      <c r="FT4458" s="45"/>
    </row>
    <row r="4459" spans="5:176" x14ac:dyDescent="0.2">
      <c r="E4459" s="69"/>
      <c r="FT4459" s="45"/>
    </row>
    <row r="4460" spans="5:176" x14ac:dyDescent="0.2">
      <c r="E4460" s="69"/>
      <c r="FT4460" s="45"/>
    </row>
    <row r="4461" spans="5:176" x14ac:dyDescent="0.2">
      <c r="E4461" s="69"/>
      <c r="FT4461" s="45"/>
    </row>
    <row r="4462" spans="5:176" x14ac:dyDescent="0.2">
      <c r="E4462" s="69"/>
      <c r="FT4462" s="45"/>
    </row>
    <row r="4463" spans="5:176" x14ac:dyDescent="0.2">
      <c r="E4463" s="69"/>
      <c r="FT4463" s="45"/>
    </row>
    <row r="4464" spans="5:176" x14ac:dyDescent="0.2">
      <c r="E4464" s="69"/>
      <c r="FT4464" s="45"/>
    </row>
    <row r="4465" spans="5:176" x14ac:dyDescent="0.2">
      <c r="E4465" s="69"/>
      <c r="FT4465" s="45"/>
    </row>
    <row r="4466" spans="5:176" x14ac:dyDescent="0.2">
      <c r="E4466" s="69"/>
      <c r="FT4466" s="45"/>
    </row>
    <row r="4467" spans="5:176" x14ac:dyDescent="0.2">
      <c r="E4467" s="69"/>
      <c r="FT4467" s="45"/>
    </row>
    <row r="4468" spans="5:176" x14ac:dyDescent="0.2">
      <c r="E4468" s="69"/>
      <c r="FT4468" s="45"/>
    </row>
    <row r="4469" spans="5:176" x14ac:dyDescent="0.2">
      <c r="E4469" s="69"/>
      <c r="FT4469" s="45"/>
    </row>
    <row r="4470" spans="5:176" x14ac:dyDescent="0.2">
      <c r="E4470" s="69"/>
      <c r="FT4470" s="45"/>
    </row>
    <row r="4471" spans="5:176" x14ac:dyDescent="0.2">
      <c r="E4471" s="69"/>
      <c r="FT4471" s="45"/>
    </row>
    <row r="4472" spans="5:176" x14ac:dyDescent="0.2">
      <c r="E4472" s="69"/>
      <c r="FT4472" s="45"/>
    </row>
    <row r="4473" spans="5:176" x14ac:dyDescent="0.2">
      <c r="E4473" s="69"/>
      <c r="FT4473" s="45"/>
    </row>
    <row r="4474" spans="5:176" x14ac:dyDescent="0.2">
      <c r="E4474" s="69"/>
      <c r="FT4474" s="45"/>
    </row>
    <row r="4475" spans="5:176" x14ac:dyDescent="0.2">
      <c r="E4475" s="69"/>
      <c r="FT4475" s="45"/>
    </row>
    <row r="4476" spans="5:176" x14ac:dyDescent="0.2">
      <c r="E4476" s="69"/>
      <c r="FT4476" s="45"/>
    </row>
    <row r="4477" spans="5:176" x14ac:dyDescent="0.2">
      <c r="E4477" s="69"/>
      <c r="FT4477" s="45"/>
    </row>
    <row r="4478" spans="5:176" x14ac:dyDescent="0.2">
      <c r="E4478" s="69"/>
      <c r="FT4478" s="45"/>
    </row>
    <row r="4479" spans="5:176" x14ac:dyDescent="0.2">
      <c r="E4479" s="69"/>
      <c r="FT4479" s="45"/>
    </row>
    <row r="4480" spans="5:176" x14ac:dyDescent="0.2">
      <c r="E4480" s="69"/>
      <c r="FT4480" s="45"/>
    </row>
    <row r="4481" spans="5:176" x14ac:dyDescent="0.2">
      <c r="E4481" s="69"/>
      <c r="FT4481" s="45"/>
    </row>
    <row r="4482" spans="5:176" x14ac:dyDescent="0.2">
      <c r="E4482" s="69"/>
      <c r="FT4482" s="45"/>
    </row>
    <row r="4483" spans="5:176" x14ac:dyDescent="0.2">
      <c r="E4483" s="69"/>
      <c r="FT4483" s="45"/>
    </row>
    <row r="4484" spans="5:176" x14ac:dyDescent="0.2">
      <c r="E4484" s="69"/>
      <c r="FT4484" s="45"/>
    </row>
    <row r="4485" spans="5:176" x14ac:dyDescent="0.2">
      <c r="E4485" s="69"/>
      <c r="FT4485" s="45"/>
    </row>
    <row r="4486" spans="5:176" x14ac:dyDescent="0.2">
      <c r="E4486" s="69"/>
      <c r="FT4486" s="45"/>
    </row>
    <row r="4487" spans="5:176" x14ac:dyDescent="0.2">
      <c r="E4487" s="69"/>
      <c r="FT4487" s="45"/>
    </row>
    <row r="4488" spans="5:176" x14ac:dyDescent="0.2">
      <c r="E4488" s="69"/>
      <c r="FT4488" s="45"/>
    </row>
    <row r="4489" spans="5:176" x14ac:dyDescent="0.2">
      <c r="E4489" s="69"/>
      <c r="FT4489" s="45"/>
    </row>
    <row r="4490" spans="5:176" x14ac:dyDescent="0.2">
      <c r="E4490" s="69"/>
      <c r="FT4490" s="45"/>
    </row>
    <row r="4491" spans="5:176" x14ac:dyDescent="0.2">
      <c r="E4491" s="69"/>
      <c r="FT4491" s="45"/>
    </row>
    <row r="4492" spans="5:176" x14ac:dyDescent="0.2">
      <c r="E4492" s="69"/>
      <c r="FT4492" s="45"/>
    </row>
    <row r="4493" spans="5:176" x14ac:dyDescent="0.2">
      <c r="E4493" s="69"/>
      <c r="FT4493" s="45"/>
    </row>
    <row r="4494" spans="5:176" x14ac:dyDescent="0.2">
      <c r="E4494" s="69"/>
      <c r="FT4494" s="45"/>
    </row>
    <row r="4495" spans="5:176" x14ac:dyDescent="0.2">
      <c r="E4495" s="69"/>
      <c r="FT4495" s="45"/>
    </row>
    <row r="4496" spans="5:176" x14ac:dyDescent="0.2">
      <c r="E4496" s="69"/>
      <c r="FT4496" s="45"/>
    </row>
    <row r="4497" spans="5:176" x14ac:dyDescent="0.2">
      <c r="E4497" s="69"/>
      <c r="FT4497" s="45"/>
    </row>
    <row r="4498" spans="5:176" x14ac:dyDescent="0.2">
      <c r="E4498" s="69"/>
      <c r="FT4498" s="45"/>
    </row>
    <row r="4499" spans="5:176" x14ac:dyDescent="0.2">
      <c r="E4499" s="69"/>
      <c r="FT4499" s="45"/>
    </row>
    <row r="4500" spans="5:176" x14ac:dyDescent="0.2">
      <c r="E4500" s="69"/>
      <c r="FT4500" s="45"/>
    </row>
    <row r="4501" spans="5:176" x14ac:dyDescent="0.2">
      <c r="E4501" s="69"/>
      <c r="FT4501" s="45"/>
    </row>
    <row r="4502" spans="5:176" x14ac:dyDescent="0.2">
      <c r="E4502" s="69"/>
      <c r="FT4502" s="45"/>
    </row>
    <row r="4503" spans="5:176" x14ac:dyDescent="0.2">
      <c r="E4503" s="69"/>
      <c r="FT4503" s="45"/>
    </row>
    <row r="4504" spans="5:176" x14ac:dyDescent="0.2">
      <c r="E4504" s="69"/>
      <c r="FT4504" s="45"/>
    </row>
    <row r="4505" spans="5:176" x14ac:dyDescent="0.2">
      <c r="E4505" s="69"/>
      <c r="FT4505" s="45"/>
    </row>
    <row r="4506" spans="5:176" x14ac:dyDescent="0.2">
      <c r="E4506" s="69"/>
      <c r="FT4506" s="45"/>
    </row>
    <row r="4507" spans="5:176" x14ac:dyDescent="0.2">
      <c r="E4507" s="69"/>
      <c r="FT4507" s="45"/>
    </row>
    <row r="4508" spans="5:176" x14ac:dyDescent="0.2">
      <c r="E4508" s="69"/>
      <c r="FT4508" s="45"/>
    </row>
    <row r="4509" spans="5:176" x14ac:dyDescent="0.2">
      <c r="E4509" s="69"/>
      <c r="FT4509" s="45"/>
    </row>
    <row r="4510" spans="5:176" x14ac:dyDescent="0.2">
      <c r="E4510" s="69"/>
      <c r="FT4510" s="45"/>
    </row>
    <row r="4511" spans="5:176" x14ac:dyDescent="0.2">
      <c r="E4511" s="69"/>
      <c r="FT4511" s="45"/>
    </row>
    <row r="4512" spans="5:176" x14ac:dyDescent="0.2">
      <c r="E4512" s="69"/>
      <c r="FT4512" s="45"/>
    </row>
    <row r="4513" spans="5:176" x14ac:dyDescent="0.2">
      <c r="E4513" s="69"/>
      <c r="FT4513" s="45"/>
    </row>
    <row r="4514" spans="5:176" x14ac:dyDescent="0.2">
      <c r="E4514" s="69"/>
      <c r="FT4514" s="45"/>
    </row>
    <row r="4515" spans="5:176" x14ac:dyDescent="0.2">
      <c r="E4515" s="69"/>
      <c r="FT4515" s="45"/>
    </row>
    <row r="4516" spans="5:176" x14ac:dyDescent="0.2">
      <c r="E4516" s="69"/>
      <c r="FT4516" s="45"/>
    </row>
    <row r="4517" spans="5:176" x14ac:dyDescent="0.2">
      <c r="E4517" s="69"/>
      <c r="FT4517" s="45"/>
    </row>
    <row r="4518" spans="5:176" x14ac:dyDescent="0.2">
      <c r="E4518" s="69"/>
      <c r="FT4518" s="45"/>
    </row>
    <row r="4519" spans="5:176" x14ac:dyDescent="0.2">
      <c r="E4519" s="69"/>
      <c r="FT4519" s="45"/>
    </row>
    <row r="4520" spans="5:176" x14ac:dyDescent="0.2">
      <c r="E4520" s="69"/>
      <c r="FT4520" s="45"/>
    </row>
    <row r="4521" spans="5:176" x14ac:dyDescent="0.2">
      <c r="E4521" s="69"/>
      <c r="FT4521" s="45"/>
    </row>
    <row r="4522" spans="5:176" x14ac:dyDescent="0.2">
      <c r="E4522" s="69"/>
      <c r="FT4522" s="45"/>
    </row>
    <row r="4523" spans="5:176" x14ac:dyDescent="0.2">
      <c r="E4523" s="69"/>
      <c r="FT4523" s="45"/>
    </row>
    <row r="4524" spans="5:176" x14ac:dyDescent="0.2">
      <c r="E4524" s="69"/>
      <c r="FT4524" s="45"/>
    </row>
    <row r="4525" spans="5:176" x14ac:dyDescent="0.2">
      <c r="E4525" s="69"/>
      <c r="FT4525" s="45"/>
    </row>
    <row r="4526" spans="5:176" x14ac:dyDescent="0.2">
      <c r="E4526" s="69"/>
      <c r="FT4526" s="45"/>
    </row>
    <row r="4527" spans="5:176" x14ac:dyDescent="0.2">
      <c r="E4527" s="69"/>
      <c r="FT4527" s="45"/>
    </row>
    <row r="4528" spans="5:176" x14ac:dyDescent="0.2">
      <c r="E4528" s="69"/>
      <c r="FT4528" s="45"/>
    </row>
    <row r="4529" spans="5:176" x14ac:dyDescent="0.2">
      <c r="E4529" s="69"/>
      <c r="FT4529" s="45"/>
    </row>
    <row r="4530" spans="5:176" x14ac:dyDescent="0.2">
      <c r="E4530" s="69"/>
      <c r="FT4530" s="45"/>
    </row>
    <row r="4531" spans="5:176" x14ac:dyDescent="0.2">
      <c r="E4531" s="69"/>
      <c r="FT4531" s="45"/>
    </row>
    <row r="4532" spans="5:176" x14ac:dyDescent="0.2">
      <c r="E4532" s="69"/>
      <c r="FT4532" s="45"/>
    </row>
    <row r="4533" spans="5:176" x14ac:dyDescent="0.2">
      <c r="E4533" s="69"/>
      <c r="FT4533" s="45"/>
    </row>
    <row r="4534" spans="5:176" x14ac:dyDescent="0.2">
      <c r="E4534" s="69"/>
      <c r="FT4534" s="45"/>
    </row>
    <row r="4535" spans="5:176" x14ac:dyDescent="0.2">
      <c r="E4535" s="69"/>
      <c r="FT4535" s="45"/>
    </row>
    <row r="4536" spans="5:176" x14ac:dyDescent="0.2">
      <c r="E4536" s="69"/>
      <c r="FT4536" s="45"/>
    </row>
    <row r="4537" spans="5:176" x14ac:dyDescent="0.2">
      <c r="E4537" s="69"/>
      <c r="FT4537" s="45"/>
    </row>
    <row r="4538" spans="5:176" x14ac:dyDescent="0.2">
      <c r="E4538" s="69"/>
      <c r="FT4538" s="45"/>
    </row>
    <row r="4539" spans="5:176" x14ac:dyDescent="0.2">
      <c r="E4539" s="69"/>
      <c r="FT4539" s="45"/>
    </row>
    <row r="4540" spans="5:176" x14ac:dyDescent="0.2">
      <c r="E4540" s="69"/>
      <c r="FT4540" s="45"/>
    </row>
    <row r="4541" spans="5:176" x14ac:dyDescent="0.2">
      <c r="E4541" s="69"/>
      <c r="FT4541" s="45"/>
    </row>
    <row r="4542" spans="5:176" x14ac:dyDescent="0.2">
      <c r="E4542" s="69"/>
      <c r="FT4542" s="45"/>
    </row>
    <row r="4543" spans="5:176" x14ac:dyDescent="0.2">
      <c r="E4543" s="69"/>
      <c r="FT4543" s="45"/>
    </row>
    <row r="4544" spans="5:176" x14ac:dyDescent="0.2">
      <c r="E4544" s="69"/>
      <c r="FT4544" s="45"/>
    </row>
    <row r="4545" spans="5:176" x14ac:dyDescent="0.2">
      <c r="E4545" s="69"/>
      <c r="FT4545" s="45"/>
    </row>
    <row r="4546" spans="5:176" x14ac:dyDescent="0.2">
      <c r="E4546" s="69"/>
      <c r="FT4546" s="45"/>
    </row>
    <row r="4547" spans="5:176" x14ac:dyDescent="0.2">
      <c r="E4547" s="69"/>
      <c r="FT4547" s="45"/>
    </row>
    <row r="4548" spans="5:176" x14ac:dyDescent="0.2">
      <c r="E4548" s="69"/>
      <c r="FT4548" s="45"/>
    </row>
    <row r="4549" spans="5:176" x14ac:dyDescent="0.2">
      <c r="E4549" s="69"/>
      <c r="FT4549" s="45"/>
    </row>
    <row r="4550" spans="5:176" x14ac:dyDescent="0.2">
      <c r="E4550" s="69"/>
      <c r="FT4550" s="45"/>
    </row>
    <row r="4551" spans="5:176" x14ac:dyDescent="0.2">
      <c r="E4551" s="69"/>
      <c r="FT4551" s="45"/>
    </row>
    <row r="4552" spans="5:176" x14ac:dyDescent="0.2">
      <c r="E4552" s="69"/>
      <c r="FT4552" s="45"/>
    </row>
    <row r="4553" spans="5:176" x14ac:dyDescent="0.2">
      <c r="E4553" s="69"/>
      <c r="FT4553" s="45"/>
    </row>
    <row r="4554" spans="5:176" x14ac:dyDescent="0.2">
      <c r="E4554" s="69"/>
      <c r="FT4554" s="45"/>
    </row>
    <row r="4555" spans="5:176" x14ac:dyDescent="0.2">
      <c r="E4555" s="69"/>
      <c r="FT4555" s="45"/>
    </row>
    <row r="4556" spans="5:176" x14ac:dyDescent="0.2">
      <c r="E4556" s="69"/>
      <c r="FT4556" s="45"/>
    </row>
    <row r="4557" spans="5:176" x14ac:dyDescent="0.2">
      <c r="E4557" s="69"/>
      <c r="FT4557" s="45"/>
    </row>
    <row r="4558" spans="5:176" x14ac:dyDescent="0.2">
      <c r="E4558" s="69"/>
      <c r="FT4558" s="45"/>
    </row>
    <row r="4559" spans="5:176" x14ac:dyDescent="0.2">
      <c r="E4559" s="69"/>
      <c r="FT4559" s="45"/>
    </row>
    <row r="4560" spans="5:176" x14ac:dyDescent="0.2">
      <c r="E4560" s="69"/>
      <c r="FT4560" s="45"/>
    </row>
    <row r="4561" spans="5:176" x14ac:dyDescent="0.2">
      <c r="E4561" s="69"/>
      <c r="FT4561" s="45"/>
    </row>
    <row r="4562" spans="5:176" x14ac:dyDescent="0.2">
      <c r="E4562" s="69"/>
      <c r="FT4562" s="45"/>
    </row>
    <row r="4563" spans="5:176" x14ac:dyDescent="0.2">
      <c r="E4563" s="69"/>
      <c r="FT4563" s="45"/>
    </row>
    <row r="4564" spans="5:176" x14ac:dyDescent="0.2">
      <c r="E4564" s="69"/>
      <c r="FT4564" s="45"/>
    </row>
    <row r="4565" spans="5:176" x14ac:dyDescent="0.2">
      <c r="E4565" s="69"/>
      <c r="FT4565" s="45"/>
    </row>
    <row r="4566" spans="5:176" x14ac:dyDescent="0.2">
      <c r="E4566" s="69"/>
      <c r="FT4566" s="45"/>
    </row>
    <row r="4567" spans="5:176" x14ac:dyDescent="0.2">
      <c r="E4567" s="69"/>
      <c r="FT4567" s="45"/>
    </row>
    <row r="4568" spans="5:176" x14ac:dyDescent="0.2">
      <c r="E4568" s="69"/>
      <c r="FT4568" s="45"/>
    </row>
    <row r="4569" spans="5:176" x14ac:dyDescent="0.2">
      <c r="E4569" s="69"/>
      <c r="FT4569" s="45"/>
    </row>
    <row r="4570" spans="5:176" x14ac:dyDescent="0.2">
      <c r="E4570" s="69"/>
      <c r="FT4570" s="45"/>
    </row>
    <row r="4571" spans="5:176" x14ac:dyDescent="0.2">
      <c r="E4571" s="69"/>
      <c r="FT4571" s="45"/>
    </row>
    <row r="4572" spans="5:176" x14ac:dyDescent="0.2">
      <c r="E4572" s="69"/>
      <c r="FT4572" s="45"/>
    </row>
    <row r="4573" spans="5:176" x14ac:dyDescent="0.2">
      <c r="E4573" s="69"/>
      <c r="FT4573" s="45"/>
    </row>
    <row r="4574" spans="5:176" x14ac:dyDescent="0.2">
      <c r="E4574" s="69"/>
      <c r="FT4574" s="45"/>
    </row>
    <row r="4575" spans="5:176" x14ac:dyDescent="0.2">
      <c r="E4575" s="69"/>
      <c r="FT4575" s="45"/>
    </row>
    <row r="4576" spans="5:176" x14ac:dyDescent="0.2">
      <c r="E4576" s="69"/>
      <c r="FT4576" s="45"/>
    </row>
    <row r="4577" spans="5:176" x14ac:dyDescent="0.2">
      <c r="E4577" s="69"/>
      <c r="FT4577" s="45"/>
    </row>
    <row r="4578" spans="5:176" x14ac:dyDescent="0.2">
      <c r="E4578" s="69"/>
      <c r="FT4578" s="45"/>
    </row>
    <row r="4579" spans="5:176" x14ac:dyDescent="0.2">
      <c r="E4579" s="69"/>
      <c r="FT4579" s="45"/>
    </row>
    <row r="4580" spans="5:176" x14ac:dyDescent="0.2">
      <c r="E4580" s="69"/>
      <c r="FT4580" s="45"/>
    </row>
    <row r="4581" spans="5:176" x14ac:dyDescent="0.2">
      <c r="E4581" s="69"/>
      <c r="FT4581" s="45"/>
    </row>
    <row r="4582" spans="5:176" x14ac:dyDescent="0.2">
      <c r="E4582" s="69"/>
      <c r="FT4582" s="45"/>
    </row>
    <row r="4583" spans="5:176" x14ac:dyDescent="0.2">
      <c r="E4583" s="69"/>
      <c r="FT4583" s="45"/>
    </row>
    <row r="4584" spans="5:176" x14ac:dyDescent="0.2">
      <c r="E4584" s="69"/>
      <c r="FT4584" s="45"/>
    </row>
    <row r="4585" spans="5:176" x14ac:dyDescent="0.2">
      <c r="E4585" s="69"/>
      <c r="FT4585" s="45"/>
    </row>
    <row r="4586" spans="5:176" x14ac:dyDescent="0.2">
      <c r="E4586" s="69"/>
      <c r="FT4586" s="45"/>
    </row>
    <row r="4587" spans="5:176" x14ac:dyDescent="0.2">
      <c r="E4587" s="69"/>
      <c r="FT4587" s="45"/>
    </row>
    <row r="4588" spans="5:176" x14ac:dyDescent="0.2">
      <c r="E4588" s="69"/>
      <c r="FT4588" s="45"/>
    </row>
    <row r="4589" spans="5:176" x14ac:dyDescent="0.2">
      <c r="E4589" s="69"/>
      <c r="FT4589" s="45"/>
    </row>
    <row r="4590" spans="5:176" x14ac:dyDescent="0.2">
      <c r="E4590" s="69"/>
      <c r="FT4590" s="45"/>
    </row>
    <row r="4591" spans="5:176" x14ac:dyDescent="0.2">
      <c r="E4591" s="69"/>
      <c r="FT4591" s="45"/>
    </row>
    <row r="4592" spans="5:176" x14ac:dyDescent="0.2">
      <c r="E4592" s="69"/>
      <c r="FT4592" s="45"/>
    </row>
    <row r="4593" spans="5:176" x14ac:dyDescent="0.2">
      <c r="E4593" s="69"/>
      <c r="FT4593" s="45"/>
    </row>
    <row r="4594" spans="5:176" x14ac:dyDescent="0.2">
      <c r="E4594" s="69"/>
      <c r="FT4594" s="45"/>
    </row>
    <row r="4595" spans="5:176" x14ac:dyDescent="0.2">
      <c r="E4595" s="69"/>
      <c r="FT4595" s="45"/>
    </row>
    <row r="4596" spans="5:176" x14ac:dyDescent="0.2">
      <c r="E4596" s="69"/>
      <c r="FT4596" s="45"/>
    </row>
    <row r="4597" spans="5:176" x14ac:dyDescent="0.2">
      <c r="E4597" s="69"/>
      <c r="FT4597" s="45"/>
    </row>
    <row r="4598" spans="5:176" x14ac:dyDescent="0.2">
      <c r="E4598" s="69"/>
      <c r="FT4598" s="45"/>
    </row>
    <row r="4599" spans="5:176" x14ac:dyDescent="0.2">
      <c r="E4599" s="69"/>
      <c r="FT4599" s="45"/>
    </row>
    <row r="4600" spans="5:176" x14ac:dyDescent="0.2">
      <c r="E4600" s="69"/>
      <c r="FT4600" s="45"/>
    </row>
    <row r="4601" spans="5:176" x14ac:dyDescent="0.2">
      <c r="E4601" s="69"/>
      <c r="FT4601" s="45"/>
    </row>
    <row r="4602" spans="5:176" x14ac:dyDescent="0.2">
      <c r="E4602" s="69"/>
      <c r="FT4602" s="45"/>
    </row>
    <row r="4603" spans="5:176" x14ac:dyDescent="0.2">
      <c r="E4603" s="69"/>
      <c r="FT4603" s="45"/>
    </row>
    <row r="4604" spans="5:176" x14ac:dyDescent="0.2">
      <c r="E4604" s="69"/>
      <c r="FT4604" s="45"/>
    </row>
    <row r="4605" spans="5:176" x14ac:dyDescent="0.2">
      <c r="E4605" s="69"/>
      <c r="FT4605" s="45"/>
    </row>
    <row r="4606" spans="5:176" x14ac:dyDescent="0.2">
      <c r="E4606" s="69"/>
      <c r="FT4606" s="45"/>
    </row>
    <row r="4607" spans="5:176" x14ac:dyDescent="0.2">
      <c r="E4607" s="69"/>
      <c r="FT4607" s="45"/>
    </row>
    <row r="4608" spans="5:176" x14ac:dyDescent="0.2">
      <c r="E4608" s="69"/>
      <c r="FT4608" s="45"/>
    </row>
    <row r="4609" spans="5:176" x14ac:dyDescent="0.2">
      <c r="E4609" s="69"/>
      <c r="FT4609" s="45"/>
    </row>
    <row r="4610" spans="5:176" x14ac:dyDescent="0.2">
      <c r="E4610" s="69"/>
      <c r="FT4610" s="45"/>
    </row>
    <row r="4611" spans="5:176" x14ac:dyDescent="0.2">
      <c r="E4611" s="69"/>
      <c r="FT4611" s="45"/>
    </row>
    <row r="4612" spans="5:176" x14ac:dyDescent="0.2">
      <c r="E4612" s="69"/>
      <c r="FT4612" s="45"/>
    </row>
    <row r="4613" spans="5:176" x14ac:dyDescent="0.2">
      <c r="E4613" s="69"/>
      <c r="FT4613" s="45"/>
    </row>
    <row r="4614" spans="5:176" x14ac:dyDescent="0.2">
      <c r="E4614" s="69"/>
      <c r="FT4614" s="45"/>
    </row>
    <row r="4615" spans="5:176" x14ac:dyDescent="0.2">
      <c r="E4615" s="69"/>
      <c r="FT4615" s="45"/>
    </row>
    <row r="4616" spans="5:176" x14ac:dyDescent="0.2">
      <c r="E4616" s="69"/>
      <c r="FT4616" s="45"/>
    </row>
    <row r="4617" spans="5:176" x14ac:dyDescent="0.2">
      <c r="E4617" s="69"/>
      <c r="FT4617" s="45"/>
    </row>
    <row r="4618" spans="5:176" x14ac:dyDescent="0.2">
      <c r="E4618" s="69"/>
      <c r="FT4618" s="45"/>
    </row>
    <row r="4619" spans="5:176" x14ac:dyDescent="0.2">
      <c r="E4619" s="69"/>
      <c r="FT4619" s="45"/>
    </row>
    <row r="4620" spans="5:176" x14ac:dyDescent="0.2">
      <c r="E4620" s="69"/>
      <c r="FT4620" s="45"/>
    </row>
    <row r="4621" spans="5:176" x14ac:dyDescent="0.2">
      <c r="E4621" s="69"/>
      <c r="FT4621" s="45"/>
    </row>
    <row r="4622" spans="5:176" x14ac:dyDescent="0.2">
      <c r="E4622" s="69"/>
      <c r="FT4622" s="45"/>
    </row>
    <row r="4623" spans="5:176" x14ac:dyDescent="0.2">
      <c r="E4623" s="69"/>
      <c r="FT4623" s="45"/>
    </row>
    <row r="4624" spans="5:176" x14ac:dyDescent="0.2">
      <c r="E4624" s="69"/>
      <c r="FT4624" s="45"/>
    </row>
    <row r="4625" spans="5:176" x14ac:dyDescent="0.2">
      <c r="E4625" s="69"/>
      <c r="FT4625" s="45"/>
    </row>
    <row r="4626" spans="5:176" x14ac:dyDescent="0.2">
      <c r="E4626" s="69"/>
      <c r="FT4626" s="45"/>
    </row>
    <row r="4627" spans="5:176" x14ac:dyDescent="0.2">
      <c r="E4627" s="69"/>
      <c r="FT4627" s="45"/>
    </row>
    <row r="4628" spans="5:176" x14ac:dyDescent="0.2">
      <c r="E4628" s="69"/>
      <c r="FT4628" s="45"/>
    </row>
    <row r="4629" spans="5:176" x14ac:dyDescent="0.2">
      <c r="E4629" s="69"/>
      <c r="FT4629" s="45"/>
    </row>
    <row r="4630" spans="5:176" x14ac:dyDescent="0.2">
      <c r="E4630" s="69"/>
      <c r="FT4630" s="45"/>
    </row>
    <row r="4631" spans="5:176" x14ac:dyDescent="0.2">
      <c r="E4631" s="69"/>
      <c r="FT4631" s="45"/>
    </row>
    <row r="4632" spans="5:176" x14ac:dyDescent="0.2">
      <c r="E4632" s="69"/>
      <c r="FT4632" s="45"/>
    </row>
    <row r="4633" spans="5:176" x14ac:dyDescent="0.2">
      <c r="E4633" s="69"/>
      <c r="FT4633" s="45"/>
    </row>
    <row r="4634" spans="5:176" x14ac:dyDescent="0.2">
      <c r="E4634" s="69"/>
      <c r="FT4634" s="45"/>
    </row>
    <row r="4635" spans="5:176" x14ac:dyDescent="0.2">
      <c r="E4635" s="69"/>
      <c r="FT4635" s="45"/>
    </row>
    <row r="4636" spans="5:176" x14ac:dyDescent="0.2">
      <c r="E4636" s="69"/>
      <c r="FT4636" s="45"/>
    </row>
    <row r="4637" spans="5:176" x14ac:dyDescent="0.2">
      <c r="E4637" s="69"/>
      <c r="FT4637" s="45"/>
    </row>
    <row r="4638" spans="5:176" x14ac:dyDescent="0.2">
      <c r="E4638" s="69"/>
      <c r="FT4638" s="45"/>
    </row>
    <row r="4639" spans="5:176" x14ac:dyDescent="0.2">
      <c r="E4639" s="69"/>
      <c r="FT4639" s="45"/>
    </row>
    <row r="4640" spans="5:176" x14ac:dyDescent="0.2">
      <c r="E4640" s="69"/>
      <c r="FT4640" s="45"/>
    </row>
    <row r="4641" spans="5:176" x14ac:dyDescent="0.2">
      <c r="E4641" s="69"/>
      <c r="FT4641" s="45"/>
    </row>
    <row r="4642" spans="5:176" x14ac:dyDescent="0.2">
      <c r="E4642" s="69"/>
      <c r="FT4642" s="45"/>
    </row>
    <row r="4643" spans="5:176" x14ac:dyDescent="0.2">
      <c r="E4643" s="69"/>
      <c r="FT4643" s="45"/>
    </row>
    <row r="4644" spans="5:176" x14ac:dyDescent="0.2">
      <c r="E4644" s="69"/>
      <c r="FT4644" s="45"/>
    </row>
    <row r="4645" spans="5:176" x14ac:dyDescent="0.2">
      <c r="E4645" s="69"/>
      <c r="FT4645" s="45"/>
    </row>
    <row r="4646" spans="5:176" x14ac:dyDescent="0.2">
      <c r="E4646" s="69"/>
      <c r="FT4646" s="45"/>
    </row>
    <row r="4647" spans="5:176" x14ac:dyDescent="0.2">
      <c r="E4647" s="69"/>
      <c r="FT4647" s="45"/>
    </row>
    <row r="4648" spans="5:176" x14ac:dyDescent="0.2">
      <c r="E4648" s="69"/>
      <c r="FT4648" s="45"/>
    </row>
    <row r="4649" spans="5:176" x14ac:dyDescent="0.2">
      <c r="E4649" s="69"/>
      <c r="FT4649" s="45"/>
    </row>
    <row r="4650" spans="5:176" x14ac:dyDescent="0.2">
      <c r="E4650" s="69"/>
      <c r="FT4650" s="45"/>
    </row>
    <row r="4651" spans="5:176" x14ac:dyDescent="0.2">
      <c r="E4651" s="69"/>
      <c r="FT4651" s="45"/>
    </row>
    <row r="4652" spans="5:176" x14ac:dyDescent="0.2">
      <c r="E4652" s="69"/>
      <c r="FT4652" s="45"/>
    </row>
    <row r="4653" spans="5:176" x14ac:dyDescent="0.2">
      <c r="E4653" s="69"/>
      <c r="FT4653" s="45"/>
    </row>
    <row r="4654" spans="5:176" x14ac:dyDescent="0.2">
      <c r="E4654" s="69"/>
      <c r="FT4654" s="45"/>
    </row>
    <row r="4655" spans="5:176" x14ac:dyDescent="0.2">
      <c r="E4655" s="69"/>
      <c r="FT4655" s="45"/>
    </row>
    <row r="4656" spans="5:176" x14ac:dyDescent="0.2">
      <c r="E4656" s="69"/>
      <c r="FT4656" s="45"/>
    </row>
    <row r="4657" spans="5:176" x14ac:dyDescent="0.2">
      <c r="E4657" s="69"/>
      <c r="FT4657" s="45"/>
    </row>
    <row r="4658" spans="5:176" x14ac:dyDescent="0.2">
      <c r="E4658" s="69"/>
      <c r="FT4658" s="45"/>
    </row>
    <row r="4659" spans="5:176" x14ac:dyDescent="0.2">
      <c r="E4659" s="69"/>
      <c r="FT4659" s="45"/>
    </row>
    <row r="4660" spans="5:176" x14ac:dyDescent="0.2">
      <c r="E4660" s="69"/>
      <c r="FT4660" s="45"/>
    </row>
    <row r="4661" spans="5:176" x14ac:dyDescent="0.2">
      <c r="E4661" s="69"/>
      <c r="FT4661" s="45"/>
    </row>
    <row r="4662" spans="5:176" x14ac:dyDescent="0.2">
      <c r="E4662" s="69"/>
      <c r="FT4662" s="45"/>
    </row>
    <row r="4663" spans="5:176" x14ac:dyDescent="0.2">
      <c r="E4663" s="69"/>
      <c r="FT4663" s="45"/>
    </row>
    <row r="4664" spans="5:176" x14ac:dyDescent="0.2">
      <c r="E4664" s="69"/>
      <c r="FT4664" s="45"/>
    </row>
    <row r="4665" spans="5:176" x14ac:dyDescent="0.2">
      <c r="E4665" s="69"/>
      <c r="FT4665" s="45"/>
    </row>
    <row r="4666" spans="5:176" x14ac:dyDescent="0.2">
      <c r="E4666" s="69"/>
      <c r="FT4666" s="45"/>
    </row>
    <row r="4667" spans="5:176" x14ac:dyDescent="0.2">
      <c r="E4667" s="69"/>
      <c r="FT4667" s="45"/>
    </row>
    <row r="4668" spans="5:176" x14ac:dyDescent="0.2">
      <c r="E4668" s="69"/>
      <c r="FT4668" s="45"/>
    </row>
    <row r="4669" spans="5:176" x14ac:dyDescent="0.2">
      <c r="E4669" s="69"/>
      <c r="FT4669" s="45"/>
    </row>
    <row r="4670" spans="5:176" x14ac:dyDescent="0.2">
      <c r="E4670" s="69"/>
      <c r="FT4670" s="45"/>
    </row>
    <row r="4671" spans="5:176" x14ac:dyDescent="0.2">
      <c r="E4671" s="69"/>
      <c r="FT4671" s="45"/>
    </row>
    <row r="4672" spans="5:176" x14ac:dyDescent="0.2">
      <c r="E4672" s="69"/>
      <c r="FT4672" s="45"/>
    </row>
    <row r="4673" spans="5:176" x14ac:dyDescent="0.2">
      <c r="E4673" s="69"/>
      <c r="FT4673" s="45"/>
    </row>
    <row r="4674" spans="5:176" x14ac:dyDescent="0.2">
      <c r="E4674" s="69"/>
      <c r="FT4674" s="45"/>
    </row>
    <row r="4675" spans="5:176" x14ac:dyDescent="0.2">
      <c r="E4675" s="69"/>
      <c r="FT4675" s="45"/>
    </row>
    <row r="4676" spans="5:176" x14ac:dyDescent="0.2">
      <c r="E4676" s="69"/>
      <c r="FT4676" s="45"/>
    </row>
    <row r="4677" spans="5:176" x14ac:dyDescent="0.2">
      <c r="E4677" s="69"/>
      <c r="FT4677" s="45"/>
    </row>
    <row r="4678" spans="5:176" x14ac:dyDescent="0.2">
      <c r="E4678" s="69"/>
      <c r="FT4678" s="45"/>
    </row>
    <row r="4679" spans="5:176" x14ac:dyDescent="0.2">
      <c r="E4679" s="69"/>
      <c r="FT4679" s="45"/>
    </row>
    <row r="4680" spans="5:176" x14ac:dyDescent="0.2">
      <c r="E4680" s="69"/>
      <c r="FT4680" s="45"/>
    </row>
    <row r="4681" spans="5:176" x14ac:dyDescent="0.2">
      <c r="E4681" s="69"/>
      <c r="FT4681" s="45"/>
    </row>
    <row r="4682" spans="5:176" x14ac:dyDescent="0.2">
      <c r="E4682" s="69"/>
      <c r="FT4682" s="45"/>
    </row>
    <row r="4683" spans="5:176" x14ac:dyDescent="0.2">
      <c r="E4683" s="69"/>
      <c r="FT4683" s="45"/>
    </row>
    <row r="4684" spans="5:176" x14ac:dyDescent="0.2">
      <c r="E4684" s="69"/>
      <c r="FT4684" s="45"/>
    </row>
    <row r="4685" spans="5:176" x14ac:dyDescent="0.2">
      <c r="E4685" s="69"/>
      <c r="FT4685" s="45"/>
    </row>
    <row r="4686" spans="5:176" x14ac:dyDescent="0.2">
      <c r="E4686" s="69"/>
      <c r="FT4686" s="45"/>
    </row>
    <row r="4687" spans="5:176" x14ac:dyDescent="0.2">
      <c r="E4687" s="69"/>
      <c r="FT4687" s="45"/>
    </row>
    <row r="4688" spans="5:176" x14ac:dyDescent="0.2">
      <c r="E4688" s="69"/>
      <c r="FT4688" s="45"/>
    </row>
    <row r="4689" spans="5:176" x14ac:dyDescent="0.2">
      <c r="E4689" s="69"/>
      <c r="FT4689" s="45"/>
    </row>
    <row r="4690" spans="5:176" x14ac:dyDescent="0.2">
      <c r="E4690" s="69"/>
      <c r="FT4690" s="45"/>
    </row>
    <row r="4691" spans="5:176" x14ac:dyDescent="0.2">
      <c r="E4691" s="69"/>
      <c r="FT4691" s="45"/>
    </row>
    <row r="4692" spans="5:176" x14ac:dyDescent="0.2">
      <c r="E4692" s="69"/>
      <c r="FT4692" s="45"/>
    </row>
    <row r="4693" spans="5:176" x14ac:dyDescent="0.2">
      <c r="E4693" s="69"/>
      <c r="FT4693" s="45"/>
    </row>
    <row r="4694" spans="5:176" x14ac:dyDescent="0.2">
      <c r="E4694" s="69"/>
      <c r="FT4694" s="45"/>
    </row>
    <row r="4695" spans="5:176" x14ac:dyDescent="0.2">
      <c r="E4695" s="69"/>
      <c r="FT4695" s="45"/>
    </row>
    <row r="4696" spans="5:176" x14ac:dyDescent="0.2">
      <c r="E4696" s="69"/>
      <c r="FT4696" s="45"/>
    </row>
    <row r="4697" spans="5:176" x14ac:dyDescent="0.2">
      <c r="E4697" s="69"/>
      <c r="FT4697" s="45"/>
    </row>
    <row r="4698" spans="5:176" x14ac:dyDescent="0.2">
      <c r="E4698" s="69"/>
      <c r="FT4698" s="45"/>
    </row>
    <row r="4699" spans="5:176" x14ac:dyDescent="0.2">
      <c r="E4699" s="69"/>
      <c r="FT4699" s="45"/>
    </row>
    <row r="4700" spans="5:176" x14ac:dyDescent="0.2">
      <c r="E4700" s="69"/>
      <c r="FT4700" s="45"/>
    </row>
    <row r="4701" spans="5:176" x14ac:dyDescent="0.2">
      <c r="E4701" s="69"/>
      <c r="FT4701" s="45"/>
    </row>
    <row r="4702" spans="5:176" x14ac:dyDescent="0.2">
      <c r="E4702" s="69"/>
      <c r="FT4702" s="45"/>
    </row>
    <row r="4703" spans="5:176" x14ac:dyDescent="0.2">
      <c r="E4703" s="69"/>
      <c r="FT4703" s="45"/>
    </row>
    <row r="4704" spans="5:176" x14ac:dyDescent="0.2">
      <c r="E4704" s="69"/>
      <c r="FT4704" s="45"/>
    </row>
    <row r="4705" spans="5:176" x14ac:dyDescent="0.2">
      <c r="E4705" s="69"/>
      <c r="FT4705" s="45"/>
    </row>
    <row r="4706" spans="5:176" x14ac:dyDescent="0.2">
      <c r="E4706" s="69"/>
      <c r="FT4706" s="45"/>
    </row>
    <row r="4707" spans="5:176" x14ac:dyDescent="0.2">
      <c r="E4707" s="69"/>
      <c r="FT4707" s="45"/>
    </row>
    <row r="4708" spans="5:176" x14ac:dyDescent="0.2">
      <c r="E4708" s="69"/>
      <c r="FT4708" s="45"/>
    </row>
    <row r="4709" spans="5:176" x14ac:dyDescent="0.2">
      <c r="E4709" s="69"/>
      <c r="FT4709" s="45"/>
    </row>
    <row r="4710" spans="5:176" x14ac:dyDescent="0.2">
      <c r="E4710" s="69"/>
      <c r="FT4710" s="45"/>
    </row>
    <row r="4711" spans="5:176" x14ac:dyDescent="0.2">
      <c r="E4711" s="69"/>
      <c r="FT4711" s="45"/>
    </row>
    <row r="4712" spans="5:176" x14ac:dyDescent="0.2">
      <c r="E4712" s="69"/>
      <c r="FT4712" s="45"/>
    </row>
    <row r="4713" spans="5:176" x14ac:dyDescent="0.2">
      <c r="E4713" s="69"/>
      <c r="FT4713" s="45"/>
    </row>
    <row r="4714" spans="5:176" x14ac:dyDescent="0.2">
      <c r="E4714" s="69"/>
      <c r="FT4714" s="45"/>
    </row>
    <row r="4715" spans="5:176" x14ac:dyDescent="0.2">
      <c r="E4715" s="69"/>
      <c r="FT4715" s="45"/>
    </row>
    <row r="4716" spans="5:176" x14ac:dyDescent="0.2">
      <c r="E4716" s="69"/>
      <c r="FT4716" s="45"/>
    </row>
    <row r="4717" spans="5:176" x14ac:dyDescent="0.2">
      <c r="E4717" s="69"/>
      <c r="FT4717" s="45"/>
    </row>
    <row r="4718" spans="5:176" x14ac:dyDescent="0.2">
      <c r="E4718" s="69"/>
      <c r="FT4718" s="45"/>
    </row>
    <row r="4719" spans="5:176" x14ac:dyDescent="0.2">
      <c r="E4719" s="69"/>
      <c r="FT4719" s="45"/>
    </row>
    <row r="4720" spans="5:176" x14ac:dyDescent="0.2">
      <c r="E4720" s="69"/>
      <c r="FT4720" s="45"/>
    </row>
    <row r="4721" spans="5:176" x14ac:dyDescent="0.2">
      <c r="E4721" s="69"/>
      <c r="FT4721" s="45"/>
    </row>
    <row r="4722" spans="5:176" x14ac:dyDescent="0.2">
      <c r="E4722" s="69"/>
      <c r="FT4722" s="45"/>
    </row>
    <row r="4723" spans="5:176" x14ac:dyDescent="0.2">
      <c r="E4723" s="69"/>
      <c r="FT4723" s="45"/>
    </row>
    <row r="4724" spans="5:176" x14ac:dyDescent="0.2">
      <c r="E4724" s="69"/>
      <c r="FT4724" s="45"/>
    </row>
    <row r="4725" spans="5:176" x14ac:dyDescent="0.2">
      <c r="E4725" s="69"/>
      <c r="FT4725" s="45"/>
    </row>
    <row r="4726" spans="5:176" x14ac:dyDescent="0.2">
      <c r="E4726" s="69"/>
      <c r="FT4726" s="45"/>
    </row>
    <row r="4727" spans="5:176" x14ac:dyDescent="0.2">
      <c r="E4727" s="69"/>
      <c r="FT4727" s="45"/>
    </row>
    <row r="4728" spans="5:176" x14ac:dyDescent="0.2">
      <c r="E4728" s="69"/>
      <c r="FT4728" s="45"/>
    </row>
    <row r="4729" spans="5:176" x14ac:dyDescent="0.2">
      <c r="E4729" s="69"/>
      <c r="FT4729" s="45"/>
    </row>
    <row r="4730" spans="5:176" x14ac:dyDescent="0.2">
      <c r="E4730" s="69"/>
      <c r="FT4730" s="45"/>
    </row>
    <row r="4731" spans="5:176" x14ac:dyDescent="0.2">
      <c r="E4731" s="69"/>
      <c r="FT4731" s="45"/>
    </row>
    <row r="4732" spans="5:176" x14ac:dyDescent="0.2">
      <c r="E4732" s="69"/>
      <c r="FT4732" s="45"/>
    </row>
    <row r="4733" spans="5:176" x14ac:dyDescent="0.2">
      <c r="E4733" s="69"/>
      <c r="FT4733" s="45"/>
    </row>
    <row r="4734" spans="5:176" x14ac:dyDescent="0.2">
      <c r="E4734" s="69"/>
      <c r="FT4734" s="45"/>
    </row>
    <row r="4735" spans="5:176" x14ac:dyDescent="0.2">
      <c r="E4735" s="69"/>
      <c r="FT4735" s="45"/>
    </row>
    <row r="4736" spans="5:176" x14ac:dyDescent="0.2">
      <c r="E4736" s="69"/>
      <c r="FT4736" s="45"/>
    </row>
    <row r="4737" spans="5:176" x14ac:dyDescent="0.2">
      <c r="E4737" s="69"/>
      <c r="FT4737" s="45"/>
    </row>
    <row r="4738" spans="5:176" x14ac:dyDescent="0.2">
      <c r="E4738" s="69"/>
      <c r="FT4738" s="45"/>
    </row>
    <row r="4739" spans="5:176" x14ac:dyDescent="0.2">
      <c r="E4739" s="69"/>
      <c r="FT4739" s="45"/>
    </row>
    <row r="4740" spans="5:176" x14ac:dyDescent="0.2">
      <c r="E4740" s="69"/>
      <c r="FT4740" s="45"/>
    </row>
    <row r="4741" spans="5:176" x14ac:dyDescent="0.2">
      <c r="E4741" s="69"/>
      <c r="FT4741" s="45"/>
    </row>
    <row r="4742" spans="5:176" x14ac:dyDescent="0.2">
      <c r="E4742" s="69"/>
      <c r="FT4742" s="45"/>
    </row>
    <row r="4743" spans="5:176" x14ac:dyDescent="0.2">
      <c r="E4743" s="69"/>
      <c r="FT4743" s="45"/>
    </row>
    <row r="4744" spans="5:176" x14ac:dyDescent="0.2">
      <c r="E4744" s="69"/>
      <c r="FT4744" s="45"/>
    </row>
    <row r="4745" spans="5:176" x14ac:dyDescent="0.2">
      <c r="E4745" s="69"/>
      <c r="FT4745" s="45"/>
    </row>
    <row r="4746" spans="5:176" x14ac:dyDescent="0.2">
      <c r="E4746" s="69"/>
      <c r="FT4746" s="45"/>
    </row>
    <row r="4747" spans="5:176" x14ac:dyDescent="0.2">
      <c r="E4747" s="69"/>
      <c r="FT4747" s="45"/>
    </row>
    <row r="4748" spans="5:176" x14ac:dyDescent="0.2">
      <c r="E4748" s="69"/>
      <c r="FT4748" s="45"/>
    </row>
    <row r="4749" spans="5:176" x14ac:dyDescent="0.2">
      <c r="E4749" s="69"/>
      <c r="FT4749" s="45"/>
    </row>
    <row r="4750" spans="5:176" x14ac:dyDescent="0.2">
      <c r="E4750" s="69"/>
      <c r="FT4750" s="45"/>
    </row>
    <row r="4751" spans="5:176" x14ac:dyDescent="0.2">
      <c r="E4751" s="69"/>
      <c r="FT4751" s="45"/>
    </row>
    <row r="4752" spans="5:176" x14ac:dyDescent="0.2">
      <c r="E4752" s="69"/>
      <c r="FT4752" s="45"/>
    </row>
    <row r="4753" spans="5:176" x14ac:dyDescent="0.2">
      <c r="E4753" s="69"/>
      <c r="FT4753" s="45"/>
    </row>
    <row r="4754" spans="5:176" x14ac:dyDescent="0.2">
      <c r="E4754" s="69"/>
      <c r="FT4754" s="45"/>
    </row>
    <row r="4755" spans="5:176" x14ac:dyDescent="0.2">
      <c r="E4755" s="69"/>
      <c r="FT4755" s="45"/>
    </row>
    <row r="4756" spans="5:176" x14ac:dyDescent="0.2">
      <c r="E4756" s="69"/>
      <c r="FT4756" s="45"/>
    </row>
    <row r="4757" spans="5:176" x14ac:dyDescent="0.2">
      <c r="E4757" s="69"/>
      <c r="FT4757" s="45"/>
    </row>
    <row r="4758" spans="5:176" x14ac:dyDescent="0.2">
      <c r="E4758" s="69"/>
      <c r="FT4758" s="45"/>
    </row>
    <row r="4759" spans="5:176" x14ac:dyDescent="0.2">
      <c r="E4759" s="69"/>
      <c r="FT4759" s="45"/>
    </row>
    <row r="4760" spans="5:176" x14ac:dyDescent="0.2">
      <c r="E4760" s="69"/>
      <c r="FT4760" s="45"/>
    </row>
    <row r="4761" spans="5:176" x14ac:dyDescent="0.2">
      <c r="E4761" s="69"/>
      <c r="FT4761" s="45"/>
    </row>
    <row r="4762" spans="5:176" x14ac:dyDescent="0.2">
      <c r="E4762" s="69"/>
      <c r="FT4762" s="45"/>
    </row>
    <row r="4763" spans="5:176" x14ac:dyDescent="0.2">
      <c r="E4763" s="69"/>
      <c r="FT4763" s="45"/>
    </row>
    <row r="4764" spans="5:176" x14ac:dyDescent="0.2">
      <c r="E4764" s="69"/>
      <c r="FT4764" s="45"/>
    </row>
    <row r="4765" spans="5:176" x14ac:dyDescent="0.2">
      <c r="E4765" s="69"/>
      <c r="FT4765" s="45"/>
    </row>
    <row r="4766" spans="5:176" x14ac:dyDescent="0.2">
      <c r="E4766" s="69"/>
      <c r="FT4766" s="45"/>
    </row>
    <row r="4767" spans="5:176" x14ac:dyDescent="0.2">
      <c r="E4767" s="69"/>
      <c r="FT4767" s="45"/>
    </row>
    <row r="4768" spans="5:176" x14ac:dyDescent="0.2">
      <c r="E4768" s="69"/>
      <c r="FT4768" s="45"/>
    </row>
    <row r="4769" spans="5:176" x14ac:dyDescent="0.2">
      <c r="E4769" s="69"/>
      <c r="FT4769" s="45"/>
    </row>
    <row r="4770" spans="5:176" x14ac:dyDescent="0.2">
      <c r="E4770" s="69"/>
      <c r="FT4770" s="45"/>
    </row>
    <row r="4771" spans="5:176" x14ac:dyDescent="0.2">
      <c r="E4771" s="69"/>
      <c r="FT4771" s="45"/>
    </row>
    <row r="4772" spans="5:176" x14ac:dyDescent="0.2">
      <c r="E4772" s="69"/>
      <c r="FT4772" s="45"/>
    </row>
    <row r="4773" spans="5:176" x14ac:dyDescent="0.2">
      <c r="E4773" s="69"/>
      <c r="FT4773" s="45"/>
    </row>
    <row r="4774" spans="5:176" x14ac:dyDescent="0.2">
      <c r="E4774" s="69"/>
      <c r="FT4774" s="45"/>
    </row>
    <row r="4775" spans="5:176" x14ac:dyDescent="0.2">
      <c r="E4775" s="69"/>
      <c r="FT4775" s="45"/>
    </row>
    <row r="4776" spans="5:176" x14ac:dyDescent="0.2">
      <c r="E4776" s="69"/>
      <c r="FT4776" s="45"/>
    </row>
    <row r="4777" spans="5:176" x14ac:dyDescent="0.2">
      <c r="E4777" s="69"/>
      <c r="FT4777" s="45"/>
    </row>
    <row r="4778" spans="5:176" x14ac:dyDescent="0.2">
      <c r="E4778" s="69"/>
      <c r="FT4778" s="45"/>
    </row>
    <row r="4779" spans="5:176" x14ac:dyDescent="0.2">
      <c r="E4779" s="69"/>
      <c r="FT4779" s="45"/>
    </row>
    <row r="4780" spans="5:176" x14ac:dyDescent="0.2">
      <c r="E4780" s="69"/>
      <c r="FT4780" s="45"/>
    </row>
    <row r="4781" spans="5:176" x14ac:dyDescent="0.2">
      <c r="E4781" s="69"/>
      <c r="FT4781" s="45"/>
    </row>
    <row r="4782" spans="5:176" x14ac:dyDescent="0.2">
      <c r="E4782" s="69"/>
      <c r="FT4782" s="45"/>
    </row>
    <row r="4783" spans="5:176" x14ac:dyDescent="0.2">
      <c r="E4783" s="69"/>
      <c r="FT4783" s="45"/>
    </row>
    <row r="4784" spans="5:176" x14ac:dyDescent="0.2">
      <c r="E4784" s="69"/>
      <c r="FT4784" s="45"/>
    </row>
    <row r="4785" spans="5:176" x14ac:dyDescent="0.2">
      <c r="E4785" s="69"/>
      <c r="FT4785" s="45"/>
    </row>
    <row r="4786" spans="5:176" x14ac:dyDescent="0.2">
      <c r="E4786" s="69"/>
      <c r="FT4786" s="45"/>
    </row>
    <row r="4787" spans="5:176" x14ac:dyDescent="0.2">
      <c r="E4787" s="69"/>
      <c r="FT4787" s="45"/>
    </row>
    <row r="4788" spans="5:176" x14ac:dyDescent="0.2">
      <c r="E4788" s="69"/>
      <c r="FT4788" s="45"/>
    </row>
    <row r="4789" spans="5:176" x14ac:dyDescent="0.2">
      <c r="E4789" s="69"/>
      <c r="FT4789" s="45"/>
    </row>
    <row r="4790" spans="5:176" x14ac:dyDescent="0.2">
      <c r="E4790" s="69"/>
      <c r="FT4790" s="45"/>
    </row>
    <row r="4791" spans="5:176" x14ac:dyDescent="0.2">
      <c r="E4791" s="69"/>
      <c r="FT4791" s="45"/>
    </row>
    <row r="4792" spans="5:176" x14ac:dyDescent="0.2">
      <c r="E4792" s="69"/>
      <c r="FT4792" s="45"/>
    </row>
    <row r="4793" spans="5:176" x14ac:dyDescent="0.2">
      <c r="E4793" s="69"/>
      <c r="FT4793" s="45"/>
    </row>
    <row r="4794" spans="5:176" x14ac:dyDescent="0.2">
      <c r="E4794" s="69"/>
      <c r="FT4794" s="45"/>
    </row>
    <row r="4795" spans="5:176" x14ac:dyDescent="0.2">
      <c r="E4795" s="69"/>
      <c r="FT4795" s="45"/>
    </row>
    <row r="4796" spans="5:176" x14ac:dyDescent="0.2">
      <c r="E4796" s="69"/>
      <c r="FT4796" s="45"/>
    </row>
    <row r="4797" spans="5:176" x14ac:dyDescent="0.2">
      <c r="E4797" s="69"/>
      <c r="FT4797" s="45"/>
    </row>
    <row r="4798" spans="5:176" x14ac:dyDescent="0.2">
      <c r="E4798" s="69"/>
      <c r="FT4798" s="45"/>
    </row>
    <row r="4799" spans="5:176" x14ac:dyDescent="0.2">
      <c r="E4799" s="69"/>
      <c r="FT4799" s="45"/>
    </row>
    <row r="4800" spans="5:176" x14ac:dyDescent="0.2">
      <c r="E4800" s="69"/>
      <c r="FT4800" s="45"/>
    </row>
    <row r="4801" spans="5:176" x14ac:dyDescent="0.2">
      <c r="E4801" s="69"/>
      <c r="FT4801" s="45"/>
    </row>
    <row r="4802" spans="5:176" x14ac:dyDescent="0.2">
      <c r="E4802" s="69"/>
      <c r="FT4802" s="45"/>
    </row>
    <row r="4803" spans="5:176" x14ac:dyDescent="0.2">
      <c r="E4803" s="69"/>
      <c r="FT4803" s="45"/>
    </row>
    <row r="4804" spans="5:176" x14ac:dyDescent="0.2">
      <c r="E4804" s="69"/>
      <c r="FT4804" s="45"/>
    </row>
    <row r="4805" spans="5:176" x14ac:dyDescent="0.2">
      <c r="E4805" s="69"/>
      <c r="FT4805" s="45"/>
    </row>
    <row r="4806" spans="5:176" x14ac:dyDescent="0.2">
      <c r="E4806" s="69"/>
      <c r="FT4806" s="45"/>
    </row>
    <row r="4807" spans="5:176" x14ac:dyDescent="0.2">
      <c r="E4807" s="69"/>
      <c r="FT4807" s="45"/>
    </row>
    <row r="4808" spans="5:176" x14ac:dyDescent="0.2">
      <c r="E4808" s="69"/>
      <c r="FT4808" s="45"/>
    </row>
    <row r="4809" spans="5:176" x14ac:dyDescent="0.2">
      <c r="E4809" s="69"/>
      <c r="FT4809" s="45"/>
    </row>
    <row r="4810" spans="5:176" x14ac:dyDescent="0.2">
      <c r="E4810" s="69"/>
      <c r="FT4810" s="45"/>
    </row>
    <row r="4811" spans="5:176" x14ac:dyDescent="0.2">
      <c r="E4811" s="69"/>
      <c r="FT4811" s="45"/>
    </row>
    <row r="4812" spans="5:176" x14ac:dyDescent="0.2">
      <c r="E4812" s="69"/>
      <c r="FT4812" s="45"/>
    </row>
    <row r="4813" spans="5:176" x14ac:dyDescent="0.2">
      <c r="E4813" s="69"/>
      <c r="FT4813" s="45"/>
    </row>
    <row r="4814" spans="5:176" x14ac:dyDescent="0.2">
      <c r="E4814" s="69"/>
      <c r="FT4814" s="45"/>
    </row>
    <row r="4815" spans="5:176" x14ac:dyDescent="0.2">
      <c r="E4815" s="69"/>
      <c r="FT4815" s="45"/>
    </row>
    <row r="4816" spans="5:176" x14ac:dyDescent="0.2">
      <c r="E4816" s="69"/>
      <c r="FT4816" s="45"/>
    </row>
    <row r="4817" spans="5:176" x14ac:dyDescent="0.2">
      <c r="E4817" s="69"/>
      <c r="FT4817" s="45"/>
    </row>
    <row r="4818" spans="5:176" x14ac:dyDescent="0.2">
      <c r="E4818" s="69"/>
      <c r="FT4818" s="45"/>
    </row>
    <row r="4819" spans="5:176" x14ac:dyDescent="0.2">
      <c r="E4819" s="69"/>
      <c r="FT4819" s="45"/>
    </row>
    <row r="4820" spans="5:176" x14ac:dyDescent="0.2">
      <c r="E4820" s="69"/>
      <c r="FT4820" s="45"/>
    </row>
    <row r="4821" spans="5:176" x14ac:dyDescent="0.2">
      <c r="E4821" s="69"/>
      <c r="FT4821" s="45"/>
    </row>
    <row r="4822" spans="5:176" x14ac:dyDescent="0.2">
      <c r="E4822" s="69"/>
      <c r="FT4822" s="45"/>
    </row>
    <row r="4823" spans="5:176" x14ac:dyDescent="0.2">
      <c r="E4823" s="69"/>
      <c r="FT4823" s="45"/>
    </row>
    <row r="4824" spans="5:176" x14ac:dyDescent="0.2">
      <c r="E4824" s="69"/>
      <c r="FT4824" s="45"/>
    </row>
    <row r="4825" spans="5:176" x14ac:dyDescent="0.2">
      <c r="E4825" s="69"/>
      <c r="FT4825" s="45"/>
    </row>
    <row r="4826" spans="5:176" x14ac:dyDescent="0.2">
      <c r="E4826" s="69"/>
      <c r="FT4826" s="45"/>
    </row>
    <row r="4827" spans="5:176" x14ac:dyDescent="0.2">
      <c r="E4827" s="69"/>
      <c r="FT4827" s="45"/>
    </row>
    <row r="4828" spans="5:176" x14ac:dyDescent="0.2">
      <c r="E4828" s="69"/>
      <c r="FT4828" s="45"/>
    </row>
    <row r="4829" spans="5:176" x14ac:dyDescent="0.2">
      <c r="E4829" s="69"/>
      <c r="FT4829" s="45"/>
    </row>
    <row r="4830" spans="5:176" x14ac:dyDescent="0.2">
      <c r="E4830" s="69"/>
      <c r="FT4830" s="45"/>
    </row>
    <row r="4831" spans="5:176" x14ac:dyDescent="0.2">
      <c r="E4831" s="69"/>
      <c r="FT4831" s="45"/>
    </row>
    <row r="4832" spans="5:176" x14ac:dyDescent="0.2">
      <c r="E4832" s="69"/>
      <c r="FT4832" s="45"/>
    </row>
    <row r="4833" spans="5:176" x14ac:dyDescent="0.2">
      <c r="E4833" s="69"/>
      <c r="FT4833" s="45"/>
    </row>
    <row r="4834" spans="5:176" x14ac:dyDescent="0.2">
      <c r="E4834" s="69"/>
      <c r="FT4834" s="45"/>
    </row>
    <row r="4835" spans="5:176" x14ac:dyDescent="0.2">
      <c r="E4835" s="69"/>
      <c r="FT4835" s="45"/>
    </row>
    <row r="4836" spans="5:176" x14ac:dyDescent="0.2">
      <c r="E4836" s="69"/>
      <c r="FT4836" s="45"/>
    </row>
    <row r="4837" spans="5:176" x14ac:dyDescent="0.2">
      <c r="E4837" s="69"/>
      <c r="FT4837" s="45"/>
    </row>
    <row r="4838" spans="5:176" x14ac:dyDescent="0.2">
      <c r="E4838" s="69"/>
      <c r="FT4838" s="45"/>
    </row>
    <row r="4839" spans="5:176" x14ac:dyDescent="0.2">
      <c r="E4839" s="69"/>
      <c r="FT4839" s="45"/>
    </row>
    <row r="4840" spans="5:176" x14ac:dyDescent="0.2">
      <c r="E4840" s="69"/>
      <c r="FT4840" s="45"/>
    </row>
    <row r="4841" spans="5:176" x14ac:dyDescent="0.2">
      <c r="E4841" s="69"/>
      <c r="FT4841" s="45"/>
    </row>
    <row r="4842" spans="5:176" x14ac:dyDescent="0.2">
      <c r="E4842" s="69"/>
      <c r="FT4842" s="45"/>
    </row>
    <row r="4843" spans="5:176" x14ac:dyDescent="0.2">
      <c r="E4843" s="69"/>
      <c r="FT4843" s="45"/>
    </row>
    <row r="4844" spans="5:176" x14ac:dyDescent="0.2">
      <c r="E4844" s="69"/>
      <c r="FT4844" s="45"/>
    </row>
    <row r="4845" spans="5:176" x14ac:dyDescent="0.2">
      <c r="E4845" s="69"/>
      <c r="FT4845" s="45"/>
    </row>
    <row r="4846" spans="5:176" x14ac:dyDescent="0.2">
      <c r="E4846" s="69"/>
      <c r="FT4846" s="45"/>
    </row>
    <row r="4847" spans="5:176" x14ac:dyDescent="0.2">
      <c r="E4847" s="69"/>
      <c r="FT4847" s="45"/>
    </row>
    <row r="4848" spans="5:176" x14ac:dyDescent="0.2">
      <c r="E4848" s="69"/>
      <c r="FT4848" s="45"/>
    </row>
    <row r="4849" spans="5:176" x14ac:dyDescent="0.2">
      <c r="E4849" s="69"/>
      <c r="FT4849" s="45"/>
    </row>
    <row r="4850" spans="5:176" x14ac:dyDescent="0.2">
      <c r="E4850" s="69"/>
      <c r="FT4850" s="45"/>
    </row>
    <row r="4851" spans="5:176" x14ac:dyDescent="0.2">
      <c r="E4851" s="69"/>
      <c r="FT4851" s="45"/>
    </row>
    <row r="4852" spans="5:176" x14ac:dyDescent="0.2">
      <c r="E4852" s="69"/>
      <c r="FT4852" s="45"/>
    </row>
    <row r="4853" spans="5:176" x14ac:dyDescent="0.2">
      <c r="E4853" s="69"/>
      <c r="FT4853" s="45"/>
    </row>
    <row r="4854" spans="5:176" x14ac:dyDescent="0.2">
      <c r="E4854" s="69"/>
      <c r="FT4854" s="45"/>
    </row>
    <row r="4855" spans="5:176" x14ac:dyDescent="0.2">
      <c r="E4855" s="69"/>
      <c r="FT4855" s="45"/>
    </row>
    <row r="4856" spans="5:176" x14ac:dyDescent="0.2">
      <c r="E4856" s="69"/>
      <c r="FT4856" s="45"/>
    </row>
    <row r="4857" spans="5:176" x14ac:dyDescent="0.2">
      <c r="E4857" s="69"/>
      <c r="FT4857" s="45"/>
    </row>
    <row r="4858" spans="5:176" x14ac:dyDescent="0.2">
      <c r="E4858" s="69"/>
      <c r="FT4858" s="45"/>
    </row>
    <row r="4859" spans="5:176" x14ac:dyDescent="0.2">
      <c r="E4859" s="69"/>
      <c r="FT4859" s="45"/>
    </row>
    <row r="4860" spans="5:176" x14ac:dyDescent="0.2">
      <c r="E4860" s="69"/>
      <c r="FT4860" s="45"/>
    </row>
    <row r="4861" spans="5:176" x14ac:dyDescent="0.2">
      <c r="E4861" s="69"/>
      <c r="FT4861" s="45"/>
    </row>
    <row r="4862" spans="5:176" x14ac:dyDescent="0.2">
      <c r="E4862" s="69"/>
      <c r="FT4862" s="45"/>
    </row>
    <row r="4863" spans="5:176" x14ac:dyDescent="0.2">
      <c r="E4863" s="69"/>
      <c r="FT4863" s="45"/>
    </row>
    <row r="4864" spans="5:176" x14ac:dyDescent="0.2">
      <c r="E4864" s="69"/>
      <c r="FT4864" s="45"/>
    </row>
    <row r="4865" spans="5:176" x14ac:dyDescent="0.2">
      <c r="E4865" s="69"/>
      <c r="FT4865" s="45"/>
    </row>
    <row r="4866" spans="5:176" x14ac:dyDescent="0.2">
      <c r="E4866" s="69"/>
      <c r="FT4866" s="45"/>
    </row>
    <row r="4867" spans="5:176" x14ac:dyDescent="0.2">
      <c r="E4867" s="69"/>
      <c r="FT4867" s="45"/>
    </row>
    <row r="4868" spans="5:176" x14ac:dyDescent="0.2">
      <c r="E4868" s="69"/>
      <c r="FT4868" s="45"/>
    </row>
    <row r="4869" spans="5:176" x14ac:dyDescent="0.2">
      <c r="E4869" s="69"/>
      <c r="FT4869" s="45"/>
    </row>
    <row r="4870" spans="5:176" x14ac:dyDescent="0.2">
      <c r="E4870" s="69"/>
      <c r="FT4870" s="45"/>
    </row>
    <row r="4871" spans="5:176" x14ac:dyDescent="0.2">
      <c r="E4871" s="69"/>
      <c r="FT4871" s="45"/>
    </row>
    <row r="4872" spans="5:176" x14ac:dyDescent="0.2">
      <c r="E4872" s="69"/>
      <c r="FT4872" s="45"/>
    </row>
    <row r="4873" spans="5:176" x14ac:dyDescent="0.2">
      <c r="E4873" s="69"/>
      <c r="FT4873" s="45"/>
    </row>
    <row r="4874" spans="5:176" x14ac:dyDescent="0.2">
      <c r="E4874" s="69"/>
      <c r="FT4874" s="45"/>
    </row>
    <row r="4875" spans="5:176" x14ac:dyDescent="0.2">
      <c r="E4875" s="69"/>
      <c r="FT4875" s="45"/>
    </row>
    <row r="4876" spans="5:176" x14ac:dyDescent="0.2">
      <c r="E4876" s="69"/>
      <c r="FT4876" s="45"/>
    </row>
    <row r="4877" spans="5:176" x14ac:dyDescent="0.2">
      <c r="E4877" s="69"/>
      <c r="FT4877" s="45"/>
    </row>
    <row r="4878" spans="5:176" x14ac:dyDescent="0.2">
      <c r="E4878" s="69"/>
      <c r="FT4878" s="45"/>
    </row>
    <row r="4879" spans="5:176" x14ac:dyDescent="0.2">
      <c r="E4879" s="69"/>
      <c r="FT4879" s="45"/>
    </row>
    <row r="4880" spans="5:176" x14ac:dyDescent="0.2">
      <c r="E4880" s="69"/>
      <c r="FT4880" s="45"/>
    </row>
    <row r="4881" spans="5:176" x14ac:dyDescent="0.2">
      <c r="E4881" s="69"/>
      <c r="FT4881" s="45"/>
    </row>
    <row r="4882" spans="5:176" x14ac:dyDescent="0.2">
      <c r="E4882" s="69"/>
      <c r="FT4882" s="45"/>
    </row>
    <row r="4883" spans="5:176" x14ac:dyDescent="0.2">
      <c r="E4883" s="69"/>
      <c r="FT4883" s="45"/>
    </row>
    <row r="4884" spans="5:176" x14ac:dyDescent="0.2">
      <c r="E4884" s="69"/>
      <c r="FT4884" s="45"/>
    </row>
    <row r="4885" spans="5:176" x14ac:dyDescent="0.2">
      <c r="E4885" s="69"/>
      <c r="FT4885" s="45"/>
    </row>
    <row r="4886" spans="5:176" x14ac:dyDescent="0.2">
      <c r="E4886" s="69"/>
      <c r="FT4886" s="45"/>
    </row>
    <row r="4887" spans="5:176" x14ac:dyDescent="0.2">
      <c r="E4887" s="69"/>
      <c r="FT4887" s="45"/>
    </row>
    <row r="4888" spans="5:176" x14ac:dyDescent="0.2">
      <c r="E4888" s="69"/>
      <c r="FT4888" s="45"/>
    </row>
    <row r="4889" spans="5:176" x14ac:dyDescent="0.2">
      <c r="E4889" s="69"/>
      <c r="FT4889" s="45"/>
    </row>
    <row r="4890" spans="5:176" x14ac:dyDescent="0.2">
      <c r="E4890" s="69"/>
      <c r="FT4890" s="45"/>
    </row>
    <row r="4891" spans="5:176" x14ac:dyDescent="0.2">
      <c r="E4891" s="69"/>
      <c r="FT4891" s="45"/>
    </row>
    <row r="4892" spans="5:176" x14ac:dyDescent="0.2">
      <c r="E4892" s="69"/>
      <c r="FT4892" s="45"/>
    </row>
    <row r="4893" spans="5:176" x14ac:dyDescent="0.2">
      <c r="E4893" s="69"/>
      <c r="FT4893" s="45"/>
    </row>
    <row r="4894" spans="5:176" x14ac:dyDescent="0.2">
      <c r="E4894" s="69"/>
      <c r="FT4894" s="45"/>
    </row>
    <row r="4895" spans="5:176" x14ac:dyDescent="0.2">
      <c r="E4895" s="69"/>
      <c r="FT4895" s="45"/>
    </row>
    <row r="4896" spans="5:176" x14ac:dyDescent="0.2">
      <c r="E4896" s="69"/>
      <c r="FT4896" s="45"/>
    </row>
    <row r="4897" spans="5:176" x14ac:dyDescent="0.2">
      <c r="E4897" s="69"/>
      <c r="FT4897" s="45"/>
    </row>
    <row r="4898" spans="5:176" x14ac:dyDescent="0.2">
      <c r="E4898" s="69"/>
      <c r="FT4898" s="45"/>
    </row>
    <row r="4899" spans="5:176" x14ac:dyDescent="0.2">
      <c r="E4899" s="69"/>
      <c r="FT4899" s="45"/>
    </row>
    <row r="4900" spans="5:176" x14ac:dyDescent="0.2">
      <c r="E4900" s="69"/>
      <c r="FT4900" s="45"/>
    </row>
    <row r="4901" spans="5:176" x14ac:dyDescent="0.2">
      <c r="E4901" s="69"/>
      <c r="FT4901" s="45"/>
    </row>
    <row r="4902" spans="5:176" x14ac:dyDescent="0.2">
      <c r="E4902" s="69"/>
      <c r="FT4902" s="45"/>
    </row>
    <row r="4903" spans="5:176" x14ac:dyDescent="0.2">
      <c r="E4903" s="69"/>
      <c r="FT4903" s="45"/>
    </row>
    <row r="4904" spans="5:176" x14ac:dyDescent="0.2">
      <c r="E4904" s="69"/>
      <c r="FT4904" s="45"/>
    </row>
    <row r="4905" spans="5:176" x14ac:dyDescent="0.2">
      <c r="E4905" s="69"/>
      <c r="FT4905" s="45"/>
    </row>
    <row r="4906" spans="5:176" x14ac:dyDescent="0.2">
      <c r="E4906" s="69"/>
      <c r="FT4906" s="45"/>
    </row>
    <row r="4907" spans="5:176" x14ac:dyDescent="0.2">
      <c r="E4907" s="69"/>
      <c r="FT4907" s="45"/>
    </row>
    <row r="4908" spans="5:176" x14ac:dyDescent="0.2">
      <c r="E4908" s="69"/>
      <c r="FT4908" s="45"/>
    </row>
    <row r="4909" spans="5:176" x14ac:dyDescent="0.2">
      <c r="E4909" s="69"/>
      <c r="FT4909" s="45"/>
    </row>
    <row r="4910" spans="5:176" x14ac:dyDescent="0.2">
      <c r="E4910" s="69"/>
      <c r="FT4910" s="45"/>
    </row>
    <row r="4911" spans="5:176" x14ac:dyDescent="0.2">
      <c r="E4911" s="69"/>
      <c r="FT4911" s="45"/>
    </row>
    <row r="4912" spans="5:176" x14ac:dyDescent="0.2">
      <c r="E4912" s="69"/>
      <c r="FT4912" s="45"/>
    </row>
    <row r="4913" spans="5:176" x14ac:dyDescent="0.2">
      <c r="E4913" s="69"/>
      <c r="FT4913" s="45"/>
    </row>
    <row r="4914" spans="5:176" x14ac:dyDescent="0.2">
      <c r="E4914" s="69"/>
      <c r="FT4914" s="45"/>
    </row>
    <row r="4915" spans="5:176" x14ac:dyDescent="0.2">
      <c r="E4915" s="69"/>
      <c r="FT4915" s="45"/>
    </row>
    <row r="4916" spans="5:176" x14ac:dyDescent="0.2">
      <c r="E4916" s="69"/>
      <c r="FT4916" s="45"/>
    </row>
    <row r="4917" spans="5:176" x14ac:dyDescent="0.2">
      <c r="E4917" s="69"/>
      <c r="FT4917" s="45"/>
    </row>
    <row r="4918" spans="5:176" x14ac:dyDescent="0.2">
      <c r="E4918" s="69"/>
      <c r="FT4918" s="45"/>
    </row>
    <row r="4919" spans="5:176" x14ac:dyDescent="0.2">
      <c r="E4919" s="69"/>
      <c r="FT4919" s="45"/>
    </row>
    <row r="4920" spans="5:176" x14ac:dyDescent="0.2">
      <c r="E4920" s="69"/>
      <c r="FT4920" s="45"/>
    </row>
    <row r="4921" spans="5:176" x14ac:dyDescent="0.2">
      <c r="E4921" s="69"/>
      <c r="FT4921" s="45"/>
    </row>
    <row r="4922" spans="5:176" x14ac:dyDescent="0.2">
      <c r="E4922" s="69"/>
      <c r="FT4922" s="45"/>
    </row>
    <row r="4923" spans="5:176" x14ac:dyDescent="0.2">
      <c r="E4923" s="69"/>
      <c r="FT4923" s="45"/>
    </row>
    <row r="4924" spans="5:176" x14ac:dyDescent="0.2">
      <c r="E4924" s="69"/>
      <c r="FT4924" s="45"/>
    </row>
    <row r="4925" spans="5:176" x14ac:dyDescent="0.2">
      <c r="E4925" s="69"/>
      <c r="FT4925" s="45"/>
    </row>
    <row r="4926" spans="5:176" x14ac:dyDescent="0.2">
      <c r="E4926" s="69"/>
      <c r="FT4926" s="45"/>
    </row>
    <row r="4927" spans="5:176" x14ac:dyDescent="0.2">
      <c r="E4927" s="69"/>
      <c r="FT4927" s="45"/>
    </row>
    <row r="4928" spans="5:176" x14ac:dyDescent="0.2">
      <c r="E4928" s="69"/>
      <c r="FT4928" s="45"/>
    </row>
    <row r="4929" spans="5:176" x14ac:dyDescent="0.2">
      <c r="E4929" s="69"/>
      <c r="FT4929" s="45"/>
    </row>
    <row r="4930" spans="5:176" x14ac:dyDescent="0.2">
      <c r="E4930" s="69"/>
      <c r="FT4930" s="45"/>
    </row>
    <row r="4931" spans="5:176" x14ac:dyDescent="0.2">
      <c r="E4931" s="69"/>
      <c r="FT4931" s="45"/>
    </row>
    <row r="4932" spans="5:176" x14ac:dyDescent="0.2">
      <c r="E4932" s="69"/>
      <c r="FT4932" s="45"/>
    </row>
    <row r="4933" spans="5:176" x14ac:dyDescent="0.2">
      <c r="E4933" s="69"/>
      <c r="FT4933" s="45"/>
    </row>
    <row r="4934" spans="5:176" x14ac:dyDescent="0.2">
      <c r="E4934" s="69"/>
      <c r="FT4934" s="45"/>
    </row>
    <row r="4935" spans="5:176" x14ac:dyDescent="0.2">
      <c r="E4935" s="69"/>
      <c r="FT4935" s="45"/>
    </row>
    <row r="4936" spans="5:176" x14ac:dyDescent="0.2">
      <c r="E4936" s="69"/>
      <c r="FT4936" s="45"/>
    </row>
    <row r="4937" spans="5:176" x14ac:dyDescent="0.2">
      <c r="E4937" s="69"/>
      <c r="FT4937" s="45"/>
    </row>
    <row r="4938" spans="5:176" x14ac:dyDescent="0.2">
      <c r="E4938" s="69"/>
      <c r="FT4938" s="45"/>
    </row>
    <row r="4939" spans="5:176" x14ac:dyDescent="0.2">
      <c r="E4939" s="69"/>
      <c r="FT4939" s="45"/>
    </row>
    <row r="4940" spans="5:176" x14ac:dyDescent="0.2">
      <c r="E4940" s="69"/>
      <c r="FT4940" s="45"/>
    </row>
    <row r="4941" spans="5:176" x14ac:dyDescent="0.2">
      <c r="E4941" s="69"/>
      <c r="FT4941" s="45"/>
    </row>
    <row r="4942" spans="5:176" x14ac:dyDescent="0.2">
      <c r="E4942" s="69"/>
      <c r="FT4942" s="45"/>
    </row>
    <row r="4943" spans="5:176" x14ac:dyDescent="0.2">
      <c r="E4943" s="69"/>
      <c r="FT4943" s="45"/>
    </row>
    <row r="4944" spans="5:176" x14ac:dyDescent="0.2">
      <c r="E4944" s="69"/>
      <c r="FT4944" s="45"/>
    </row>
    <row r="4945" spans="5:176" x14ac:dyDescent="0.2">
      <c r="E4945" s="69"/>
      <c r="FT4945" s="45"/>
    </row>
    <row r="4946" spans="5:176" x14ac:dyDescent="0.2">
      <c r="E4946" s="69"/>
      <c r="FT4946" s="45"/>
    </row>
    <row r="4947" spans="5:176" x14ac:dyDescent="0.2">
      <c r="E4947" s="69"/>
      <c r="FT4947" s="45"/>
    </row>
    <row r="4948" spans="5:176" x14ac:dyDescent="0.2">
      <c r="E4948" s="69"/>
      <c r="FT4948" s="45"/>
    </row>
    <row r="4949" spans="5:176" x14ac:dyDescent="0.2">
      <c r="E4949" s="69"/>
      <c r="FT4949" s="45"/>
    </row>
    <row r="4950" spans="5:176" x14ac:dyDescent="0.2">
      <c r="E4950" s="69"/>
      <c r="FT4950" s="45"/>
    </row>
    <row r="4951" spans="5:176" x14ac:dyDescent="0.2">
      <c r="E4951" s="69"/>
      <c r="FT4951" s="45"/>
    </row>
    <row r="4952" spans="5:176" x14ac:dyDescent="0.2">
      <c r="E4952" s="69"/>
      <c r="FT4952" s="45"/>
    </row>
    <row r="4953" spans="5:176" x14ac:dyDescent="0.2">
      <c r="E4953" s="69"/>
      <c r="FT4953" s="45"/>
    </row>
    <row r="4954" spans="5:176" x14ac:dyDescent="0.2">
      <c r="E4954" s="69"/>
      <c r="FT4954" s="45"/>
    </row>
    <row r="4955" spans="5:176" x14ac:dyDescent="0.2">
      <c r="E4955" s="69"/>
      <c r="FT4955" s="45"/>
    </row>
    <row r="4956" spans="5:176" x14ac:dyDescent="0.2">
      <c r="E4956" s="69"/>
      <c r="FT4956" s="45"/>
    </row>
    <row r="4957" spans="5:176" x14ac:dyDescent="0.2">
      <c r="E4957" s="69"/>
      <c r="FT4957" s="45"/>
    </row>
    <row r="4958" spans="5:176" x14ac:dyDescent="0.2">
      <c r="E4958" s="69"/>
      <c r="FT4958" s="45"/>
    </row>
    <row r="4959" spans="5:176" x14ac:dyDescent="0.2">
      <c r="E4959" s="69"/>
      <c r="FT4959" s="45"/>
    </row>
    <row r="4960" spans="5:176" x14ac:dyDescent="0.2">
      <c r="E4960" s="69"/>
      <c r="FT4960" s="45"/>
    </row>
    <row r="4961" spans="5:176" x14ac:dyDescent="0.2">
      <c r="E4961" s="69"/>
      <c r="FT4961" s="45"/>
    </row>
    <row r="4962" spans="5:176" x14ac:dyDescent="0.2">
      <c r="E4962" s="69"/>
      <c r="FT4962" s="45"/>
    </row>
    <row r="4963" spans="5:176" x14ac:dyDescent="0.2">
      <c r="E4963" s="69"/>
      <c r="FT4963" s="45"/>
    </row>
    <row r="4964" spans="5:176" x14ac:dyDescent="0.2">
      <c r="E4964" s="69"/>
      <c r="FT4964" s="45"/>
    </row>
    <row r="4965" spans="5:176" x14ac:dyDescent="0.2">
      <c r="E4965" s="69"/>
      <c r="FT4965" s="45"/>
    </row>
    <row r="4966" spans="5:176" x14ac:dyDescent="0.2">
      <c r="E4966" s="69"/>
      <c r="FT4966" s="45"/>
    </row>
    <row r="4967" spans="5:176" x14ac:dyDescent="0.2">
      <c r="E4967" s="69"/>
      <c r="FT4967" s="45"/>
    </row>
    <row r="4968" spans="5:176" x14ac:dyDescent="0.2">
      <c r="E4968" s="69"/>
      <c r="FT4968" s="45"/>
    </row>
    <row r="4969" spans="5:176" x14ac:dyDescent="0.2">
      <c r="E4969" s="69"/>
      <c r="FT4969" s="45"/>
    </row>
    <row r="4970" spans="5:176" x14ac:dyDescent="0.2">
      <c r="E4970" s="69"/>
      <c r="FT4970" s="45"/>
    </row>
    <row r="4971" spans="5:176" x14ac:dyDescent="0.2">
      <c r="E4971" s="69"/>
      <c r="FT4971" s="45"/>
    </row>
    <row r="4972" spans="5:176" x14ac:dyDescent="0.2">
      <c r="E4972" s="69"/>
      <c r="FT4972" s="45"/>
    </row>
    <row r="4973" spans="5:176" x14ac:dyDescent="0.2">
      <c r="E4973" s="69"/>
      <c r="FT4973" s="45"/>
    </row>
    <row r="4974" spans="5:176" x14ac:dyDescent="0.2">
      <c r="E4974" s="69"/>
      <c r="FT4974" s="45"/>
    </row>
    <row r="4975" spans="5:176" x14ac:dyDescent="0.2">
      <c r="E4975" s="69"/>
      <c r="FT4975" s="45"/>
    </row>
    <row r="4976" spans="5:176" x14ac:dyDescent="0.2">
      <c r="E4976" s="69"/>
      <c r="FT4976" s="45"/>
    </row>
    <row r="4977" spans="5:176" x14ac:dyDescent="0.2">
      <c r="E4977" s="69"/>
      <c r="FT4977" s="45"/>
    </row>
    <row r="4978" spans="5:176" x14ac:dyDescent="0.2">
      <c r="E4978" s="69"/>
      <c r="FT4978" s="45"/>
    </row>
    <row r="4979" spans="5:176" x14ac:dyDescent="0.2">
      <c r="E4979" s="69"/>
      <c r="FT4979" s="45"/>
    </row>
    <row r="4980" spans="5:176" x14ac:dyDescent="0.2">
      <c r="E4980" s="69"/>
      <c r="FT4980" s="45"/>
    </row>
    <row r="4981" spans="5:176" x14ac:dyDescent="0.2">
      <c r="E4981" s="69"/>
      <c r="FT4981" s="45"/>
    </row>
    <row r="4982" spans="5:176" x14ac:dyDescent="0.2">
      <c r="E4982" s="69"/>
      <c r="FT4982" s="45"/>
    </row>
    <row r="4983" spans="5:176" x14ac:dyDescent="0.2">
      <c r="E4983" s="69"/>
      <c r="FT4983" s="45"/>
    </row>
    <row r="4984" spans="5:176" x14ac:dyDescent="0.2">
      <c r="E4984" s="69"/>
      <c r="FT4984" s="45"/>
    </row>
    <row r="4985" spans="5:176" x14ac:dyDescent="0.2">
      <c r="E4985" s="69"/>
      <c r="FT4985" s="45"/>
    </row>
    <row r="4986" spans="5:176" x14ac:dyDescent="0.2">
      <c r="E4986" s="69"/>
      <c r="FT4986" s="45"/>
    </row>
    <row r="4987" spans="5:176" x14ac:dyDescent="0.2">
      <c r="E4987" s="69"/>
      <c r="FT4987" s="45"/>
    </row>
    <row r="4988" spans="5:176" x14ac:dyDescent="0.2">
      <c r="E4988" s="69"/>
      <c r="FT4988" s="45"/>
    </row>
    <row r="4989" spans="5:176" x14ac:dyDescent="0.2">
      <c r="E4989" s="69"/>
      <c r="FT4989" s="45"/>
    </row>
    <row r="4990" spans="5:176" x14ac:dyDescent="0.2">
      <c r="E4990" s="69"/>
      <c r="FT4990" s="45"/>
    </row>
    <row r="4991" spans="5:176" x14ac:dyDescent="0.2">
      <c r="E4991" s="69"/>
      <c r="FT4991" s="45"/>
    </row>
    <row r="4992" spans="5:176" x14ac:dyDescent="0.2">
      <c r="E4992" s="69"/>
      <c r="FT4992" s="45"/>
    </row>
    <row r="4993" spans="5:176" x14ac:dyDescent="0.2">
      <c r="E4993" s="69"/>
      <c r="FT4993" s="45"/>
    </row>
    <row r="4994" spans="5:176" x14ac:dyDescent="0.2">
      <c r="E4994" s="69"/>
      <c r="FT4994" s="45"/>
    </row>
    <row r="4995" spans="5:176" x14ac:dyDescent="0.2">
      <c r="E4995" s="69"/>
      <c r="FT4995" s="45"/>
    </row>
    <row r="4996" spans="5:176" x14ac:dyDescent="0.2">
      <c r="E4996" s="69"/>
      <c r="FT4996" s="45"/>
    </row>
    <row r="4997" spans="5:176" x14ac:dyDescent="0.2">
      <c r="E4997" s="69"/>
      <c r="FT4997" s="45"/>
    </row>
    <row r="4998" spans="5:176" x14ac:dyDescent="0.2">
      <c r="E4998" s="69"/>
      <c r="FT4998" s="45"/>
    </row>
    <row r="4999" spans="5:176" x14ac:dyDescent="0.2">
      <c r="E4999" s="69"/>
      <c r="FT4999" s="45"/>
    </row>
    <row r="5000" spans="5:176" x14ac:dyDescent="0.2">
      <c r="E5000" s="69"/>
      <c r="FT5000" s="45"/>
    </row>
    <row r="5001" spans="5:176" x14ac:dyDescent="0.2">
      <c r="E5001" s="69"/>
      <c r="FT5001" s="45"/>
    </row>
    <row r="5002" spans="5:176" x14ac:dyDescent="0.2">
      <c r="E5002" s="69"/>
      <c r="FT5002" s="45"/>
    </row>
    <row r="5003" spans="5:176" x14ac:dyDescent="0.2">
      <c r="E5003" s="69"/>
      <c r="FT5003" s="45"/>
    </row>
    <row r="5004" spans="5:176" x14ac:dyDescent="0.2">
      <c r="E5004" s="69"/>
      <c r="FT5004" s="45"/>
    </row>
    <row r="5005" spans="5:176" x14ac:dyDescent="0.2">
      <c r="E5005" s="69"/>
      <c r="FT5005" s="45"/>
    </row>
    <row r="5006" spans="5:176" x14ac:dyDescent="0.2">
      <c r="E5006" s="69"/>
      <c r="FT5006" s="45"/>
    </row>
    <row r="5007" spans="5:176" x14ac:dyDescent="0.2">
      <c r="E5007" s="69"/>
      <c r="FT5007" s="45"/>
    </row>
    <row r="5008" spans="5:176" x14ac:dyDescent="0.2">
      <c r="E5008" s="69"/>
      <c r="FT5008" s="45"/>
    </row>
    <row r="5009" spans="5:176" x14ac:dyDescent="0.2">
      <c r="E5009" s="69"/>
      <c r="FT5009" s="45"/>
    </row>
    <row r="5010" spans="5:176" x14ac:dyDescent="0.2">
      <c r="E5010" s="69"/>
      <c r="FT5010" s="45"/>
    </row>
    <row r="5011" spans="5:176" x14ac:dyDescent="0.2">
      <c r="E5011" s="69"/>
      <c r="FT5011" s="45"/>
    </row>
    <row r="5012" spans="5:176" x14ac:dyDescent="0.2">
      <c r="E5012" s="69"/>
      <c r="FT5012" s="45"/>
    </row>
    <row r="5013" spans="5:176" x14ac:dyDescent="0.2">
      <c r="E5013" s="69"/>
      <c r="FT5013" s="45"/>
    </row>
    <row r="5014" spans="5:176" x14ac:dyDescent="0.2">
      <c r="E5014" s="69"/>
      <c r="FT5014" s="45"/>
    </row>
    <row r="5015" spans="5:176" x14ac:dyDescent="0.2">
      <c r="E5015" s="69"/>
      <c r="FT5015" s="45"/>
    </row>
    <row r="5016" spans="5:176" x14ac:dyDescent="0.2">
      <c r="E5016" s="69"/>
      <c r="FT5016" s="45"/>
    </row>
    <row r="5017" spans="5:176" x14ac:dyDescent="0.2">
      <c r="E5017" s="69"/>
      <c r="FT5017" s="45"/>
    </row>
    <row r="5018" spans="5:176" x14ac:dyDescent="0.2">
      <c r="E5018" s="69"/>
      <c r="FT5018" s="45"/>
    </row>
    <row r="5019" spans="5:176" x14ac:dyDescent="0.2">
      <c r="E5019" s="69"/>
      <c r="FT5019" s="45"/>
    </row>
    <row r="5020" spans="5:176" x14ac:dyDescent="0.2">
      <c r="E5020" s="69"/>
      <c r="FT5020" s="45"/>
    </row>
    <row r="5021" spans="5:176" x14ac:dyDescent="0.2">
      <c r="E5021" s="69"/>
      <c r="FT5021" s="45"/>
    </row>
    <row r="5022" spans="5:176" x14ac:dyDescent="0.2">
      <c r="E5022" s="69"/>
      <c r="FT5022" s="45"/>
    </row>
    <row r="5023" spans="5:176" x14ac:dyDescent="0.2">
      <c r="E5023" s="69"/>
      <c r="FT5023" s="45"/>
    </row>
    <row r="5024" spans="5:176" x14ac:dyDescent="0.2">
      <c r="E5024" s="69"/>
      <c r="FT5024" s="45"/>
    </row>
    <row r="5025" spans="5:176" x14ac:dyDescent="0.2">
      <c r="E5025" s="69"/>
      <c r="FT5025" s="45"/>
    </row>
    <row r="5026" spans="5:176" x14ac:dyDescent="0.2">
      <c r="E5026" s="69"/>
      <c r="FT5026" s="45"/>
    </row>
    <row r="5027" spans="5:176" x14ac:dyDescent="0.2">
      <c r="E5027" s="69"/>
      <c r="FT5027" s="45"/>
    </row>
    <row r="5028" spans="5:176" x14ac:dyDescent="0.2">
      <c r="E5028" s="69"/>
      <c r="FT5028" s="45"/>
    </row>
    <row r="5029" spans="5:176" x14ac:dyDescent="0.2">
      <c r="E5029" s="69"/>
      <c r="FT5029" s="45"/>
    </row>
    <row r="5030" spans="5:176" x14ac:dyDescent="0.2">
      <c r="E5030" s="69"/>
      <c r="FT5030" s="45"/>
    </row>
    <row r="5031" spans="5:176" x14ac:dyDescent="0.2">
      <c r="E5031" s="69"/>
      <c r="FT5031" s="45"/>
    </row>
    <row r="5032" spans="5:176" x14ac:dyDescent="0.2">
      <c r="E5032" s="69"/>
      <c r="FT5032" s="45"/>
    </row>
    <row r="5033" spans="5:176" x14ac:dyDescent="0.2">
      <c r="E5033" s="69"/>
      <c r="FT5033" s="45"/>
    </row>
    <row r="5034" spans="5:176" x14ac:dyDescent="0.2">
      <c r="E5034" s="69"/>
      <c r="FT5034" s="45"/>
    </row>
    <row r="5035" spans="5:176" x14ac:dyDescent="0.2">
      <c r="E5035" s="69"/>
      <c r="FT5035" s="45"/>
    </row>
    <row r="5036" spans="5:176" x14ac:dyDescent="0.2">
      <c r="E5036" s="69"/>
      <c r="FT5036" s="45"/>
    </row>
    <row r="5037" spans="5:176" x14ac:dyDescent="0.2">
      <c r="E5037" s="69"/>
      <c r="FT5037" s="45"/>
    </row>
    <row r="5038" spans="5:176" x14ac:dyDescent="0.2">
      <c r="E5038" s="69"/>
      <c r="FT5038" s="45"/>
    </row>
    <row r="5039" spans="5:176" x14ac:dyDescent="0.2">
      <c r="E5039" s="69"/>
      <c r="FT5039" s="45"/>
    </row>
    <row r="5040" spans="5:176" x14ac:dyDescent="0.2">
      <c r="E5040" s="69"/>
      <c r="FT5040" s="45"/>
    </row>
    <row r="5041" spans="5:176" x14ac:dyDescent="0.2">
      <c r="E5041" s="69"/>
      <c r="FT5041" s="45"/>
    </row>
    <row r="5042" spans="5:176" x14ac:dyDescent="0.2">
      <c r="E5042" s="69"/>
      <c r="FT5042" s="45"/>
    </row>
    <row r="5043" spans="5:176" x14ac:dyDescent="0.2">
      <c r="E5043" s="69"/>
      <c r="FT5043" s="45"/>
    </row>
    <row r="5044" spans="5:176" x14ac:dyDescent="0.2">
      <c r="E5044" s="69"/>
      <c r="FT5044" s="45"/>
    </row>
    <row r="5045" spans="5:176" x14ac:dyDescent="0.2">
      <c r="E5045" s="69"/>
      <c r="FT5045" s="45"/>
    </row>
    <row r="5046" spans="5:176" x14ac:dyDescent="0.2">
      <c r="E5046" s="69"/>
      <c r="FT5046" s="45"/>
    </row>
    <row r="5047" spans="5:176" x14ac:dyDescent="0.2">
      <c r="E5047" s="69"/>
      <c r="FT5047" s="45"/>
    </row>
    <row r="5048" spans="5:176" x14ac:dyDescent="0.2">
      <c r="E5048" s="69"/>
      <c r="FT5048" s="45"/>
    </row>
    <row r="5049" spans="5:176" x14ac:dyDescent="0.2">
      <c r="E5049" s="69"/>
      <c r="FT5049" s="45"/>
    </row>
    <row r="5050" spans="5:176" x14ac:dyDescent="0.2">
      <c r="E5050" s="69"/>
      <c r="FT5050" s="45"/>
    </row>
    <row r="5051" spans="5:176" x14ac:dyDescent="0.2">
      <c r="E5051" s="69"/>
      <c r="FT5051" s="45"/>
    </row>
    <row r="5052" spans="5:176" x14ac:dyDescent="0.2">
      <c r="E5052" s="69"/>
      <c r="FT5052" s="45"/>
    </row>
    <row r="5053" spans="5:176" x14ac:dyDescent="0.2">
      <c r="E5053" s="69"/>
      <c r="FT5053" s="45"/>
    </row>
    <row r="5054" spans="5:176" x14ac:dyDescent="0.2">
      <c r="E5054" s="69"/>
      <c r="FT5054" s="45"/>
    </row>
    <row r="5055" spans="5:176" x14ac:dyDescent="0.2">
      <c r="E5055" s="69"/>
      <c r="FT5055" s="45"/>
    </row>
    <row r="5056" spans="5:176" x14ac:dyDescent="0.2">
      <c r="E5056" s="69"/>
      <c r="FT5056" s="45"/>
    </row>
    <row r="5057" spans="5:176" x14ac:dyDescent="0.2">
      <c r="E5057" s="69"/>
      <c r="FT5057" s="45"/>
    </row>
    <row r="5058" spans="5:176" x14ac:dyDescent="0.2">
      <c r="E5058" s="69"/>
      <c r="FT5058" s="45"/>
    </row>
    <row r="5059" spans="5:176" x14ac:dyDescent="0.2">
      <c r="E5059" s="69"/>
      <c r="FT5059" s="45"/>
    </row>
    <row r="5060" spans="5:176" x14ac:dyDescent="0.2">
      <c r="E5060" s="69"/>
      <c r="FT5060" s="45"/>
    </row>
    <row r="5061" spans="5:176" x14ac:dyDescent="0.2">
      <c r="E5061" s="69"/>
      <c r="FT5061" s="45"/>
    </row>
    <row r="5062" spans="5:176" x14ac:dyDescent="0.2">
      <c r="E5062" s="69"/>
      <c r="FT5062" s="45"/>
    </row>
    <row r="5063" spans="5:176" x14ac:dyDescent="0.2">
      <c r="E5063" s="69"/>
      <c r="FT5063" s="45"/>
    </row>
    <row r="5064" spans="5:176" x14ac:dyDescent="0.2">
      <c r="E5064" s="69"/>
      <c r="FT5064" s="45"/>
    </row>
    <row r="5065" spans="5:176" x14ac:dyDescent="0.2">
      <c r="E5065" s="69"/>
      <c r="FT5065" s="45"/>
    </row>
    <row r="5066" spans="5:176" x14ac:dyDescent="0.2">
      <c r="E5066" s="69"/>
      <c r="FT5066" s="45"/>
    </row>
    <row r="5067" spans="5:176" x14ac:dyDescent="0.2">
      <c r="E5067" s="69"/>
      <c r="FT5067" s="45"/>
    </row>
    <row r="5068" spans="5:176" x14ac:dyDescent="0.2">
      <c r="E5068" s="69"/>
      <c r="FT5068" s="45"/>
    </row>
    <row r="5069" spans="5:176" x14ac:dyDescent="0.2">
      <c r="E5069" s="69"/>
      <c r="FT5069" s="45"/>
    </row>
    <row r="5070" spans="5:176" x14ac:dyDescent="0.2">
      <c r="E5070" s="69"/>
      <c r="FT5070" s="45"/>
    </row>
    <row r="5071" spans="5:176" x14ac:dyDescent="0.2">
      <c r="E5071" s="69"/>
      <c r="FT5071" s="45"/>
    </row>
    <row r="5072" spans="5:176" x14ac:dyDescent="0.2">
      <c r="E5072" s="69"/>
      <c r="FT5072" s="45"/>
    </row>
    <row r="5073" spans="5:176" x14ac:dyDescent="0.2">
      <c r="E5073" s="69"/>
      <c r="FT5073" s="45"/>
    </row>
    <row r="5074" spans="5:176" x14ac:dyDescent="0.2">
      <c r="E5074" s="69"/>
      <c r="FT5074" s="45"/>
    </row>
    <row r="5075" spans="5:176" x14ac:dyDescent="0.2">
      <c r="E5075" s="69"/>
      <c r="FT5075" s="45"/>
    </row>
    <row r="5076" spans="5:176" x14ac:dyDescent="0.2">
      <c r="E5076" s="69"/>
      <c r="FT5076" s="45"/>
    </row>
    <row r="5077" spans="5:176" x14ac:dyDescent="0.2">
      <c r="E5077" s="69"/>
      <c r="FT5077" s="45"/>
    </row>
    <row r="5078" spans="5:176" x14ac:dyDescent="0.2">
      <c r="E5078" s="69"/>
      <c r="FT5078" s="45"/>
    </row>
    <row r="5079" spans="5:176" x14ac:dyDescent="0.2">
      <c r="E5079" s="69"/>
      <c r="FT5079" s="45"/>
    </row>
    <row r="5080" spans="5:176" x14ac:dyDescent="0.2">
      <c r="E5080" s="69"/>
      <c r="FT5080" s="45"/>
    </row>
    <row r="5081" spans="5:176" x14ac:dyDescent="0.2">
      <c r="E5081" s="69"/>
      <c r="FT5081" s="45"/>
    </row>
    <row r="5082" spans="5:176" x14ac:dyDescent="0.2">
      <c r="E5082" s="69"/>
      <c r="FT5082" s="45"/>
    </row>
    <row r="5083" spans="5:176" x14ac:dyDescent="0.2">
      <c r="E5083" s="69"/>
      <c r="FT5083" s="45"/>
    </row>
    <row r="5084" spans="5:176" x14ac:dyDescent="0.2">
      <c r="E5084" s="69"/>
      <c r="FT5084" s="45"/>
    </row>
    <row r="5085" spans="5:176" x14ac:dyDescent="0.2">
      <c r="E5085" s="69"/>
      <c r="FT5085" s="45"/>
    </row>
    <row r="5086" spans="5:176" x14ac:dyDescent="0.2">
      <c r="E5086" s="69"/>
      <c r="FT5086" s="45"/>
    </row>
    <row r="5087" spans="5:176" x14ac:dyDescent="0.2">
      <c r="E5087" s="69"/>
      <c r="FT5087" s="45"/>
    </row>
    <row r="5088" spans="5:176" x14ac:dyDescent="0.2">
      <c r="E5088" s="69"/>
      <c r="FT5088" s="45"/>
    </row>
    <row r="5089" spans="5:176" x14ac:dyDescent="0.2">
      <c r="E5089" s="69"/>
      <c r="FT5089" s="45"/>
    </row>
    <row r="5090" spans="5:176" x14ac:dyDescent="0.2">
      <c r="E5090" s="69"/>
      <c r="FT5090" s="45"/>
    </row>
    <row r="5091" spans="5:176" x14ac:dyDescent="0.2">
      <c r="E5091" s="69"/>
      <c r="FT5091" s="45"/>
    </row>
    <row r="5092" spans="5:176" x14ac:dyDescent="0.2">
      <c r="E5092" s="69"/>
      <c r="FT5092" s="45"/>
    </row>
    <row r="5093" spans="5:176" x14ac:dyDescent="0.2">
      <c r="E5093" s="69"/>
      <c r="FT5093" s="45"/>
    </row>
    <row r="5094" spans="5:176" x14ac:dyDescent="0.2">
      <c r="E5094" s="69"/>
      <c r="FT5094" s="45"/>
    </row>
    <row r="5095" spans="5:176" x14ac:dyDescent="0.2">
      <c r="E5095" s="69"/>
      <c r="FT5095" s="45"/>
    </row>
    <row r="5096" spans="5:176" x14ac:dyDescent="0.2">
      <c r="E5096" s="69"/>
      <c r="FT5096" s="45"/>
    </row>
    <row r="5097" spans="5:176" x14ac:dyDescent="0.2">
      <c r="E5097" s="69"/>
      <c r="FT5097" s="45"/>
    </row>
    <row r="5098" spans="5:176" x14ac:dyDescent="0.2">
      <c r="E5098" s="69"/>
      <c r="FT5098" s="45"/>
    </row>
    <row r="5099" spans="5:176" x14ac:dyDescent="0.2">
      <c r="E5099" s="69"/>
      <c r="FT5099" s="45"/>
    </row>
    <row r="5100" spans="5:176" x14ac:dyDescent="0.2">
      <c r="E5100" s="69"/>
      <c r="FT5100" s="45"/>
    </row>
    <row r="5101" spans="5:176" x14ac:dyDescent="0.2">
      <c r="E5101" s="69"/>
      <c r="FT5101" s="45"/>
    </row>
    <row r="5102" spans="5:176" x14ac:dyDescent="0.2">
      <c r="E5102" s="69"/>
      <c r="FT5102" s="45"/>
    </row>
    <row r="5103" spans="5:176" x14ac:dyDescent="0.2">
      <c r="E5103" s="69"/>
      <c r="FT5103" s="45"/>
    </row>
    <row r="5104" spans="5:176" x14ac:dyDescent="0.2">
      <c r="E5104" s="69"/>
      <c r="FT5104" s="45"/>
    </row>
    <row r="5105" spans="5:176" x14ac:dyDescent="0.2">
      <c r="E5105" s="69"/>
      <c r="FT5105" s="45"/>
    </row>
    <row r="5106" spans="5:176" x14ac:dyDescent="0.2">
      <c r="E5106" s="69"/>
      <c r="FT5106" s="45"/>
    </row>
    <row r="5107" spans="5:176" x14ac:dyDescent="0.2">
      <c r="E5107" s="69"/>
      <c r="FT5107" s="45"/>
    </row>
    <row r="5108" spans="5:176" x14ac:dyDescent="0.2">
      <c r="E5108" s="69"/>
      <c r="FT5108" s="45"/>
    </row>
    <row r="5109" spans="5:176" x14ac:dyDescent="0.2">
      <c r="E5109" s="69"/>
      <c r="FT5109" s="45"/>
    </row>
    <row r="5110" spans="5:176" x14ac:dyDescent="0.2">
      <c r="E5110" s="69"/>
      <c r="FT5110" s="45"/>
    </row>
    <row r="5111" spans="5:176" x14ac:dyDescent="0.2">
      <c r="E5111" s="69"/>
      <c r="FT5111" s="45"/>
    </row>
    <row r="5112" spans="5:176" x14ac:dyDescent="0.2">
      <c r="E5112" s="69"/>
      <c r="FT5112" s="45"/>
    </row>
    <row r="5113" spans="5:176" x14ac:dyDescent="0.2">
      <c r="E5113" s="69"/>
      <c r="FT5113" s="45"/>
    </row>
    <row r="5114" spans="5:176" x14ac:dyDescent="0.2">
      <c r="E5114" s="69"/>
      <c r="FT5114" s="45"/>
    </row>
    <row r="5115" spans="5:176" x14ac:dyDescent="0.2">
      <c r="E5115" s="69"/>
      <c r="FT5115" s="45"/>
    </row>
    <row r="5116" spans="5:176" x14ac:dyDescent="0.2">
      <c r="E5116" s="69"/>
      <c r="FT5116" s="45"/>
    </row>
    <row r="5117" spans="5:176" x14ac:dyDescent="0.2">
      <c r="E5117" s="69"/>
      <c r="FT5117" s="45"/>
    </row>
    <row r="5118" spans="5:176" x14ac:dyDescent="0.2">
      <c r="E5118" s="69"/>
      <c r="FT5118" s="45"/>
    </row>
    <row r="5119" spans="5:176" x14ac:dyDescent="0.2">
      <c r="E5119" s="69"/>
      <c r="FT5119" s="45"/>
    </row>
    <row r="5120" spans="5:176" x14ac:dyDescent="0.2">
      <c r="E5120" s="69"/>
      <c r="FT5120" s="45"/>
    </row>
    <row r="5121" spans="5:176" x14ac:dyDescent="0.2">
      <c r="E5121" s="69"/>
      <c r="FT5121" s="45"/>
    </row>
    <row r="5122" spans="5:176" x14ac:dyDescent="0.2">
      <c r="E5122" s="69"/>
      <c r="FT5122" s="45"/>
    </row>
    <row r="5123" spans="5:176" x14ac:dyDescent="0.2">
      <c r="E5123" s="69"/>
      <c r="FT5123" s="45"/>
    </row>
    <row r="5124" spans="5:176" x14ac:dyDescent="0.2">
      <c r="E5124" s="69"/>
      <c r="FT5124" s="45"/>
    </row>
    <row r="5125" spans="5:176" x14ac:dyDescent="0.2">
      <c r="E5125" s="69"/>
      <c r="FT5125" s="45"/>
    </row>
    <row r="5126" spans="5:176" x14ac:dyDescent="0.2">
      <c r="E5126" s="69"/>
      <c r="FT5126" s="45"/>
    </row>
    <row r="5127" spans="5:176" x14ac:dyDescent="0.2">
      <c r="E5127" s="69"/>
      <c r="FT5127" s="45"/>
    </row>
    <row r="5128" spans="5:176" x14ac:dyDescent="0.2">
      <c r="E5128" s="69"/>
      <c r="FT5128" s="45"/>
    </row>
    <row r="5129" spans="5:176" x14ac:dyDescent="0.2">
      <c r="E5129" s="69"/>
      <c r="FT5129" s="45"/>
    </row>
    <row r="5130" spans="5:176" x14ac:dyDescent="0.2">
      <c r="E5130" s="69"/>
      <c r="FT5130" s="45"/>
    </row>
    <row r="5131" spans="5:176" x14ac:dyDescent="0.2">
      <c r="E5131" s="69"/>
      <c r="FT5131" s="45"/>
    </row>
    <row r="5132" spans="5:176" x14ac:dyDescent="0.2">
      <c r="E5132" s="69"/>
      <c r="FT5132" s="45"/>
    </row>
    <row r="5133" spans="5:176" x14ac:dyDescent="0.2">
      <c r="E5133" s="69"/>
      <c r="FT5133" s="45"/>
    </row>
    <row r="5134" spans="5:176" x14ac:dyDescent="0.2">
      <c r="E5134" s="69"/>
      <c r="FT5134" s="45"/>
    </row>
    <row r="5135" spans="5:176" x14ac:dyDescent="0.2">
      <c r="E5135" s="69"/>
      <c r="FT5135" s="45"/>
    </row>
    <row r="5136" spans="5:176" x14ac:dyDescent="0.2">
      <c r="E5136" s="69"/>
      <c r="FT5136" s="45"/>
    </row>
    <row r="5137" spans="5:176" x14ac:dyDescent="0.2">
      <c r="E5137" s="69"/>
      <c r="FT5137" s="45"/>
    </row>
    <row r="5138" spans="5:176" x14ac:dyDescent="0.2">
      <c r="E5138" s="69"/>
      <c r="FT5138" s="45"/>
    </row>
    <row r="5139" spans="5:176" x14ac:dyDescent="0.2">
      <c r="E5139" s="69"/>
      <c r="FT5139" s="45"/>
    </row>
    <row r="5140" spans="5:176" x14ac:dyDescent="0.2">
      <c r="E5140" s="69"/>
      <c r="FT5140" s="45"/>
    </row>
    <row r="5141" spans="5:176" x14ac:dyDescent="0.2">
      <c r="E5141" s="69"/>
      <c r="FT5141" s="45"/>
    </row>
    <row r="5142" spans="5:176" x14ac:dyDescent="0.2">
      <c r="E5142" s="69"/>
      <c r="FT5142" s="45"/>
    </row>
    <row r="5143" spans="5:176" x14ac:dyDescent="0.2">
      <c r="E5143" s="69"/>
      <c r="FT5143" s="45"/>
    </row>
    <row r="5144" spans="5:176" x14ac:dyDescent="0.2">
      <c r="E5144" s="69"/>
      <c r="FT5144" s="45"/>
    </row>
    <row r="5145" spans="5:176" x14ac:dyDescent="0.2">
      <c r="E5145" s="69"/>
      <c r="FT5145" s="45"/>
    </row>
    <row r="5146" spans="5:176" x14ac:dyDescent="0.2">
      <c r="E5146" s="69"/>
      <c r="FT5146" s="45"/>
    </row>
    <row r="6825" spans="46:121" x14ac:dyDescent="0.2">
      <c r="DQ6825" s="61"/>
    </row>
    <row r="6826" spans="46:121" x14ac:dyDescent="0.2">
      <c r="AT6826" s="61"/>
      <c r="BD6826" s="61"/>
      <c r="BH6826" s="61"/>
      <c r="DQ6826" s="61"/>
    </row>
    <row r="6830" spans="46:121" x14ac:dyDescent="0.2">
      <c r="BV6830" s="61"/>
    </row>
    <row r="6832" spans="46:121" x14ac:dyDescent="0.2">
      <c r="DQ6832" s="61"/>
    </row>
    <row r="6833" spans="46:121" x14ac:dyDescent="0.2">
      <c r="AT6833" s="61"/>
      <c r="BD6833" s="61"/>
      <c r="BH6833" s="61"/>
      <c r="DQ6833" s="61"/>
    </row>
    <row r="6837" spans="46:121" x14ac:dyDescent="0.2">
      <c r="BV6837" s="61"/>
    </row>
    <row r="9107" spans="138:138" x14ac:dyDescent="0.2">
      <c r="EH9107" s="61"/>
    </row>
    <row r="10207" spans="135:135" x14ac:dyDescent="0.2">
      <c r="EE10207" s="61"/>
    </row>
    <row r="10221" spans="135:135" x14ac:dyDescent="0.2">
      <c r="EE10221" s="61"/>
    </row>
    <row r="10227" spans="10:153" x14ac:dyDescent="0.2">
      <c r="J10227" s="61"/>
      <c r="K10227" s="61"/>
      <c r="AC10227" s="61"/>
      <c r="AD10227" s="61"/>
      <c r="AP10227" s="61"/>
      <c r="AV10227" s="61"/>
      <c r="AX10227" s="61"/>
      <c r="AY10227" s="61"/>
      <c r="AZ10227" s="61"/>
      <c r="BO10227" s="61"/>
      <c r="CW10227" s="61"/>
      <c r="CX10227" s="61"/>
      <c r="DB10227" s="61"/>
      <c r="DC10227" s="61"/>
      <c r="DD10227" s="61"/>
      <c r="DE10227" s="61"/>
      <c r="DF10227" s="61"/>
      <c r="DU10227" s="61"/>
      <c r="DV10227" s="61"/>
      <c r="DZ10227" s="61"/>
      <c r="EA10227" s="61"/>
      <c r="EB10227" s="61"/>
      <c r="EC10227" s="61"/>
      <c r="ED10227" s="61"/>
      <c r="EE10227" s="61"/>
      <c r="EF10227" s="61"/>
    </row>
    <row r="10228" spans="10:153" x14ac:dyDescent="0.2">
      <c r="R10228" s="61"/>
      <c r="AB10228" s="61"/>
      <c r="AR10228" s="61"/>
      <c r="AS10228" s="61"/>
      <c r="CQ10228" s="61"/>
      <c r="CV10228" s="61"/>
      <c r="EC10228" s="61"/>
      <c r="ES10228" s="61"/>
    </row>
    <row r="10230" spans="10:153" x14ac:dyDescent="0.2">
      <c r="J10230" s="61"/>
      <c r="K10230" s="61"/>
      <c r="L10230" s="61"/>
      <c r="M10230" s="61"/>
      <c r="N10230" s="61"/>
      <c r="O10230" s="61"/>
      <c r="P10230" s="61"/>
      <c r="AD10230" s="61"/>
      <c r="AH10230" s="61"/>
      <c r="AI10230" s="61"/>
      <c r="AJ10230" s="61"/>
      <c r="AK10230" s="61"/>
      <c r="AL10230" s="61"/>
      <c r="AM10230" s="61"/>
      <c r="AN10230" s="61"/>
      <c r="AO10230" s="61"/>
      <c r="AY10230" s="61"/>
      <c r="BF10230" s="61"/>
      <c r="BG10230" s="61"/>
      <c r="BH10230" s="61"/>
      <c r="BI10230" s="61"/>
      <c r="BJ10230" s="61"/>
      <c r="BK10230" s="61"/>
      <c r="BL10230" s="61"/>
      <c r="BM10230" s="61"/>
      <c r="BV10230" s="61"/>
      <c r="BY10230" s="61"/>
      <c r="BZ10230" s="61"/>
      <c r="CD10230" s="61"/>
      <c r="CE10230" s="61"/>
      <c r="CF10230" s="61"/>
      <c r="CG10230" s="61"/>
      <c r="CH10230" s="61"/>
      <c r="CI10230" s="61"/>
      <c r="CJ10230" s="61"/>
      <c r="CX10230" s="61"/>
      <c r="DB10230" s="61"/>
      <c r="DC10230" s="61"/>
      <c r="DD10230" s="61"/>
      <c r="DE10230" s="61"/>
      <c r="DF10230" s="61"/>
      <c r="DG10230" s="61"/>
      <c r="DH10230" s="61"/>
      <c r="DV10230" s="61"/>
      <c r="DW10230" s="61"/>
      <c r="DX10230" s="61"/>
      <c r="DY10230" s="61"/>
      <c r="EU10230" s="61"/>
      <c r="EV10230" s="61"/>
      <c r="EW10230" s="61"/>
    </row>
    <row r="10232" spans="10:153" x14ac:dyDescent="0.2">
      <c r="J10232" s="61"/>
      <c r="K10232" s="61"/>
      <c r="L10232" s="61"/>
      <c r="AC10232" s="61"/>
      <c r="AD10232" s="61"/>
      <c r="BN10232" s="61"/>
      <c r="BV10232" s="61"/>
      <c r="BW10232" s="61"/>
      <c r="CW10232" s="61"/>
      <c r="DB10232" s="61"/>
      <c r="DC10232" s="61"/>
      <c r="DD10232" s="61"/>
      <c r="DE10232" s="61"/>
      <c r="DM10232" s="61"/>
      <c r="DU10232" s="61"/>
      <c r="DV10232" s="61"/>
      <c r="DZ10232" s="61"/>
      <c r="EA10232" s="61"/>
      <c r="EB10232" s="61"/>
      <c r="EC10232" s="61"/>
      <c r="EE10232" s="61"/>
      <c r="EG10232" s="61"/>
      <c r="ET10232" s="61"/>
      <c r="EU10232" s="61"/>
      <c r="EV10232" s="61"/>
      <c r="EW10232" s="61"/>
    </row>
    <row r="10234" spans="10:153" x14ac:dyDescent="0.2">
      <c r="J10234" s="61"/>
      <c r="K10234" s="61"/>
      <c r="AC10234" s="61"/>
      <c r="AD10234" s="61"/>
      <c r="AP10234" s="61"/>
      <c r="AV10234" s="61"/>
      <c r="AX10234" s="61"/>
      <c r="AY10234" s="61"/>
      <c r="AZ10234" s="61"/>
      <c r="BO10234" s="61"/>
      <c r="CW10234" s="61"/>
      <c r="CX10234" s="61"/>
      <c r="DB10234" s="61"/>
      <c r="DC10234" s="61"/>
      <c r="DD10234" s="61"/>
      <c r="DE10234" s="61"/>
      <c r="DF10234" s="61"/>
      <c r="DU10234" s="61"/>
      <c r="DV10234" s="61"/>
      <c r="DZ10234" s="61"/>
      <c r="EA10234" s="61"/>
      <c r="EB10234" s="61"/>
      <c r="EC10234" s="61"/>
      <c r="ED10234" s="61"/>
      <c r="EE10234" s="61"/>
      <c r="EF10234" s="61"/>
    </row>
    <row r="10235" spans="10:153" x14ac:dyDescent="0.2">
      <c r="R10235" s="61"/>
      <c r="AB10235" s="61"/>
      <c r="AR10235" s="61"/>
      <c r="AS10235" s="61"/>
      <c r="CQ10235" s="61"/>
      <c r="CV10235" s="61"/>
      <c r="EC10235" s="61"/>
      <c r="ES10235" s="61"/>
    </row>
    <row r="10237" spans="10:153" x14ac:dyDescent="0.2">
      <c r="J10237" s="61"/>
      <c r="K10237" s="61"/>
      <c r="L10237" s="61"/>
      <c r="M10237" s="61"/>
      <c r="N10237" s="61"/>
      <c r="O10237" s="61"/>
      <c r="P10237" s="61"/>
      <c r="AD10237" s="61"/>
      <c r="AH10237" s="61"/>
      <c r="AI10237" s="61"/>
      <c r="AJ10237" s="61"/>
      <c r="AK10237" s="61"/>
      <c r="AL10237" s="61"/>
      <c r="AM10237" s="61"/>
      <c r="AN10237" s="61"/>
      <c r="AO10237" s="61"/>
      <c r="AY10237" s="61"/>
      <c r="BF10237" s="61"/>
      <c r="BG10237" s="61"/>
      <c r="BH10237" s="61"/>
      <c r="BI10237" s="61"/>
      <c r="BJ10237" s="61"/>
      <c r="BK10237" s="61"/>
      <c r="BL10237" s="61"/>
      <c r="BM10237" s="61"/>
      <c r="BV10237" s="61"/>
      <c r="BY10237" s="61"/>
      <c r="BZ10237" s="61"/>
      <c r="CD10237" s="61"/>
      <c r="CE10237" s="61"/>
      <c r="CF10237" s="61"/>
      <c r="CG10237" s="61"/>
      <c r="CH10237" s="61"/>
      <c r="CI10237" s="61"/>
      <c r="CJ10237" s="61"/>
      <c r="CX10237" s="61"/>
      <c r="DB10237" s="61"/>
      <c r="DC10237" s="61"/>
      <c r="DD10237" s="61"/>
      <c r="DE10237" s="61"/>
      <c r="DF10237" s="61"/>
      <c r="DG10237" s="61"/>
      <c r="DH10237" s="61"/>
      <c r="DV10237" s="61"/>
      <c r="DW10237" s="61"/>
      <c r="DX10237" s="61"/>
      <c r="DY10237" s="61"/>
      <c r="EU10237" s="61"/>
      <c r="EV10237" s="61"/>
      <c r="EW10237" s="61"/>
    </row>
    <row r="10239" spans="10:153" x14ac:dyDescent="0.2">
      <c r="J10239" s="61"/>
      <c r="K10239" s="61"/>
      <c r="L10239" s="61"/>
      <c r="AC10239" s="61"/>
      <c r="AD10239" s="61"/>
      <c r="BN10239" s="61"/>
      <c r="BV10239" s="61"/>
      <c r="BW10239" s="61"/>
      <c r="CW10239" s="61"/>
      <c r="DB10239" s="61"/>
      <c r="DC10239" s="61"/>
      <c r="DD10239" s="61"/>
      <c r="DE10239" s="61"/>
      <c r="DM10239" s="61"/>
      <c r="DU10239" s="61"/>
      <c r="DV10239" s="61"/>
      <c r="DZ10239" s="61"/>
      <c r="EA10239" s="61"/>
      <c r="EB10239" s="61"/>
      <c r="EC10239" s="61"/>
      <c r="EE10239" s="61"/>
      <c r="EG10239" s="61"/>
      <c r="ET10239" s="61"/>
      <c r="EU10239" s="61"/>
      <c r="EV10239" s="61"/>
      <c r="EW10239" s="61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17</vt:i4>
      </vt:variant>
    </vt:vector>
  </HeadingPairs>
  <TitlesOfParts>
    <vt:vector size="20" baseType="lpstr">
      <vt:lpstr>Table</vt:lpstr>
      <vt:lpstr>Lookups</vt:lpstr>
      <vt:lpstr>Data</vt:lpstr>
      <vt:lpstr>Bid</vt:lpstr>
      <vt:lpstr>Criteria</vt:lpstr>
      <vt:lpstr>Criteria_enrolled</vt:lpstr>
      <vt:lpstr>data</vt:lpstr>
      <vt:lpstr>date</vt:lpstr>
      <vt:lpstr>date_list</vt:lpstr>
      <vt:lpstr>dual_enrol_list</vt:lpstr>
      <vt:lpstr>Enrolled</vt:lpstr>
      <vt:lpstr>ind_list</vt:lpstr>
      <vt:lpstr>lca</vt:lpstr>
      <vt:lpstr>lca_list</vt:lpstr>
      <vt:lpstr>Table!Print_Area</vt:lpstr>
      <vt:lpstr>Result_type</vt:lpstr>
      <vt:lpstr>Result_type_list</vt:lpstr>
      <vt:lpstr>Size</vt:lpstr>
      <vt:lpstr>Size_list</vt:lpstr>
      <vt:lpstr>Two_way_tab_flag</vt:lpstr>
    </vt:vector>
  </TitlesOfParts>
  <Company>Christensen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edmchugh</dc:creator>
  <cp:lastModifiedBy>Tim Huegerich</cp:lastModifiedBy>
  <cp:lastPrinted>2009-04-03T17:07:33Z</cp:lastPrinted>
  <dcterms:created xsi:type="dcterms:W3CDTF">2009-03-24T17:58:42Z</dcterms:created>
  <dcterms:modified xsi:type="dcterms:W3CDTF">2016-03-18T16:00:44Z</dcterms:modified>
</cp:coreProperties>
</file>